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41\"/>
    </mc:Choice>
  </mc:AlternateContent>
  <bookViews>
    <workbookView xWindow="0" yWindow="0" windowWidth="21570" windowHeight="8145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</sheets>
  <externalReferences>
    <externalReference r:id="rId6"/>
    <externalReference r:id="rId7"/>
  </externalReferences>
  <definedNames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Prices'!$A$1:$T$78</definedName>
    <definedName name="_xlnm.Print_Area" localSheetId="1">SourceEnergy!$A$1:$L$267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M4" i="20" l="1"/>
  <c r="M3" i="20"/>
  <c r="R21" i="20" l="1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N4" i="20" l="1"/>
  <c r="Q8" i="20" l="1"/>
  <c r="Q7" i="20"/>
  <c r="B268" i="20" l="1"/>
  <c r="M6" i="17" l="1"/>
  <c r="N6" i="17" s="1"/>
  <c r="O6" i="17" l="1"/>
  <c r="H13" i="20" s="1"/>
  <c r="G13" i="20"/>
  <c r="W6" i="17"/>
  <c r="M7" i="17"/>
  <c r="P6" i="17" l="1"/>
  <c r="O7" i="17"/>
  <c r="H14" i="20" s="1"/>
  <c r="N7" i="17"/>
  <c r="G14" i="20" s="1"/>
  <c r="M8" i="17"/>
  <c r="P7" i="17" l="1"/>
  <c r="O8" i="17"/>
  <c r="H15" i="20" s="1"/>
  <c r="N8" i="17"/>
  <c r="G15" i="20" s="1"/>
  <c r="M9" i="17"/>
  <c r="O9" i="17" l="1"/>
  <c r="H16" i="20" s="1"/>
  <c r="N9" i="17"/>
  <c r="G16" i="20" s="1"/>
  <c r="P8" i="17"/>
  <c r="M10" i="17"/>
  <c r="P9" i="17" l="1"/>
  <c r="O10" i="17"/>
  <c r="H17" i="20" s="1"/>
  <c r="N10" i="17"/>
  <c r="G17" i="20" s="1"/>
  <c r="M11" i="17"/>
  <c r="P10" i="17" l="1"/>
  <c r="N11" i="17"/>
  <c r="G18" i="20" s="1"/>
  <c r="O11" i="17"/>
  <c r="H18" i="20" s="1"/>
  <c r="M12" i="17"/>
  <c r="P11" i="17" l="1"/>
  <c r="O12" i="17"/>
  <c r="H19" i="20" s="1"/>
  <c r="N12" i="17"/>
  <c r="G19" i="20" s="1"/>
  <c r="M13" i="17"/>
  <c r="P12" i="17" l="1"/>
  <c r="O13" i="17"/>
  <c r="H20" i="20" s="1"/>
  <c r="N13" i="17"/>
  <c r="G20" i="20" s="1"/>
  <c r="M14" i="17"/>
  <c r="P13" i="17" l="1"/>
  <c r="O14" i="17"/>
  <c r="H21" i="20" s="1"/>
  <c r="N14" i="17"/>
  <c r="G21" i="20" s="1"/>
  <c r="M15" i="17"/>
  <c r="P14" i="17" l="1"/>
  <c r="O15" i="17"/>
  <c r="H22" i="20" s="1"/>
  <c r="N15" i="17"/>
  <c r="G22" i="20" s="1"/>
  <c r="M16" i="17"/>
  <c r="P15" i="17" l="1"/>
  <c r="O16" i="17"/>
  <c r="H23" i="20" s="1"/>
  <c r="N16" i="17"/>
  <c r="G23" i="20" s="1"/>
  <c r="M17" i="17"/>
  <c r="P16" i="17" l="1"/>
  <c r="O17" i="17"/>
  <c r="H24" i="20" s="1"/>
  <c r="N17" i="17"/>
  <c r="G24" i="20" s="1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P128" i="17" l="1"/>
  <c r="N129" i="17"/>
  <c r="O129" i="17"/>
  <c r="M130" i="17"/>
  <c r="P129" i="17" l="1"/>
  <c r="O130" i="17"/>
  <c r="N130" i="17"/>
  <c r="M131" i="17"/>
  <c r="P130" i="17" l="1"/>
  <c r="N131" i="17"/>
  <c r="O131" i="17"/>
  <c r="M132" i="17"/>
  <c r="P131" i="17" l="1"/>
  <c r="O132" i="17"/>
  <c r="N132" i="17"/>
  <c r="M133" i="17"/>
  <c r="P132" i="17" l="1"/>
  <c r="N133" i="17"/>
  <c r="O133" i="17"/>
  <c r="M134" i="17"/>
  <c r="K1" i="19"/>
  <c r="O134" i="17" l="1"/>
  <c r="N134" i="17"/>
  <c r="P133" i="17"/>
  <c r="M135" i="17"/>
  <c r="P134" i="17" l="1"/>
  <c r="O135" i="17"/>
  <c r="N135" i="17"/>
  <c r="M136" i="17"/>
  <c r="C11" i="20"/>
  <c r="B4" i="20"/>
  <c r="F38" i="18"/>
  <c r="P135" i="17" l="1"/>
  <c r="N136" i="17"/>
  <c r="O136" i="17"/>
  <c r="M137" i="17"/>
  <c r="B267" i="20"/>
  <c r="P136" i="17" l="1"/>
  <c r="O137" i="17"/>
  <c r="N137" i="17"/>
  <c r="M138" i="17"/>
  <c r="C6" i="20"/>
  <c r="P137" i="17" l="1"/>
  <c r="W138" i="17"/>
  <c r="N138" i="17"/>
  <c r="O138" i="17"/>
  <c r="M139" i="1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M146" i="17" s="1"/>
  <c r="N146" i="17" l="1"/>
  <c r="M147" i="17"/>
  <c r="N147" i="17" s="1"/>
  <c r="P144" i="17"/>
  <c r="N145" i="17"/>
  <c r="O145" i="17"/>
  <c r="P145" i="17" l="1"/>
  <c r="O146" i="17"/>
  <c r="P146" i="17" l="1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P184" i="17" l="1"/>
  <c r="O185" i="17"/>
  <c r="N185" i="17"/>
  <c r="M186" i="17"/>
  <c r="W186" i="17" l="1"/>
  <c r="N186" i="17"/>
  <c r="O186" i="17"/>
  <c r="P185" i="17"/>
  <c r="M187" i="17"/>
  <c r="P186" i="17" l="1"/>
  <c r="O187" i="17"/>
  <c r="N187" i="17"/>
  <c r="M188" i="17"/>
  <c r="P187" i="17" l="1"/>
  <c r="N188" i="17"/>
  <c r="O188" i="17"/>
  <c r="M189" i="17"/>
  <c r="P188" i="17" l="1"/>
  <c r="O189" i="17"/>
  <c r="N189" i="17"/>
  <c r="M190" i="17"/>
  <c r="P189" i="17" l="1"/>
  <c r="N190" i="17"/>
  <c r="O190" i="17"/>
  <c r="M191" i="17"/>
  <c r="P190" i="17" l="1"/>
  <c r="N191" i="17"/>
  <c r="O191" i="17"/>
  <c r="M192" i="17"/>
  <c r="P191" i="17" l="1"/>
  <c r="O192" i="17"/>
  <c r="N192" i="17"/>
  <c r="M193" i="17"/>
  <c r="P192" i="17" l="1"/>
  <c r="N193" i="17"/>
  <c r="O193" i="17"/>
  <c r="M194" i="17"/>
  <c r="P193" i="17" l="1"/>
  <c r="O194" i="17"/>
  <c r="N194" i="17"/>
  <c r="M195" i="17"/>
  <c r="P194" i="17" l="1"/>
  <c r="O195" i="17"/>
  <c r="N195" i="17"/>
  <c r="M196" i="17"/>
  <c r="P195" i="17" l="1"/>
  <c r="N196" i="17"/>
  <c r="O196" i="17"/>
  <c r="M197" i="17"/>
  <c r="M198" i="17" s="1"/>
  <c r="O198" i="17" l="1"/>
  <c r="M199" i="17"/>
  <c r="N198" i="17"/>
  <c r="P196" i="17"/>
  <c r="O197" i="17"/>
  <c r="N197" i="17"/>
  <c r="P198" i="17" l="1"/>
  <c r="N199" i="17"/>
  <c r="M200" i="17"/>
  <c r="O199" i="17"/>
  <c r="P197" i="17"/>
  <c r="W198" i="17"/>
  <c r="N200" i="17" l="1"/>
  <c r="M201" i="17"/>
  <c r="O200" i="17"/>
  <c r="P199" i="17"/>
  <c r="M202" i="17" l="1"/>
  <c r="O201" i="17"/>
  <c r="N201" i="17"/>
  <c r="P200" i="17"/>
  <c r="P201" i="17" l="1"/>
  <c r="N202" i="17"/>
  <c r="M203" i="17"/>
  <c r="O202" i="17"/>
  <c r="P202" i="17" l="1"/>
  <c r="N203" i="17"/>
  <c r="M204" i="17"/>
  <c r="O203" i="17"/>
  <c r="M205" i="17" l="1"/>
  <c r="O204" i="17"/>
  <c r="N204" i="17"/>
  <c r="P203" i="17"/>
  <c r="P204" i="17" l="1"/>
  <c r="M206" i="17"/>
  <c r="O205" i="17"/>
  <c r="N205" i="17"/>
  <c r="P170" i="20"/>
  <c r="P218" i="20"/>
  <c r="P194" i="20"/>
  <c r="P182" i="20"/>
  <c r="P158" i="20"/>
  <c r="P205" i="17" l="1"/>
  <c r="M207" i="17"/>
  <c r="O206" i="17"/>
  <c r="N206" i="17"/>
  <c r="G182" i="20"/>
  <c r="H182" i="20"/>
  <c r="H194" i="20"/>
  <c r="G194" i="20"/>
  <c r="P195" i="20"/>
  <c r="P230" i="20"/>
  <c r="P183" i="20"/>
  <c r="P219" i="20"/>
  <c r="P196" i="20"/>
  <c r="P171" i="20"/>
  <c r="P184" i="20"/>
  <c r="P206" i="20"/>
  <c r="P206" i="17" l="1"/>
  <c r="M208" i="17"/>
  <c r="O207" i="17"/>
  <c r="N207" i="17"/>
  <c r="G184" i="20"/>
  <c r="H184" i="20"/>
  <c r="H183" i="20"/>
  <c r="G183" i="20"/>
  <c r="G195" i="20"/>
  <c r="H195" i="20"/>
  <c r="P185" i="20"/>
  <c r="P231" i="20"/>
  <c r="P186" i="20"/>
  <c r="P207" i="20"/>
  <c r="P220" i="20"/>
  <c r="P197" i="20"/>
  <c r="P172" i="20"/>
  <c r="P232" i="20"/>
  <c r="P207" i="17" l="1"/>
  <c r="O208" i="17"/>
  <c r="N208" i="17"/>
  <c r="M209" i="17"/>
  <c r="M210" i="17" s="1"/>
  <c r="M211" i="17" s="1"/>
  <c r="M212" i="17" s="1"/>
  <c r="M213" i="17" s="1"/>
  <c r="M214" i="17" s="1"/>
  <c r="M215" i="17" s="1"/>
  <c r="M216" i="17" s="1"/>
  <c r="M217" i="17" s="1"/>
  <c r="M218" i="17" s="1"/>
  <c r="M219" i="17" s="1"/>
  <c r="M220" i="17" s="1"/>
  <c r="M221" i="17" s="1"/>
  <c r="M222" i="17" s="1"/>
  <c r="M223" i="17" s="1"/>
  <c r="M224" i="17" s="1"/>
  <c r="M225" i="17" s="1"/>
  <c r="M226" i="17" s="1"/>
  <c r="M227" i="17" s="1"/>
  <c r="M228" i="17" s="1"/>
  <c r="M229" i="17" s="1"/>
  <c r="M230" i="17" s="1"/>
  <c r="M231" i="17" s="1"/>
  <c r="M232" i="17" s="1"/>
  <c r="M233" i="17" s="1"/>
  <c r="M234" i="17" s="1"/>
  <c r="M235" i="17" s="1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H185" i="20"/>
  <c r="G185" i="20"/>
  <c r="H186" i="20"/>
  <c r="G186" i="20"/>
  <c r="P208" i="20"/>
  <c r="P187" i="20"/>
  <c r="P221" i="20"/>
  <c r="P173" i="20"/>
  <c r="P198" i="20"/>
  <c r="P233" i="20"/>
  <c r="P208" i="17" l="1"/>
  <c r="O209" i="17"/>
  <c r="N209" i="17"/>
  <c r="G187" i="20"/>
  <c r="H187" i="20"/>
  <c r="P222" i="20"/>
  <c r="P199" i="20"/>
  <c r="P209" i="20"/>
  <c r="P174" i="20"/>
  <c r="P188" i="20"/>
  <c r="P234" i="20"/>
  <c r="P209" i="17" l="1"/>
  <c r="W210" i="17"/>
  <c r="H188" i="20"/>
  <c r="G188" i="20"/>
  <c r="P223" i="20"/>
  <c r="P210" i="20"/>
  <c r="P189" i="20"/>
  <c r="P200" i="20"/>
  <c r="P175" i="20"/>
  <c r="P224" i="20"/>
  <c r="P235" i="20"/>
  <c r="G189" i="20" l="1"/>
  <c r="H189" i="20"/>
  <c r="P211" i="20"/>
  <c r="P176" i="20"/>
  <c r="P201" i="20"/>
  <c r="P190" i="20"/>
  <c r="P236" i="20"/>
  <c r="P242" i="20"/>
  <c r="P225" i="20"/>
  <c r="H190" i="20" l="1"/>
  <c r="G190" i="20"/>
  <c r="P202" i="20"/>
  <c r="P212" i="20"/>
  <c r="P191" i="20"/>
  <c r="P177" i="20"/>
  <c r="P226" i="20"/>
  <c r="P237" i="20"/>
  <c r="P243" i="20"/>
  <c r="G191" i="20" l="1"/>
  <c r="H191" i="20"/>
  <c r="P203" i="20"/>
  <c r="P192" i="20"/>
  <c r="P213" i="20"/>
  <c r="P178" i="20"/>
  <c r="P238" i="20"/>
  <c r="P227" i="20"/>
  <c r="P244" i="20"/>
  <c r="H203" i="20" l="1"/>
  <c r="G203" i="20"/>
  <c r="H192" i="20"/>
  <c r="G192" i="20"/>
  <c r="P179" i="20"/>
  <c r="P204" i="20"/>
  <c r="P214" i="20"/>
  <c r="P228" i="20"/>
  <c r="P245" i="20"/>
  <c r="P239" i="20"/>
  <c r="H204" i="20" l="1"/>
  <c r="G204" i="20"/>
  <c r="P180" i="20"/>
  <c r="P215" i="20"/>
  <c r="P240" i="20"/>
  <c r="P246" i="20"/>
  <c r="G180" i="20" l="1"/>
  <c r="H180" i="20"/>
  <c r="P216" i="20"/>
  <c r="P247" i="20"/>
  <c r="P248" i="20" l="1"/>
  <c r="P249" i="20" l="1"/>
  <c r="P250" i="20" l="1"/>
  <c r="P251" i="20" l="1"/>
  <c r="P253" i="20" l="1"/>
  <c r="P252" i="20"/>
  <c r="W222" i="17" l="1"/>
  <c r="P254" i="20"/>
  <c r="P134" i="20"/>
  <c r="P146" i="20"/>
  <c r="P159" i="20"/>
  <c r="P50" i="20"/>
  <c r="P264" i="20"/>
  <c r="F264" i="20" l="1"/>
  <c r="C264" i="20"/>
  <c r="P147" i="20"/>
  <c r="P135" i="20"/>
  <c r="P255" i="20"/>
  <c r="P137" i="20"/>
  <c r="P160" i="20"/>
  <c r="P148" i="20"/>
  <c r="P51" i="20"/>
  <c r="P136" i="20" l="1"/>
  <c r="P256" i="20"/>
  <c r="P138" i="20"/>
  <c r="P149" i="20"/>
  <c r="P161" i="20"/>
  <c r="P52" i="20"/>
  <c r="P257" i="20" l="1"/>
  <c r="P162" i="20"/>
  <c r="P139" i="20"/>
  <c r="P150" i="20"/>
  <c r="P53" i="20"/>
  <c r="P258" i="20" l="1"/>
  <c r="P163" i="20"/>
  <c r="P151" i="20"/>
  <c r="P140" i="20"/>
  <c r="P54" i="20"/>
  <c r="P259" i="20" l="1"/>
  <c r="P164" i="20"/>
  <c r="P152" i="20"/>
  <c r="P141" i="20"/>
  <c r="P55" i="20"/>
  <c r="P260" i="20" l="1"/>
  <c r="P153" i="20"/>
  <c r="P142" i="20"/>
  <c r="P165" i="20"/>
  <c r="P56" i="20"/>
  <c r="P261" i="20" l="1"/>
  <c r="P166" i="20"/>
  <c r="P143" i="20"/>
  <c r="P154" i="20"/>
  <c r="P57" i="20"/>
  <c r="P262" i="20" l="1"/>
  <c r="P144" i="20"/>
  <c r="P167" i="20"/>
  <c r="P155" i="20"/>
  <c r="P58" i="20"/>
  <c r="P263" i="20" l="1"/>
  <c r="P156" i="20"/>
  <c r="P168" i="20"/>
  <c r="P59" i="20"/>
  <c r="P60" i="20" l="1"/>
  <c r="P61" i="20" l="1"/>
  <c r="W234" i="17" l="1"/>
  <c r="P62" i="20"/>
  <c r="P63" i="20" l="1"/>
  <c r="P64" i="20" l="1"/>
  <c r="P65" i="20" l="1"/>
  <c r="P66" i="20" l="1"/>
  <c r="P67" i="20" l="1"/>
  <c r="P68" i="20" l="1"/>
  <c r="P69" i="20" l="1"/>
  <c r="P70" i="20" l="1"/>
  <c r="P71" i="20" l="1"/>
  <c r="P72" i="20" l="1"/>
  <c r="M246" i="17" l="1"/>
  <c r="P74" i="20"/>
  <c r="M247" i="17" l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/>
  <c r="P75" i="20"/>
  <c r="P76" i="20" l="1"/>
  <c r="P77" i="20" l="1"/>
  <c r="P78" i="20" l="1"/>
  <c r="P79" i="20" l="1"/>
  <c r="P80" i="20" l="1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H181" i="20" l="1"/>
  <c r="G181" i="20"/>
  <c r="G193" i="20"/>
  <c r="H193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202" i="20"/>
  <c r="H82" i="20"/>
  <c r="H201" i="20"/>
  <c r="H81" i="20"/>
  <c r="H200" i="20"/>
  <c r="H80" i="20"/>
  <c r="H199" i="20"/>
  <c r="H79" i="20"/>
  <c r="H198" i="20"/>
  <c r="H78" i="20"/>
  <c r="H197" i="20"/>
  <c r="H77" i="20"/>
  <c r="H196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H155" i="20"/>
  <c r="H35" i="20"/>
  <c r="H154" i="20"/>
  <c r="H34" i="20"/>
  <c r="H153" i="20"/>
  <c r="H33" i="20"/>
  <c r="H152" i="20"/>
  <c r="H32" i="20"/>
  <c r="H151" i="20"/>
  <c r="H31" i="20"/>
  <c r="H150" i="20"/>
  <c r="H30" i="20"/>
  <c r="H149" i="20"/>
  <c r="H29" i="20"/>
  <c r="H148" i="20"/>
  <c r="H28" i="20"/>
  <c r="H147" i="20"/>
  <c r="H27" i="20"/>
  <c r="H146" i="20"/>
  <c r="H26" i="20"/>
  <c r="H145" i="20"/>
  <c r="H2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D18" i="18" l="1"/>
  <c r="D22" i="18"/>
  <c r="D28" i="18"/>
  <c r="D20" i="18"/>
  <c r="D24" i="18"/>
  <c r="D26" i="18"/>
  <c r="D17" i="18"/>
  <c r="D19" i="18"/>
  <c r="D21" i="18"/>
  <c r="D23" i="18"/>
  <c r="D25" i="18"/>
  <c r="D27" i="18"/>
  <c r="G135" i="20"/>
  <c r="G137" i="20"/>
  <c r="G139" i="20"/>
  <c r="G145" i="20"/>
  <c r="G149" i="20"/>
  <c r="G32" i="20"/>
  <c r="G133" i="20"/>
  <c r="G134" i="20"/>
  <c r="G136" i="20"/>
  <c r="G138" i="20"/>
  <c r="G140" i="20"/>
  <c r="G142" i="20"/>
  <c r="G144" i="20"/>
  <c r="G25" i="20"/>
  <c r="G146" i="20"/>
  <c r="G27" i="20"/>
  <c r="G148" i="20"/>
  <c r="G29" i="20"/>
  <c r="G150" i="20"/>
  <c r="G31" i="20"/>
  <c r="G141" i="20"/>
  <c r="G147" i="20"/>
  <c r="G30" i="20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197" i="20"/>
  <c r="G78" i="20"/>
  <c r="G199" i="20"/>
  <c r="G80" i="20"/>
  <c r="G201" i="20"/>
  <c r="G82" i="20"/>
  <c r="G84" i="20"/>
  <c r="G143" i="20"/>
  <c r="G26" i="20"/>
  <c r="G28" i="20"/>
  <c r="G151" i="20"/>
  <c r="G152" i="20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75" i="20"/>
  <c r="G196" i="20"/>
  <c r="G77" i="20"/>
  <c r="G198" i="20"/>
  <c r="G79" i="20"/>
  <c r="G200" i="20"/>
  <c r="G81" i="20"/>
  <c r="G202" i="20"/>
  <c r="G83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D13" i="18" l="1"/>
  <c r="D12" i="18"/>
  <c r="D8" i="18"/>
  <c r="D15" i="18"/>
  <c r="D11" i="18"/>
  <c r="D7" i="18"/>
  <c r="D14" i="18"/>
  <c r="D9" i="18"/>
  <c r="D5" i="18"/>
  <c r="D10" i="18"/>
  <c r="D6" i="18"/>
  <c r="D16" i="18"/>
  <c r="F32" i="18"/>
  <c r="F36" i="18"/>
  <c r="D44" i="18" l="1"/>
  <c r="D45" i="18" l="1"/>
  <c r="D51" i="18"/>
  <c r="L15" i="18"/>
  <c r="L14" i="18"/>
  <c r="D40" i="18"/>
  <c r="D50" i="18"/>
  <c r="D48" i="18"/>
  <c r="D49" i="18"/>
  <c r="D43" i="18"/>
  <c r="D47" i="18"/>
  <c r="D32" i="18"/>
  <c r="D46" i="18"/>
  <c r="D41" i="18"/>
  <c r="D42" i="18"/>
  <c r="D36" i="18" l="1"/>
  <c r="L16" i="18"/>
  <c r="M16" i="18" l="1"/>
  <c r="M15" i="18"/>
  <c r="M14" i="18"/>
  <c r="P257" i="17" l="1"/>
  <c r="N264" i="20"/>
  <c r="Q264" i="20" s="1"/>
  <c r="R8" i="20" l="1"/>
  <c r="R7" i="20"/>
  <c r="G215" i="20" l="1"/>
  <c r="G210" i="20"/>
  <c r="G209" i="20"/>
  <c r="G206" i="20"/>
  <c r="G216" i="20"/>
  <c r="G214" i="20"/>
  <c r="G212" i="20"/>
  <c r="G213" i="20"/>
  <c r="G211" i="20"/>
  <c r="G208" i="20"/>
  <c r="G207" i="20"/>
  <c r="H212" i="20" l="1"/>
  <c r="H208" i="20"/>
  <c r="H211" i="20"/>
  <c r="H206" i="20"/>
  <c r="H209" i="20"/>
  <c r="H214" i="20"/>
  <c r="H207" i="20"/>
  <c r="H213" i="20"/>
  <c r="H216" i="20"/>
  <c r="G205" i="20"/>
  <c r="H210" i="20"/>
  <c r="H215" i="20"/>
  <c r="H205" i="20"/>
  <c r="K128" i="20" l="1"/>
  <c r="J96" i="20"/>
  <c r="K57" i="20"/>
  <c r="K26" i="20"/>
  <c r="J63" i="20"/>
  <c r="J34" i="20"/>
  <c r="K131" i="20"/>
  <c r="J33" i="20"/>
  <c r="J50" i="20"/>
  <c r="K64" i="20"/>
  <c r="K44" i="20"/>
  <c r="J86" i="20"/>
  <c r="J91" i="20"/>
  <c r="K122" i="20"/>
  <c r="K43" i="20"/>
  <c r="K89" i="20"/>
  <c r="J67" i="20"/>
  <c r="K90" i="20"/>
  <c r="K75" i="20"/>
  <c r="K104" i="20"/>
  <c r="K28" i="20"/>
  <c r="K132" i="20"/>
  <c r="J26" i="20"/>
  <c r="J92" i="20"/>
  <c r="K94" i="20"/>
  <c r="K98" i="20"/>
  <c r="J38" i="20"/>
  <c r="K39" i="20"/>
  <c r="J36" i="20"/>
  <c r="K119" i="20"/>
  <c r="K48" i="20"/>
  <c r="J95" i="20"/>
  <c r="K45" i="20"/>
  <c r="K54" i="20"/>
  <c r="K74" i="20"/>
  <c r="J52" i="20"/>
  <c r="K56" i="20"/>
  <c r="K120" i="20"/>
  <c r="K100" i="20"/>
  <c r="K76" i="20"/>
  <c r="K124" i="20"/>
  <c r="K81" i="20"/>
  <c r="K78" i="20"/>
  <c r="J41" i="20"/>
  <c r="J47" i="20"/>
  <c r="K88" i="20"/>
  <c r="K46" i="20"/>
  <c r="K82" i="20"/>
  <c r="K60" i="20"/>
  <c r="J65" i="20"/>
  <c r="J28" i="20"/>
  <c r="J126" i="20"/>
  <c r="J98" i="20"/>
  <c r="J115" i="20"/>
  <c r="K118" i="20"/>
  <c r="J83" i="20"/>
  <c r="K107" i="20"/>
  <c r="K62" i="20"/>
  <c r="J112" i="20"/>
  <c r="J69" i="20"/>
  <c r="K70" i="20"/>
  <c r="J99" i="20"/>
  <c r="K80" i="20"/>
  <c r="J129" i="20"/>
  <c r="J93" i="20"/>
  <c r="J53" i="20"/>
  <c r="J58" i="20"/>
  <c r="K34" i="20"/>
  <c r="J111" i="20"/>
  <c r="J29" i="20"/>
  <c r="K42" i="20"/>
  <c r="J132" i="20"/>
  <c r="J30" i="20"/>
  <c r="J117" i="20"/>
  <c r="J128" i="20"/>
  <c r="J51" i="20"/>
  <c r="J55" i="20"/>
  <c r="J94" i="20"/>
  <c r="K103" i="20"/>
  <c r="J40" i="20"/>
  <c r="K72" i="20"/>
  <c r="K123" i="20"/>
  <c r="J59" i="20"/>
  <c r="K77" i="20"/>
  <c r="J101" i="20"/>
  <c r="J118" i="20"/>
  <c r="J116" i="20"/>
  <c r="K106" i="20"/>
  <c r="J130" i="20"/>
  <c r="K35" i="20"/>
  <c r="K66" i="20"/>
  <c r="K110" i="20"/>
  <c r="K33" i="20"/>
  <c r="J44" i="20"/>
  <c r="J105" i="20"/>
  <c r="J32" i="20"/>
  <c r="J113" i="20"/>
  <c r="K87" i="20"/>
  <c r="J79" i="20"/>
  <c r="K71" i="20"/>
  <c r="J68" i="20"/>
  <c r="K67" i="20"/>
  <c r="K84" i="20"/>
  <c r="J90" i="20"/>
  <c r="K27" i="20"/>
  <c r="J114" i="20"/>
  <c r="K125" i="20"/>
  <c r="K65" i="20"/>
  <c r="J31" i="20"/>
  <c r="J108" i="20"/>
  <c r="K102" i="20"/>
  <c r="J127" i="20"/>
  <c r="K36" i="20"/>
  <c r="K59" i="20"/>
  <c r="K101" i="20"/>
  <c r="K113" i="20" l="1"/>
  <c r="K38" i="20"/>
  <c r="J125" i="20"/>
  <c r="K32" i="20"/>
  <c r="J102" i="20"/>
  <c r="J43" i="20"/>
  <c r="K68" i="20"/>
  <c r="J66" i="20"/>
  <c r="J104" i="20"/>
  <c r="K130" i="20"/>
  <c r="J89" i="20"/>
  <c r="J27" i="20"/>
  <c r="K92" i="20"/>
  <c r="K126" i="20"/>
  <c r="J71" i="20"/>
  <c r="J87" i="20"/>
  <c r="J110" i="20"/>
  <c r="K108" i="20"/>
  <c r="K114" i="20"/>
  <c r="K63" i="20"/>
  <c r="K47" i="20"/>
  <c r="K79" i="20"/>
  <c r="K86" i="20"/>
  <c r="J124" i="20"/>
  <c r="K105" i="20"/>
  <c r="J46" i="20"/>
  <c r="J100" i="20"/>
  <c r="K96" i="20"/>
  <c r="J103" i="20"/>
  <c r="K30" i="20"/>
  <c r="K93" i="20"/>
  <c r="J70" i="20"/>
  <c r="J123" i="20"/>
  <c r="K40" i="20"/>
  <c r="J60" i="20"/>
  <c r="J76" i="20"/>
  <c r="K129" i="20"/>
  <c r="J56" i="20"/>
  <c r="K52" i="20"/>
  <c r="J45" i="20"/>
  <c r="K95" i="20"/>
  <c r="K116" i="20"/>
  <c r="J37" i="20"/>
  <c r="J97" i="20"/>
  <c r="J109" i="20"/>
  <c r="K61" i="20"/>
  <c r="J72" i="20"/>
  <c r="K29" i="20"/>
  <c r="K58" i="20"/>
  <c r="J62" i="20"/>
  <c r="J35" i="20"/>
  <c r="J107" i="20"/>
  <c r="K83" i="20"/>
  <c r="K117" i="20"/>
  <c r="J78" i="20"/>
  <c r="J81" i="20"/>
  <c r="K69" i="20"/>
  <c r="J119" i="20"/>
  <c r="K73" i="20"/>
  <c r="J121" i="20"/>
  <c r="J77" i="20"/>
  <c r="K25" i="20"/>
  <c r="K55" i="20"/>
  <c r="J57" i="20"/>
  <c r="J74" i="20"/>
  <c r="J54" i="20"/>
  <c r="J48" i="20"/>
  <c r="K85" i="20"/>
  <c r="J75" i="20"/>
  <c r="J49" i="20"/>
  <c r="K51" i="20"/>
  <c r="J42" i="20"/>
  <c r="K111" i="20"/>
  <c r="K53" i="20"/>
  <c r="J80" i="20"/>
  <c r="K99" i="20"/>
  <c r="K112" i="20"/>
  <c r="J88" i="20"/>
  <c r="K41" i="20"/>
  <c r="J120" i="20"/>
  <c r="K37" i="20" l="1"/>
  <c r="K49" i="20"/>
  <c r="K97" i="20"/>
  <c r="K109" i="20"/>
  <c r="J85" i="20"/>
  <c r="J25" i="20"/>
  <c r="J61" i="20"/>
  <c r="K121" i="20"/>
  <c r="J73" i="20"/>
  <c r="F183" i="20" l="1"/>
  <c r="F238" i="20"/>
  <c r="F196" i="20"/>
  <c r="F199" i="20"/>
  <c r="F133" i="20"/>
  <c r="F171" i="20"/>
  <c r="F153" i="20"/>
  <c r="N153" i="20" s="1"/>
  <c r="Q153" i="20" s="1"/>
  <c r="F239" i="20"/>
  <c r="F220" i="20"/>
  <c r="F205" i="20"/>
  <c r="F180" i="20"/>
  <c r="F145" i="20"/>
  <c r="F139" i="20"/>
  <c r="N139" i="20" s="1"/>
  <c r="Q139" i="20" s="1"/>
  <c r="F229" i="20"/>
  <c r="F200" i="20"/>
  <c r="F186" i="20"/>
  <c r="F193" i="20"/>
  <c r="F141" i="20"/>
  <c r="N141" i="20" s="1"/>
  <c r="Q141" i="20" s="1"/>
  <c r="F232" i="20"/>
  <c r="F161" i="20"/>
  <c r="F233" i="20"/>
  <c r="F185" i="20"/>
  <c r="N185" i="20" s="1"/>
  <c r="Q185" i="20" s="1"/>
  <c r="F223" i="20"/>
  <c r="F189" i="20"/>
  <c r="F174" i="20"/>
  <c r="F158" i="20"/>
  <c r="F231" i="20"/>
  <c r="F188" i="20"/>
  <c r="F236" i="20"/>
  <c r="F217" i="20"/>
  <c r="F147" i="20"/>
  <c r="F204" i="20"/>
  <c r="F173" i="20"/>
  <c r="F213" i="20"/>
  <c r="N213" i="20" s="1"/>
  <c r="Q213" i="20" s="1"/>
  <c r="F194" i="20"/>
  <c r="F240" i="20"/>
  <c r="F226" i="20"/>
  <c r="F212" i="20"/>
  <c r="F146" i="20"/>
  <c r="F230" i="20"/>
  <c r="F219" i="20"/>
  <c r="F221" i="20"/>
  <c r="F214" i="20"/>
  <c r="N214" i="20" s="1"/>
  <c r="Q214" i="20" s="1"/>
  <c r="F207" i="20"/>
  <c r="F187" i="20"/>
  <c r="F176" i="20"/>
  <c r="N176" i="20" s="1"/>
  <c r="Q176" i="20" s="1"/>
  <c r="F164" i="20"/>
  <c r="F156" i="20"/>
  <c r="F144" i="20"/>
  <c r="F215" i="20"/>
  <c r="F184" i="20"/>
  <c r="F201" i="20"/>
  <c r="F138" i="20"/>
  <c r="N138" i="20" s="1"/>
  <c r="Q138" i="20" s="1"/>
  <c r="F202" i="20"/>
  <c r="F151" i="20"/>
  <c r="F182" i="20"/>
  <c r="F225" i="20"/>
  <c r="F191" i="20"/>
  <c r="F203" i="20"/>
  <c r="N203" i="20" s="1"/>
  <c r="Q203" i="20" s="1"/>
  <c r="F143" i="20"/>
  <c r="F177" i="20"/>
  <c r="F165" i="20"/>
  <c r="F228" i="20"/>
  <c r="F216" i="20"/>
  <c r="F152" i="20"/>
  <c r="N152" i="20" s="1"/>
  <c r="Q152" i="20" s="1"/>
  <c r="F155" i="20"/>
  <c r="F135" i="20"/>
  <c r="F206" i="20"/>
  <c r="F192" i="20"/>
  <c r="F181" i="20"/>
  <c r="F136" i="20"/>
  <c r="F142" i="20"/>
  <c r="F162" i="20"/>
  <c r="N162" i="20" s="1"/>
  <c r="Q162" i="20" s="1"/>
  <c r="F208" i="20"/>
  <c r="F178" i="20"/>
  <c r="F166" i="20"/>
  <c r="F154" i="20"/>
  <c r="F209" i="20"/>
  <c r="F224" i="20"/>
  <c r="F157" i="20"/>
  <c r="F170" i="20"/>
  <c r="F235" i="20"/>
  <c r="F150" i="20"/>
  <c r="F163" i="20"/>
  <c r="F198" i="20"/>
  <c r="F190" i="20"/>
  <c r="F175" i="20"/>
  <c r="F137" i="20"/>
  <c r="N137" i="20" s="1"/>
  <c r="Q137" i="20" s="1"/>
  <c r="F149" i="20"/>
  <c r="F227" i="20"/>
  <c r="F197" i="20"/>
  <c r="F134" i="20"/>
  <c r="F234" i="20"/>
  <c r="F222" i="20"/>
  <c r="F159" i="20"/>
  <c r="F237" i="20"/>
  <c r="F218" i="20"/>
  <c r="F210" i="20"/>
  <c r="F195" i="20"/>
  <c r="F179" i="20"/>
  <c r="F168" i="20"/>
  <c r="F160" i="20"/>
  <c r="F148" i="20"/>
  <c r="F140" i="20"/>
  <c r="F211" i="20"/>
  <c r="F172" i="20"/>
  <c r="F169" i="20"/>
  <c r="F167" i="20"/>
  <c r="N159" i="20" l="1"/>
  <c r="Q159" i="20" s="1"/>
  <c r="N222" i="20"/>
  <c r="Q222" i="20" s="1"/>
  <c r="P215" i="17"/>
  <c r="N234" i="20"/>
  <c r="Q234" i="20" s="1"/>
  <c r="P227" i="17"/>
  <c r="N224" i="20"/>
  <c r="Q224" i="20" s="1"/>
  <c r="P217" i="17"/>
  <c r="N209" i="20"/>
  <c r="Q209" i="20" s="1"/>
  <c r="N154" i="20"/>
  <c r="Q154" i="20" s="1"/>
  <c r="N166" i="20"/>
  <c r="Q166" i="20" s="1"/>
  <c r="N178" i="20"/>
  <c r="Q178" i="20" s="1"/>
  <c r="N208" i="20"/>
  <c r="Q208" i="20" s="1"/>
  <c r="N142" i="20"/>
  <c r="Q142" i="20" s="1"/>
  <c r="N136" i="20"/>
  <c r="Q136" i="20" s="1"/>
  <c r="N181" i="20"/>
  <c r="Q181" i="20" s="1"/>
  <c r="N194" i="20"/>
  <c r="Q194" i="20" s="1"/>
  <c r="N173" i="20"/>
  <c r="Q173" i="20" s="1"/>
  <c r="N204" i="20"/>
  <c r="Q204" i="20" s="1"/>
  <c r="N147" i="20"/>
  <c r="Q147" i="20" s="1"/>
  <c r="P210" i="17"/>
  <c r="N217" i="20"/>
  <c r="Q217" i="20" s="1"/>
  <c r="N158" i="20"/>
  <c r="Q158" i="20" s="1"/>
  <c r="N174" i="20"/>
  <c r="Q174" i="20" s="1"/>
  <c r="N189" i="20"/>
  <c r="Q189" i="20" s="1"/>
  <c r="P216" i="17"/>
  <c r="N223" i="20"/>
  <c r="Q223" i="20" s="1"/>
  <c r="P226" i="17"/>
  <c r="N233" i="20"/>
  <c r="Q233" i="20" s="1"/>
  <c r="F244" i="20"/>
  <c r="N186" i="20"/>
  <c r="Q186" i="20" s="1"/>
  <c r="N200" i="20"/>
  <c r="Q200" i="20" s="1"/>
  <c r="N229" i="20"/>
  <c r="Q229" i="20" s="1"/>
  <c r="P222" i="17"/>
  <c r="N171" i="20"/>
  <c r="Q171" i="20" s="1"/>
  <c r="N133" i="20"/>
  <c r="Q133" i="20" s="1"/>
  <c r="N167" i="20"/>
  <c r="Q167" i="20" s="1"/>
  <c r="N169" i="20"/>
  <c r="Q169" i="20" s="1"/>
  <c r="N134" i="20"/>
  <c r="Q134" i="20" s="1"/>
  <c r="N197" i="20"/>
  <c r="Q197" i="20" s="1"/>
  <c r="P220" i="17"/>
  <c r="N227" i="20"/>
  <c r="Q227" i="20" s="1"/>
  <c r="N149" i="20"/>
  <c r="Q149" i="20" s="1"/>
  <c r="N175" i="20"/>
  <c r="Q175" i="20" s="1"/>
  <c r="N190" i="20"/>
  <c r="Q190" i="20" s="1"/>
  <c r="N198" i="20"/>
  <c r="Q198" i="20" s="1"/>
  <c r="N163" i="20"/>
  <c r="Q163" i="20" s="1"/>
  <c r="N150" i="20"/>
  <c r="Q150" i="20" s="1"/>
  <c r="P228" i="17"/>
  <c r="N235" i="20"/>
  <c r="Q235" i="20" s="1"/>
  <c r="F252" i="20"/>
  <c r="N161" i="20"/>
  <c r="Q161" i="20" s="1"/>
  <c r="N232" i="20"/>
  <c r="Q232" i="20" s="1"/>
  <c r="P225" i="17"/>
  <c r="F241" i="20"/>
  <c r="N180" i="20"/>
  <c r="Q180" i="20" s="1"/>
  <c r="N205" i="20"/>
  <c r="Q205" i="20" s="1"/>
  <c r="N170" i="20"/>
  <c r="Q170" i="20" s="1"/>
  <c r="N157" i="20"/>
  <c r="Q157" i="20" s="1"/>
  <c r="N192" i="20"/>
  <c r="Q192" i="20" s="1"/>
  <c r="N206" i="20"/>
  <c r="Q206" i="20" s="1"/>
  <c r="N135" i="20"/>
  <c r="Q135" i="20" s="1"/>
  <c r="N155" i="20"/>
  <c r="Q155" i="20" s="1"/>
  <c r="N216" i="20"/>
  <c r="Q216" i="20" s="1"/>
  <c r="P221" i="17"/>
  <c r="N228" i="20"/>
  <c r="Q228" i="20" s="1"/>
  <c r="N165" i="20"/>
  <c r="Q165" i="20" s="1"/>
  <c r="N177" i="20"/>
  <c r="Q177" i="20" s="1"/>
  <c r="N143" i="20"/>
  <c r="Q143" i="20" s="1"/>
  <c r="N191" i="20"/>
  <c r="Q191" i="20" s="1"/>
  <c r="N225" i="20"/>
  <c r="Q225" i="20" s="1"/>
  <c r="P218" i="17"/>
  <c r="N182" i="20"/>
  <c r="Q182" i="20" s="1"/>
  <c r="N151" i="20"/>
  <c r="Q151" i="20" s="1"/>
  <c r="N202" i="20"/>
  <c r="Q202" i="20" s="1"/>
  <c r="N201" i="20"/>
  <c r="Q201" i="20" s="1"/>
  <c r="N184" i="20"/>
  <c r="Q184" i="20" s="1"/>
  <c r="N215" i="20"/>
  <c r="Q215" i="20" s="1"/>
  <c r="N144" i="20"/>
  <c r="Q144" i="20" s="1"/>
  <c r="N156" i="20"/>
  <c r="Q156" i="20" s="1"/>
  <c r="N164" i="20"/>
  <c r="Q164" i="20" s="1"/>
  <c r="N187" i="20"/>
  <c r="Q187" i="20" s="1"/>
  <c r="N207" i="20"/>
  <c r="Q207" i="20" s="1"/>
  <c r="P214" i="17"/>
  <c r="N221" i="20"/>
  <c r="Q221" i="20" s="1"/>
  <c r="N219" i="20"/>
  <c r="Q219" i="20" s="1"/>
  <c r="P212" i="17"/>
  <c r="N230" i="20"/>
  <c r="Q230" i="20" s="1"/>
  <c r="P223" i="17"/>
  <c r="F242" i="20"/>
  <c r="P229" i="17"/>
  <c r="N236" i="20"/>
  <c r="Q236" i="20" s="1"/>
  <c r="F248" i="20"/>
  <c r="F245" i="20"/>
  <c r="N193" i="20"/>
  <c r="Q193" i="20" s="1"/>
  <c r="F251" i="20"/>
  <c r="N199" i="20"/>
  <c r="Q199" i="20" s="1"/>
  <c r="N196" i="20"/>
  <c r="Q196" i="20" s="1"/>
  <c r="P231" i="17"/>
  <c r="N238" i="20"/>
  <c r="Q238" i="20" s="1"/>
  <c r="F250" i="20"/>
  <c r="N172" i="20"/>
  <c r="Q172" i="20" s="1"/>
  <c r="N211" i="20"/>
  <c r="Q211" i="20" s="1"/>
  <c r="N140" i="20"/>
  <c r="Q140" i="20" s="1"/>
  <c r="N148" i="20"/>
  <c r="Q148" i="20" s="1"/>
  <c r="N160" i="20"/>
  <c r="Q160" i="20" s="1"/>
  <c r="N168" i="20"/>
  <c r="Q168" i="20" s="1"/>
  <c r="N179" i="20"/>
  <c r="Q179" i="20" s="1"/>
  <c r="N195" i="20"/>
  <c r="Q195" i="20" s="1"/>
  <c r="N210" i="20"/>
  <c r="Q210" i="20" s="1"/>
  <c r="N218" i="20"/>
  <c r="Q218" i="20" s="1"/>
  <c r="P211" i="17"/>
  <c r="P230" i="17"/>
  <c r="N237" i="20"/>
  <c r="Q237" i="20" s="1"/>
  <c r="F249" i="20"/>
  <c r="F246" i="20"/>
  <c r="F247" i="20"/>
  <c r="N146" i="20"/>
  <c r="Q146" i="20" s="1"/>
  <c r="N212" i="20"/>
  <c r="Q212" i="20" s="1"/>
  <c r="N226" i="20"/>
  <c r="Q226" i="20" s="1"/>
  <c r="P219" i="17"/>
  <c r="P233" i="17"/>
  <c r="N240" i="20"/>
  <c r="Q240" i="20" s="1"/>
  <c r="N188" i="20"/>
  <c r="Q188" i="20" s="1"/>
  <c r="P224" i="17"/>
  <c r="N231" i="20"/>
  <c r="Q231" i="20" s="1"/>
  <c r="F243" i="20"/>
  <c r="N145" i="20"/>
  <c r="Q145" i="20" s="1"/>
  <c r="N220" i="20"/>
  <c r="Q220" i="20" s="1"/>
  <c r="P213" i="17"/>
  <c r="N239" i="20"/>
  <c r="Q239" i="20" s="1"/>
  <c r="P232" i="17"/>
  <c r="N183" i="20"/>
  <c r="Q183" i="20" s="1"/>
  <c r="F255" i="20" l="1"/>
  <c r="F259" i="20"/>
  <c r="F262" i="20"/>
  <c r="P244" i="17"/>
  <c r="N251" i="20"/>
  <c r="Q251" i="20" s="1"/>
  <c r="F254" i="20"/>
  <c r="N212" i="17"/>
  <c r="G219" i="20" s="1"/>
  <c r="N214" i="17"/>
  <c r="G221" i="20" s="1"/>
  <c r="N218" i="17"/>
  <c r="G225" i="20" s="1"/>
  <c r="N221" i="17"/>
  <c r="G228" i="20" s="1"/>
  <c r="N241" i="20"/>
  <c r="Q241" i="20" s="1"/>
  <c r="P234" i="17"/>
  <c r="N220" i="17"/>
  <c r="G227" i="20" s="1"/>
  <c r="P237" i="17"/>
  <c r="N244" i="20"/>
  <c r="Q244" i="20" s="1"/>
  <c r="N215" i="17"/>
  <c r="G222" i="20" s="1"/>
  <c r="N247" i="20"/>
  <c r="Q247" i="20" s="1"/>
  <c r="P240" i="17"/>
  <c r="P239" i="17"/>
  <c r="N246" i="20"/>
  <c r="Q246" i="20" s="1"/>
  <c r="N249" i="20"/>
  <c r="Q249" i="20" s="1"/>
  <c r="P242" i="17"/>
  <c r="N211" i="17"/>
  <c r="G218" i="20" s="1"/>
  <c r="N250" i="20"/>
  <c r="Q250" i="20" s="1"/>
  <c r="P243" i="17"/>
  <c r="N216" i="17"/>
  <c r="G223" i="20" s="1"/>
  <c r="N210" i="17"/>
  <c r="N213" i="17"/>
  <c r="G220" i="20" s="1"/>
  <c r="P236" i="17"/>
  <c r="N243" i="20"/>
  <c r="Q243" i="20" s="1"/>
  <c r="N219" i="17"/>
  <c r="G226" i="20" s="1"/>
  <c r="F257" i="20"/>
  <c r="F260" i="20"/>
  <c r="P235" i="17"/>
  <c r="N242" i="20"/>
  <c r="Q242" i="20" s="1"/>
  <c r="F253" i="20"/>
  <c r="N217" i="17"/>
  <c r="G224" i="20" s="1"/>
  <c r="F258" i="20"/>
  <c r="F261" i="20"/>
  <c r="F263" i="20"/>
  <c r="P238" i="17"/>
  <c r="N245" i="20"/>
  <c r="Q245" i="20" s="1"/>
  <c r="N248" i="20"/>
  <c r="Q248" i="20" s="1"/>
  <c r="P241" i="17"/>
  <c r="N252" i="20"/>
  <c r="Q252" i="20" s="1"/>
  <c r="P245" i="17"/>
  <c r="F256" i="20"/>
  <c r="N226" i="17" l="1"/>
  <c r="G233" i="20" s="1"/>
  <c r="N232" i="17"/>
  <c r="G239" i="20" s="1"/>
  <c r="N223" i="17"/>
  <c r="G230" i="20" s="1"/>
  <c r="N231" i="17"/>
  <c r="G238" i="20" s="1"/>
  <c r="O216" i="17"/>
  <c r="H223" i="20" s="1"/>
  <c r="N230" i="17"/>
  <c r="G237" i="20" s="1"/>
  <c r="O217" i="17"/>
  <c r="H224" i="20" s="1"/>
  <c r="O219" i="17"/>
  <c r="H226" i="20" s="1"/>
  <c r="O215" i="17"/>
  <c r="H222" i="20" s="1"/>
  <c r="O214" i="17"/>
  <c r="H221" i="20" s="1"/>
  <c r="N227" i="17"/>
  <c r="O227" i="17" s="1"/>
  <c r="H234" i="20" s="1"/>
  <c r="P253" i="17"/>
  <c r="N260" i="20"/>
  <c r="Q260" i="20" s="1"/>
  <c r="N224" i="17"/>
  <c r="P251" i="17"/>
  <c r="N258" i="20"/>
  <c r="Q258" i="20" s="1"/>
  <c r="G217" i="20"/>
  <c r="O221" i="17"/>
  <c r="H228" i="20" s="1"/>
  <c r="N254" i="20"/>
  <c r="Q254" i="20" s="1"/>
  <c r="P247" i="17"/>
  <c r="N255" i="20"/>
  <c r="Q255" i="20" s="1"/>
  <c r="P248" i="17"/>
  <c r="N256" i="20"/>
  <c r="Q256" i="20" s="1"/>
  <c r="P249" i="17"/>
  <c r="N225" i="17"/>
  <c r="N237" i="17" s="1"/>
  <c r="P254" i="17"/>
  <c r="N261" i="20"/>
  <c r="Q261" i="20" s="1"/>
  <c r="N228" i="17"/>
  <c r="N229" i="17"/>
  <c r="N241" i="17" s="1"/>
  <c r="P252" i="17"/>
  <c r="N259" i="20"/>
  <c r="Q259" i="20" s="1"/>
  <c r="P256" i="17"/>
  <c r="N263" i="20"/>
  <c r="Q263" i="20" s="1"/>
  <c r="N222" i="17"/>
  <c r="B269" i="20"/>
  <c r="N253" i="20"/>
  <c r="Q253" i="20" s="1"/>
  <c r="P246" i="17"/>
  <c r="N257" i="20"/>
  <c r="Q257" i="20" s="1"/>
  <c r="P250" i="17"/>
  <c r="O213" i="17"/>
  <c r="H220" i="20" s="1"/>
  <c r="O210" i="17"/>
  <c r="H217" i="20" s="1"/>
  <c r="O211" i="17"/>
  <c r="H218" i="20" s="1"/>
  <c r="N233" i="17"/>
  <c r="O220" i="17"/>
  <c r="H227" i="20" s="1"/>
  <c r="O218" i="17"/>
  <c r="H225" i="20" s="1"/>
  <c r="O212" i="17"/>
  <c r="H219" i="20" s="1"/>
  <c r="N262" i="20"/>
  <c r="Q262" i="20" s="1"/>
  <c r="P255" i="17"/>
  <c r="N238" i="17" l="1"/>
  <c r="O238" i="17" s="1"/>
  <c r="H245" i="20" s="1"/>
  <c r="N244" i="17"/>
  <c r="G251" i="20" s="1"/>
  <c r="O232" i="17"/>
  <c r="H239" i="20" s="1"/>
  <c r="G234" i="20"/>
  <c r="N243" i="17"/>
  <c r="G250" i="20" s="1"/>
  <c r="O226" i="17"/>
  <c r="H233" i="20" s="1"/>
  <c r="N235" i="17"/>
  <c r="G242" i="20" s="1"/>
  <c r="O223" i="17"/>
  <c r="H230" i="20" s="1"/>
  <c r="O230" i="17"/>
  <c r="H237" i="20" s="1"/>
  <c r="O231" i="17"/>
  <c r="H238" i="20" s="1"/>
  <c r="N242" i="17"/>
  <c r="G249" i="20" s="1"/>
  <c r="N239" i="17"/>
  <c r="G246" i="20" s="1"/>
  <c r="G248" i="20"/>
  <c r="O241" i="17"/>
  <c r="H248" i="20" s="1"/>
  <c r="G244" i="20"/>
  <c r="O237" i="17"/>
  <c r="H244" i="20" s="1"/>
  <c r="N245" i="17"/>
  <c r="G240" i="20"/>
  <c r="O233" i="17"/>
  <c r="H240" i="20" s="1"/>
  <c r="N234" i="17"/>
  <c r="G235" i="20"/>
  <c r="O228" i="17"/>
  <c r="H235" i="20" s="1"/>
  <c r="N240" i="17"/>
  <c r="N252" i="17" s="1"/>
  <c r="G259" i="20" s="1"/>
  <c r="N249" i="17"/>
  <c r="G256" i="20" s="1"/>
  <c r="G229" i="20"/>
  <c r="O222" i="17"/>
  <c r="H229" i="20" s="1"/>
  <c r="N236" i="17"/>
  <c r="N248" i="17" s="1"/>
  <c r="G231" i="20"/>
  <c r="O224" i="17"/>
  <c r="H231" i="20" s="1"/>
  <c r="N253" i="17"/>
  <c r="G260" i="20" s="1"/>
  <c r="O229" i="17"/>
  <c r="H236" i="20" s="1"/>
  <c r="G236" i="20"/>
  <c r="G232" i="20"/>
  <c r="O225" i="17"/>
  <c r="H232" i="20" s="1"/>
  <c r="G245" i="20" l="1"/>
  <c r="N255" i="17"/>
  <c r="G262" i="20" s="1"/>
  <c r="N250" i="17"/>
  <c r="G257" i="20" s="1"/>
  <c r="O243" i="17"/>
  <c r="H250" i="20" s="1"/>
  <c r="O244" i="17"/>
  <c r="H251" i="20" s="1"/>
  <c r="N256" i="17"/>
  <c r="G263" i="20" s="1"/>
  <c r="N247" i="17"/>
  <c r="G254" i="20" s="1"/>
  <c r="O235" i="17"/>
  <c r="H242" i="20" s="1"/>
  <c r="N246" i="17"/>
  <c r="O246" i="17" s="1"/>
  <c r="H253" i="20" s="1"/>
  <c r="N254" i="17"/>
  <c r="G261" i="20" s="1"/>
  <c r="O242" i="17"/>
  <c r="H249" i="20" s="1"/>
  <c r="O239" i="17"/>
  <c r="H246" i="20" s="1"/>
  <c r="N251" i="17"/>
  <c r="G258" i="20" s="1"/>
  <c r="O252" i="17"/>
  <c r="H259" i="20" s="1"/>
  <c r="O253" i="17"/>
  <c r="H260" i="20" s="1"/>
  <c r="G255" i="20"/>
  <c r="O248" i="17"/>
  <c r="H255" i="20" s="1"/>
  <c r="C175" i="20"/>
  <c r="C149" i="20"/>
  <c r="C134" i="20"/>
  <c r="C178" i="20"/>
  <c r="C168" i="20"/>
  <c r="C142" i="20"/>
  <c r="C195" i="20"/>
  <c r="C161" i="20"/>
  <c r="C202" i="20"/>
  <c r="C183" i="20"/>
  <c r="C170" i="20"/>
  <c r="C165" i="20"/>
  <c r="C154" i="20"/>
  <c r="C138" i="20"/>
  <c r="C212" i="20"/>
  <c r="C213" i="20"/>
  <c r="C210" i="20"/>
  <c r="C221" i="20"/>
  <c r="C224" i="20"/>
  <c r="C206" i="20"/>
  <c r="C227" i="20"/>
  <c r="C216" i="20"/>
  <c r="C211" i="20"/>
  <c r="C215" i="20"/>
  <c r="O249" i="17"/>
  <c r="H256" i="20" s="1"/>
  <c r="G247" i="20"/>
  <c r="O240" i="17"/>
  <c r="H247" i="20" s="1"/>
  <c r="C147" i="20"/>
  <c r="C135" i="20"/>
  <c r="C159" i="20"/>
  <c r="C153" i="20"/>
  <c r="C196" i="20"/>
  <c r="C136" i="20"/>
  <c r="C203" i="20"/>
  <c r="C151" i="20"/>
  <c r="C179" i="20"/>
  <c r="G243" i="20"/>
  <c r="O236" i="17"/>
  <c r="H243" i="20" s="1"/>
  <c r="N257" i="17"/>
  <c r="G252" i="20"/>
  <c r="O245" i="17"/>
  <c r="H252" i="20" s="1"/>
  <c r="C160" i="20"/>
  <c r="C140" i="20"/>
  <c r="C158" i="20"/>
  <c r="C174" i="20"/>
  <c r="C199" i="20"/>
  <c r="C176" i="20"/>
  <c r="C146" i="20"/>
  <c r="C167" i="20"/>
  <c r="C200" i="20"/>
  <c r="C190" i="20"/>
  <c r="C197" i="20"/>
  <c r="C186" i="20"/>
  <c r="C150" i="20"/>
  <c r="C223" i="20"/>
  <c r="C228" i="20"/>
  <c r="C204" i="20"/>
  <c r="C222" i="20"/>
  <c r="C209" i="20"/>
  <c r="C207" i="20"/>
  <c r="C208" i="20"/>
  <c r="C218" i="20"/>
  <c r="C214" i="20"/>
  <c r="C225" i="20"/>
  <c r="C220" i="20"/>
  <c r="C226" i="20"/>
  <c r="C219" i="20"/>
  <c r="G241" i="20"/>
  <c r="O234" i="17"/>
  <c r="H241" i="20" s="1"/>
  <c r="C194" i="20"/>
  <c r="C184" i="20"/>
  <c r="C148" i="20"/>
  <c r="C139" i="20"/>
  <c r="C185" i="20"/>
  <c r="C164" i="20"/>
  <c r="C144" i="20"/>
  <c r="C188" i="20"/>
  <c r="C177" i="20"/>
  <c r="C162" i="20"/>
  <c r="C163" i="20"/>
  <c r="C192" i="20"/>
  <c r="C156" i="20"/>
  <c r="C155" i="20"/>
  <c r="C189" i="20"/>
  <c r="C171" i="20"/>
  <c r="C173" i="20"/>
  <c r="C141" i="20"/>
  <c r="C191" i="20"/>
  <c r="C201" i="20"/>
  <c r="C187" i="20"/>
  <c r="C180" i="20"/>
  <c r="C143" i="20"/>
  <c r="C166" i="20"/>
  <c r="C198" i="20"/>
  <c r="C137" i="20"/>
  <c r="C152" i="20"/>
  <c r="C182" i="20"/>
  <c r="O250" i="17" l="1"/>
  <c r="H257" i="20" s="1"/>
  <c r="O255" i="17"/>
  <c r="H262" i="20" s="1"/>
  <c r="O256" i="17"/>
  <c r="H263" i="20" s="1"/>
  <c r="O247" i="17"/>
  <c r="H254" i="20" s="1"/>
  <c r="G253" i="20"/>
  <c r="O254" i="17"/>
  <c r="H261" i="20" s="1"/>
  <c r="O251" i="17"/>
  <c r="H258" i="20" s="1"/>
  <c r="C172" i="20"/>
  <c r="C238" i="20"/>
  <c r="C231" i="20"/>
  <c r="O257" i="17"/>
  <c r="H264" i="20" s="1"/>
  <c r="G264" i="20"/>
  <c r="C236" i="20"/>
  <c r="C240" i="20"/>
  <c r="C235" i="20"/>
  <c r="C239" i="20"/>
  <c r="C252" i="20"/>
  <c r="C232" i="20"/>
  <c r="C237" i="20"/>
  <c r="C234" i="20"/>
  <c r="C233" i="20"/>
  <c r="C230" i="20"/>
  <c r="J160" i="20" l="1"/>
  <c r="K146" i="20"/>
  <c r="J150" i="20"/>
  <c r="C250" i="20"/>
  <c r="K166" i="20"/>
  <c r="K161" i="20"/>
  <c r="J167" i="20"/>
  <c r="C261" i="20"/>
  <c r="K177" i="20"/>
  <c r="K173" i="20"/>
  <c r="K187" i="20"/>
  <c r="K143" i="20"/>
  <c r="C169" i="20"/>
  <c r="J134" i="20"/>
  <c r="C244" i="20"/>
  <c r="J136" i="20"/>
  <c r="J148" i="20"/>
  <c r="J185" i="20"/>
  <c r="K192" i="20"/>
  <c r="J180" i="20"/>
  <c r="K182" i="20"/>
  <c r="J142" i="20"/>
  <c r="K138" i="20"/>
  <c r="C254" i="20"/>
  <c r="K179" i="20"/>
  <c r="C247" i="20"/>
  <c r="J184" i="20"/>
  <c r="J139" i="20"/>
  <c r="K188" i="20"/>
  <c r="K174" i="20"/>
  <c r="J186" i="20"/>
  <c r="K150" i="20"/>
  <c r="C262" i="20"/>
  <c r="J192" i="20"/>
  <c r="J155" i="20"/>
  <c r="J182" i="20"/>
  <c r="C242" i="20"/>
  <c r="C245" i="20"/>
  <c r="K147" i="20"/>
  <c r="C259" i="20"/>
  <c r="J188" i="20"/>
  <c r="C205" i="20"/>
  <c r="J174" i="20"/>
  <c r="K176" i="20"/>
  <c r="J189" i="20"/>
  <c r="C181" i="20"/>
  <c r="J175" i="20"/>
  <c r="C256" i="20"/>
  <c r="K153" i="20"/>
  <c r="C229" i="20"/>
  <c r="C217" i="20"/>
  <c r="C258" i="20"/>
  <c r="K158" i="20"/>
  <c r="C243" i="20"/>
  <c r="J141" i="20"/>
  <c r="K142" i="20"/>
  <c r="J138" i="20"/>
  <c r="C257" i="20"/>
  <c r="C133" i="20"/>
  <c r="C248" i="20"/>
  <c r="J190" i="20"/>
  <c r="K186" i="20"/>
  <c r="K156" i="20"/>
  <c r="K191" i="20"/>
  <c r="J187" i="20"/>
  <c r="J152" i="20"/>
  <c r="J168" i="20"/>
  <c r="J170" i="20"/>
  <c r="K154" i="20"/>
  <c r="C251" i="20"/>
  <c r="K135" i="20"/>
  <c r="J151" i="20"/>
  <c r="K144" i="20"/>
  <c r="C157" i="20"/>
  <c r="C246" i="20"/>
  <c r="C255" i="20"/>
  <c r="J162" i="20"/>
  <c r="K155" i="20"/>
  <c r="K171" i="20"/>
  <c r="J137" i="20"/>
  <c r="J149" i="20"/>
  <c r="K178" i="20"/>
  <c r="J183" i="20"/>
  <c r="J165" i="20"/>
  <c r="J147" i="20"/>
  <c r="K159" i="20"/>
  <c r="K164" i="20"/>
  <c r="C260" i="20"/>
  <c r="J140" i="20"/>
  <c r="J176" i="20"/>
  <c r="C249" i="20"/>
  <c r="K163" i="20"/>
  <c r="K189" i="20"/>
  <c r="K175" i="20"/>
  <c r="C263" i="20"/>
  <c r="J153" i="20"/>
  <c r="C193" i="20"/>
  <c r="J156" i="20" l="1"/>
  <c r="K180" i="20"/>
  <c r="J146" i="20"/>
  <c r="K136" i="20"/>
  <c r="J159" i="20"/>
  <c r="J179" i="20"/>
  <c r="K185" i="20"/>
  <c r="K183" i="20"/>
  <c r="J166" i="20"/>
  <c r="K172" i="20"/>
  <c r="K168" i="20"/>
  <c r="C241" i="20"/>
  <c r="K148" i="20"/>
  <c r="J143" i="20"/>
  <c r="J161" i="20"/>
  <c r="K149" i="20"/>
  <c r="J171" i="20"/>
  <c r="C145" i="20"/>
  <c r="J144" i="20"/>
  <c r="K151" i="20"/>
  <c r="J191" i="20"/>
  <c r="K140" i="20"/>
  <c r="K162" i="20"/>
  <c r="K134" i="20"/>
  <c r="J173" i="20"/>
  <c r="J177" i="20"/>
  <c r="K167" i="20"/>
  <c r="K139" i="20"/>
  <c r="K160" i="20"/>
  <c r="J172" i="20"/>
  <c r="J154" i="20"/>
  <c r="K152" i="20"/>
  <c r="J163" i="20"/>
  <c r="K190" i="20"/>
  <c r="J178" i="20"/>
  <c r="K137" i="20"/>
  <c r="K141" i="20"/>
  <c r="J158" i="20"/>
  <c r="K184" i="20"/>
  <c r="J164" i="20"/>
  <c r="K165" i="20"/>
  <c r="J157" i="20" l="1"/>
  <c r="J181" i="20"/>
  <c r="C253" i="20"/>
  <c r="K133" i="20"/>
  <c r="K169" i="20"/>
  <c r="J133" i="20" l="1"/>
  <c r="J169" i="20"/>
  <c r="K157" i="20"/>
  <c r="J145" i="20"/>
  <c r="K181" i="20"/>
  <c r="K253" i="20" l="1"/>
  <c r="K145" i="20"/>
  <c r="J253" i="20" l="1"/>
  <c r="K256" i="20"/>
  <c r="K263" i="20"/>
  <c r="K258" i="20"/>
  <c r="J256" i="20"/>
  <c r="J263" i="20"/>
  <c r="J258" i="20"/>
  <c r="J262" i="20"/>
  <c r="K257" i="20"/>
  <c r="J255" i="20"/>
  <c r="J260" i="20"/>
  <c r="J254" i="20"/>
  <c r="J261" i="20"/>
  <c r="K259" i="20"/>
  <c r="K254" i="20"/>
  <c r="K261" i="20"/>
  <c r="J259" i="20"/>
  <c r="K255" i="20"/>
  <c r="J264" i="20"/>
  <c r="K260" i="20"/>
  <c r="K262" i="20"/>
  <c r="J257" i="20"/>
  <c r="B3" i="17" l="1"/>
  <c r="B1" i="19"/>
  <c r="B1" i="20" s="1"/>
  <c r="D1" i="25"/>
  <c r="K170" i="20" l="1"/>
  <c r="J135" i="20"/>
  <c r="B13" i="20" l="1"/>
  <c r="B14" i="20" l="1"/>
  <c r="M13" i="20"/>
  <c r="B8" i="19"/>
  <c r="B9" i="19" s="1"/>
  <c r="B10" i="19" s="1"/>
  <c r="B11" i="19" s="1"/>
  <c r="B12" i="19" s="1"/>
  <c r="B13" i="19" s="1"/>
  <c r="B14" i="19" s="1"/>
  <c r="B15" i="19" s="1"/>
  <c r="B16" i="19" s="1"/>
  <c r="B17" i="19" s="1"/>
  <c r="B18" i="19" s="1"/>
  <c r="R6" i="17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I35" i="25" s="1"/>
  <c r="L35" i="25" s="1"/>
  <c r="O35" i="25" s="1"/>
  <c r="R35" i="25" s="1"/>
  <c r="F50" i="25" s="1"/>
  <c r="I50" i="25" s="1"/>
  <c r="L50" i="25" s="1"/>
  <c r="O50" i="25" s="1"/>
  <c r="R50" i="25" s="1"/>
  <c r="F65" i="25" s="1"/>
  <c r="B19" i="19" l="1"/>
  <c r="B15" i="20"/>
  <c r="M14" i="20"/>
  <c r="R7" i="17"/>
  <c r="B16" i="20" l="1"/>
  <c r="M15" i="20"/>
  <c r="R8" i="17"/>
  <c r="B20" i="19"/>
  <c r="B21" i="19" l="1"/>
  <c r="B17" i="20"/>
  <c r="R9" i="17"/>
  <c r="M16" i="20"/>
  <c r="B22" i="19" l="1"/>
  <c r="B18" i="20"/>
  <c r="R10" i="17"/>
  <c r="M17" i="20"/>
  <c r="B19" i="20" l="1"/>
  <c r="M18" i="20"/>
  <c r="R11" i="17"/>
  <c r="B23" i="19"/>
  <c r="B20" i="20" l="1"/>
  <c r="R12" i="17"/>
  <c r="M19" i="20"/>
  <c r="B24" i="19"/>
  <c r="B21" i="20" l="1"/>
  <c r="R13" i="17"/>
  <c r="M20" i="20"/>
  <c r="B25" i="19"/>
  <c r="B26" i="19" l="1"/>
  <c r="B22" i="20"/>
  <c r="M21" i="20"/>
  <c r="R14" i="17"/>
  <c r="B23" i="20" l="1"/>
  <c r="R15" i="17"/>
  <c r="M22" i="20"/>
  <c r="B27" i="19"/>
  <c r="B28" i="19" l="1"/>
  <c r="B24" i="20"/>
  <c r="R16" i="17"/>
  <c r="M23" i="20"/>
  <c r="B25" i="20" l="1"/>
  <c r="M24" i="20"/>
  <c r="R17" i="17"/>
  <c r="M25" i="20" l="1"/>
  <c r="R18" i="17"/>
  <c r="B26" i="20"/>
  <c r="W7" i="17"/>
  <c r="M26" i="20" l="1"/>
  <c r="B27" i="20"/>
  <c r="R19" i="17"/>
  <c r="M27" i="20" l="1"/>
  <c r="R20" i="17"/>
  <c r="B28" i="20"/>
  <c r="M28" i="20" l="1"/>
  <c r="B29" i="20"/>
  <c r="R21" i="17"/>
  <c r="M29" i="20" l="1"/>
  <c r="B30" i="20"/>
  <c r="R22" i="17"/>
  <c r="M30" i="20" l="1"/>
  <c r="B31" i="20"/>
  <c r="R23" i="17"/>
  <c r="B32" i="20" l="1"/>
  <c r="R24" i="17"/>
  <c r="M31" i="20"/>
  <c r="B33" i="20" l="1"/>
  <c r="R25" i="17"/>
  <c r="M32" i="20"/>
  <c r="M33" i="20" l="1"/>
  <c r="R26" i="17"/>
  <c r="B34" i="20"/>
  <c r="M34" i="20" l="1"/>
  <c r="B35" i="20"/>
  <c r="R27" i="17"/>
  <c r="L9" i="18" l="1"/>
  <c r="M35" i="20"/>
  <c r="R28" i="17"/>
  <c r="B36" i="20"/>
  <c r="R29" i="17" l="1"/>
  <c r="M36" i="20"/>
  <c r="B37" i="20"/>
  <c r="W19" i="17" l="1"/>
  <c r="R30" i="17"/>
  <c r="B38" i="20"/>
  <c r="M37" i="20"/>
  <c r="M38" i="20" l="1"/>
  <c r="R31" i="17"/>
  <c r="B39" i="20"/>
  <c r="M39" i="20" l="1"/>
  <c r="B40" i="20"/>
  <c r="R32" i="17"/>
  <c r="B41" i="20" l="1"/>
  <c r="M40" i="20"/>
  <c r="R33" i="17"/>
  <c r="B42" i="20" l="1"/>
  <c r="M41" i="20"/>
  <c r="R34" i="17"/>
  <c r="M42" i="20" l="1"/>
  <c r="R35" i="17"/>
  <c r="B43" i="20"/>
  <c r="M43" i="20" l="1"/>
  <c r="R36" i="17"/>
  <c r="B44" i="20"/>
  <c r="M44" i="20" l="1"/>
  <c r="B45" i="20"/>
  <c r="R37" i="17"/>
  <c r="B46" i="20" l="1"/>
  <c r="M45" i="20"/>
  <c r="R38" i="17"/>
  <c r="R39" i="17" l="1"/>
  <c r="B47" i="20"/>
  <c r="M46" i="20"/>
  <c r="M47" i="20" l="1"/>
  <c r="R40" i="17"/>
  <c r="B48" i="20"/>
  <c r="R41" i="17" l="1"/>
  <c r="M48" i="20"/>
  <c r="B49" i="20"/>
  <c r="B50" i="20" l="1"/>
  <c r="M49" i="20"/>
  <c r="R42" i="17"/>
  <c r="W31" i="17" l="1"/>
  <c r="B51" i="20"/>
  <c r="M50" i="20"/>
  <c r="R43" i="17"/>
  <c r="R44" i="17" l="1"/>
  <c r="B52" i="20"/>
  <c r="M51" i="20"/>
  <c r="R45" i="17" l="1"/>
  <c r="M52" i="20"/>
  <c r="B53" i="20"/>
  <c r="M53" i="20" l="1"/>
  <c r="R46" i="17"/>
  <c r="B54" i="20"/>
  <c r="R47" i="17" l="1"/>
  <c r="M54" i="20"/>
  <c r="B55" i="20"/>
  <c r="R48" i="17" l="1"/>
  <c r="M55" i="20"/>
  <c r="B56" i="20"/>
  <c r="B57" i="20" l="1"/>
  <c r="R49" i="17"/>
  <c r="M56" i="20"/>
  <c r="B58" i="20" l="1"/>
  <c r="R50" i="17"/>
  <c r="M57" i="20"/>
  <c r="M58" i="20" l="1"/>
  <c r="R51" i="17"/>
  <c r="B59" i="20"/>
  <c r="R52" i="17" l="1"/>
  <c r="M59" i="20"/>
  <c r="B60" i="20"/>
  <c r="M60" i="20" l="1"/>
  <c r="R53" i="17"/>
  <c r="B61" i="20"/>
  <c r="W43" i="17" l="1"/>
  <c r="M61" i="20"/>
  <c r="R54" i="17"/>
  <c r="B62" i="20"/>
  <c r="M62" i="20" l="1"/>
  <c r="R55" i="17"/>
  <c r="B63" i="20"/>
  <c r="M63" i="20" l="1"/>
  <c r="R56" i="17"/>
  <c r="B64" i="20"/>
  <c r="M64" i="20" l="1"/>
  <c r="B65" i="20"/>
  <c r="R57" i="17"/>
  <c r="B66" i="20" l="1"/>
  <c r="M65" i="20"/>
  <c r="R58" i="17"/>
  <c r="M66" i="20" l="1"/>
  <c r="R59" i="17"/>
  <c r="B67" i="20"/>
  <c r="M67" i="20" l="1"/>
  <c r="R60" i="17"/>
  <c r="B68" i="20"/>
  <c r="B69" i="20" l="1"/>
  <c r="M68" i="20"/>
  <c r="R61" i="17"/>
  <c r="M69" i="20" l="1"/>
  <c r="R62" i="17"/>
  <c r="B70" i="20"/>
  <c r="M70" i="20" l="1"/>
  <c r="R63" i="17"/>
  <c r="B71" i="20"/>
  <c r="R64" i="17" l="1"/>
  <c r="M71" i="20"/>
  <c r="B72" i="20"/>
  <c r="R65" i="17" l="1"/>
  <c r="B73" i="20"/>
  <c r="M72" i="20"/>
  <c r="B74" i="20" l="1"/>
  <c r="M73" i="20"/>
  <c r="R66" i="17"/>
  <c r="W55" i="17"/>
  <c r="R67" i="17" l="1"/>
  <c r="M74" i="20"/>
  <c r="B75" i="20"/>
  <c r="B76" i="20" l="1"/>
  <c r="M75" i="20"/>
  <c r="R68" i="17"/>
  <c r="M76" i="20" l="1"/>
  <c r="R69" i="17"/>
  <c r="B77" i="20"/>
  <c r="R70" i="17" l="1"/>
  <c r="B78" i="20"/>
  <c r="M77" i="20"/>
  <c r="R71" i="17" l="1"/>
  <c r="B79" i="20"/>
  <c r="M78" i="20"/>
  <c r="M79" i="20" l="1"/>
  <c r="R72" i="17"/>
  <c r="B80" i="20"/>
  <c r="R73" i="17" l="1"/>
  <c r="M80" i="20"/>
  <c r="B81" i="20"/>
  <c r="M81" i="20" l="1"/>
  <c r="R74" i="17"/>
  <c r="B82" i="20"/>
  <c r="M82" i="20" l="1"/>
  <c r="R75" i="17"/>
  <c r="B83" i="20"/>
  <c r="R76" i="17" l="1"/>
  <c r="B84" i="20"/>
  <c r="M83" i="20"/>
  <c r="M84" i="20" l="1"/>
  <c r="B85" i="20"/>
  <c r="R77" i="17"/>
  <c r="W67" i="17" l="1"/>
  <c r="B86" i="20"/>
  <c r="R78" i="17"/>
  <c r="M85" i="20"/>
  <c r="B87" i="20" l="1"/>
  <c r="R79" i="17"/>
  <c r="M86" i="20"/>
  <c r="B88" i="20" l="1"/>
  <c r="M87" i="20"/>
  <c r="R80" i="17"/>
  <c r="B89" i="20" l="1"/>
  <c r="R81" i="17"/>
  <c r="M88" i="20"/>
  <c r="B90" i="20" l="1"/>
  <c r="M89" i="20"/>
  <c r="R82" i="17"/>
  <c r="M90" i="20" l="1"/>
  <c r="R83" i="17"/>
  <c r="B91" i="20"/>
  <c r="B92" i="20" l="1"/>
  <c r="R84" i="17"/>
  <c r="M91" i="20"/>
  <c r="B93" i="20" l="1"/>
  <c r="R85" i="17"/>
  <c r="M92" i="20"/>
  <c r="M93" i="20" l="1"/>
  <c r="R86" i="17"/>
  <c r="B94" i="20"/>
  <c r="R87" i="17" l="1"/>
  <c r="M94" i="20"/>
  <c r="B95" i="20"/>
  <c r="M95" i="20" l="1"/>
  <c r="R88" i="17"/>
  <c r="B96" i="20"/>
  <c r="R89" i="17" l="1"/>
  <c r="M96" i="20"/>
  <c r="B97" i="20"/>
  <c r="B98" i="20" l="1"/>
  <c r="R90" i="17"/>
  <c r="M97" i="20"/>
  <c r="W79" i="17"/>
  <c r="M98" i="20" l="1"/>
  <c r="B99" i="20"/>
  <c r="R91" i="17"/>
  <c r="M99" i="20" l="1"/>
  <c r="R92" i="17"/>
  <c r="B100" i="20"/>
  <c r="M100" i="20" l="1"/>
  <c r="B101" i="20"/>
  <c r="R93" i="17"/>
  <c r="B102" i="20" l="1"/>
  <c r="R94" i="17"/>
  <c r="M101" i="20"/>
  <c r="M102" i="20" l="1"/>
  <c r="R95" i="17"/>
  <c r="B103" i="20"/>
  <c r="B104" i="20" l="1"/>
  <c r="M103" i="20"/>
  <c r="R96" i="17"/>
  <c r="B105" i="20" l="1"/>
  <c r="R97" i="17"/>
  <c r="M104" i="20"/>
  <c r="R98" i="17" l="1"/>
  <c r="M105" i="20"/>
  <c r="B106" i="20"/>
  <c r="M106" i="20" l="1"/>
  <c r="B107" i="20"/>
  <c r="R99" i="17"/>
  <c r="R100" i="17" l="1"/>
  <c r="M107" i="20"/>
  <c r="B108" i="20"/>
  <c r="B109" i="20" l="1"/>
  <c r="R101" i="17"/>
  <c r="M108" i="20"/>
  <c r="W91" i="17" l="1"/>
  <c r="B110" i="20"/>
  <c r="M109" i="20"/>
  <c r="R102" i="17"/>
  <c r="M110" i="20" l="1"/>
  <c r="R103" i="17"/>
  <c r="B111" i="20"/>
  <c r="R104" i="17" l="1"/>
  <c r="B112" i="20"/>
  <c r="M111" i="20"/>
  <c r="R105" i="17" l="1"/>
  <c r="B113" i="20"/>
  <c r="M112" i="20"/>
  <c r="M113" i="20" l="1"/>
  <c r="B114" i="20"/>
  <c r="R106" i="17"/>
  <c r="B115" i="20" l="1"/>
  <c r="R107" i="17"/>
  <c r="M114" i="20"/>
  <c r="B116" i="20" l="1"/>
  <c r="M115" i="20"/>
  <c r="R108" i="17"/>
  <c r="R109" i="17" l="1"/>
  <c r="M116" i="20"/>
  <c r="B117" i="20"/>
  <c r="M117" i="20" l="1"/>
  <c r="R110" i="17"/>
  <c r="B118" i="20"/>
  <c r="B119" i="20" l="1"/>
  <c r="R111" i="17"/>
  <c r="M118" i="20"/>
  <c r="M119" i="20" l="1"/>
  <c r="B120" i="20"/>
  <c r="R112" i="17"/>
  <c r="M120" i="20" l="1"/>
  <c r="R113" i="17"/>
  <c r="B121" i="20"/>
  <c r="R114" i="17" l="1"/>
  <c r="M121" i="20"/>
  <c r="B122" i="20"/>
  <c r="W103" i="17"/>
  <c r="B123" i="20" l="1"/>
  <c r="R115" i="17"/>
  <c r="M122" i="20"/>
  <c r="B124" i="20" l="1"/>
  <c r="R116" i="17"/>
  <c r="M123" i="20"/>
  <c r="B125" i="20" l="1"/>
  <c r="M124" i="20"/>
  <c r="R117" i="17"/>
  <c r="R118" i="17" l="1"/>
  <c r="M125" i="20"/>
  <c r="B126" i="20"/>
  <c r="B127" i="20" l="1"/>
  <c r="R119" i="17"/>
  <c r="M126" i="20"/>
  <c r="B128" i="20" l="1"/>
  <c r="R120" i="17"/>
  <c r="M127" i="20"/>
  <c r="R121" i="17" l="1"/>
  <c r="M128" i="20"/>
  <c r="B129" i="20"/>
  <c r="B130" i="20" l="1"/>
  <c r="M129" i="20"/>
  <c r="R122" i="17"/>
  <c r="B131" i="20" l="1"/>
  <c r="M130" i="20"/>
  <c r="R123" i="17"/>
  <c r="M131" i="20" l="1"/>
  <c r="B132" i="20"/>
  <c r="R124" i="17"/>
  <c r="B133" i="20" l="1"/>
  <c r="R125" i="17"/>
  <c r="M132" i="20"/>
  <c r="W166" i="17"/>
  <c r="W249" i="17"/>
  <c r="W142" i="17"/>
  <c r="W153" i="17"/>
  <c r="W225" i="17"/>
  <c r="W190" i="17"/>
  <c r="W214" i="17"/>
  <c r="W201" i="17"/>
  <c r="W165" i="17"/>
  <c r="W167" i="17" s="1"/>
  <c r="W250" i="17"/>
  <c r="W129" i="17"/>
  <c r="W130" i="17"/>
  <c r="W189" i="17"/>
  <c r="W238" i="17"/>
  <c r="W177" i="17"/>
  <c r="W202" i="17"/>
  <c r="W226" i="17"/>
  <c r="W154" i="17"/>
  <c r="W141" i="17"/>
  <c r="W143" i="17" s="1"/>
  <c r="W178" i="17"/>
  <c r="W213" i="17"/>
  <c r="W237" i="17"/>
  <c r="W239" i="17" s="1"/>
  <c r="W191" i="17" l="1"/>
  <c r="W155" i="17"/>
  <c r="W203" i="17"/>
  <c r="W179" i="17"/>
  <c r="W251" i="17"/>
  <c r="W131" i="17"/>
  <c r="W215" i="17"/>
  <c r="W227" i="17"/>
  <c r="M133" i="20"/>
  <c r="B134" i="20"/>
  <c r="R126" i="17"/>
  <c r="W115" i="17" l="1"/>
  <c r="B135" i="20"/>
  <c r="M134" i="20"/>
  <c r="R127" i="17"/>
  <c r="U126" i="17" l="1"/>
  <c r="E133" i="20" s="1"/>
  <c r="R128" i="17"/>
  <c r="M135" i="20"/>
  <c r="B136" i="20"/>
  <c r="U127" i="17" l="1"/>
  <c r="D134" i="20" s="1"/>
  <c r="D133" i="20"/>
  <c r="E134" i="20"/>
  <c r="B137" i="20"/>
  <c r="M136" i="20"/>
  <c r="R129" i="17"/>
  <c r="I133" i="20" l="1"/>
  <c r="I134" i="20"/>
  <c r="U128" i="17"/>
  <c r="E135" i="20" s="1"/>
  <c r="B138" i="20"/>
  <c r="R130" i="17"/>
  <c r="M137" i="20"/>
  <c r="D135" i="20" l="1"/>
  <c r="U129" i="17"/>
  <c r="D136" i="20" s="1"/>
  <c r="M138" i="20"/>
  <c r="R131" i="17"/>
  <c r="B139" i="20"/>
  <c r="I135" i="20" l="1"/>
  <c r="U130" i="17"/>
  <c r="E137" i="20" s="1"/>
  <c r="E136" i="20"/>
  <c r="B140" i="20"/>
  <c r="R132" i="17"/>
  <c r="M139" i="20"/>
  <c r="D137" i="20" l="1"/>
  <c r="U131" i="17"/>
  <c r="E138" i="20" s="1"/>
  <c r="I137" i="20"/>
  <c r="I136" i="20"/>
  <c r="B141" i="20"/>
  <c r="R133" i="17"/>
  <c r="M140" i="20"/>
  <c r="D138" i="20" l="1"/>
  <c r="U132" i="17"/>
  <c r="E139" i="20" s="1"/>
  <c r="M141" i="20"/>
  <c r="R134" i="17"/>
  <c r="B142" i="20"/>
  <c r="I138" i="20" l="1"/>
  <c r="U133" i="17"/>
  <c r="E140" i="20" s="1"/>
  <c r="D140" i="20"/>
  <c r="D139" i="20"/>
  <c r="M142" i="20"/>
  <c r="B143" i="20"/>
  <c r="R135" i="17"/>
  <c r="I139" i="20" l="1"/>
  <c r="I140" i="20"/>
  <c r="U134" i="17"/>
  <c r="E141" i="20" s="1"/>
  <c r="B144" i="20"/>
  <c r="R136" i="17"/>
  <c r="M143" i="20"/>
  <c r="D141" i="20" l="1"/>
  <c r="U135" i="17"/>
  <c r="D142" i="20" s="1"/>
  <c r="I141" i="20"/>
  <c r="B145" i="20"/>
  <c r="M144" i="20"/>
  <c r="R137" i="17"/>
  <c r="E142" i="20" l="1"/>
  <c r="U136" i="17"/>
  <c r="E143" i="20" s="1"/>
  <c r="M145" i="20"/>
  <c r="R138" i="17"/>
  <c r="B146" i="20"/>
  <c r="D143" i="20" l="1"/>
  <c r="I142" i="20"/>
  <c r="U137" i="17"/>
  <c r="E144" i="20" s="1"/>
  <c r="W127" i="17"/>
  <c r="W133" i="17" s="1"/>
  <c r="M146" i="20"/>
  <c r="B147" i="20"/>
  <c r="R139" i="17"/>
  <c r="I143" i="20" l="1"/>
  <c r="D144" i="20"/>
  <c r="U138" i="17"/>
  <c r="E145" i="20" s="1"/>
  <c r="R140" i="17"/>
  <c r="M147" i="20"/>
  <c r="B148" i="20"/>
  <c r="D145" i="20" l="1"/>
  <c r="I144" i="20"/>
  <c r="U139" i="17"/>
  <c r="E146" i="20" s="1"/>
  <c r="R141" i="17"/>
  <c r="M148" i="20"/>
  <c r="B149" i="20"/>
  <c r="U140" i="17" l="1"/>
  <c r="D147" i="20" s="1"/>
  <c r="D146" i="20"/>
  <c r="I145" i="20"/>
  <c r="R142" i="17"/>
  <c r="M149" i="20"/>
  <c r="B150" i="20"/>
  <c r="E147" i="20" l="1"/>
  <c r="I146" i="20"/>
  <c r="U141" i="17"/>
  <c r="E148" i="20" s="1"/>
  <c r="M150" i="20"/>
  <c r="R143" i="17"/>
  <c r="B151" i="20"/>
  <c r="I147" i="20" l="1"/>
  <c r="D148" i="20"/>
  <c r="U142" i="17"/>
  <c r="D149" i="20" s="1"/>
  <c r="I148" i="20"/>
  <c r="B152" i="20"/>
  <c r="M151" i="20"/>
  <c r="R144" i="17"/>
  <c r="E149" i="20" l="1"/>
  <c r="U143" i="17"/>
  <c r="D150" i="20" s="1"/>
  <c r="B153" i="20"/>
  <c r="M152" i="20"/>
  <c r="R145" i="17"/>
  <c r="I149" i="20" l="1"/>
  <c r="E150" i="20"/>
  <c r="U144" i="17"/>
  <c r="E151" i="20" s="1"/>
  <c r="R146" i="17"/>
  <c r="M153" i="20"/>
  <c r="B154" i="20"/>
  <c r="D151" i="20" l="1"/>
  <c r="I151" i="20" s="1"/>
  <c r="I150" i="20"/>
  <c r="U145" i="17"/>
  <c r="D152" i="20" s="1"/>
  <c r="R147" i="17"/>
  <c r="B155" i="20"/>
  <c r="M154" i="20"/>
  <c r="E152" i="20" l="1"/>
  <c r="U146" i="17"/>
  <c r="D153" i="20" s="1"/>
  <c r="M155" i="20"/>
  <c r="R148" i="17"/>
  <c r="B156" i="20"/>
  <c r="E153" i="20" l="1"/>
  <c r="I152" i="20"/>
  <c r="U147" i="17"/>
  <c r="E154" i="20" s="1"/>
  <c r="R149" i="17"/>
  <c r="B157" i="20"/>
  <c r="M156" i="20"/>
  <c r="I153" i="20" l="1"/>
  <c r="D154" i="20"/>
  <c r="U148" i="17"/>
  <c r="E155" i="20" s="1"/>
  <c r="M157" i="20"/>
  <c r="R150" i="17"/>
  <c r="B158" i="20"/>
  <c r="D155" i="20" l="1"/>
  <c r="I154" i="20"/>
  <c r="U149" i="17"/>
  <c r="D156" i="20" s="1"/>
  <c r="W139" i="17"/>
  <c r="W145" i="17" s="1"/>
  <c r="I155" i="20"/>
  <c r="R151" i="17"/>
  <c r="B159" i="20"/>
  <c r="M158" i="20"/>
  <c r="E156" i="20" l="1"/>
  <c r="U150" i="17"/>
  <c r="D157" i="20" s="1"/>
  <c r="I156" i="20"/>
  <c r="B160" i="20"/>
  <c r="M159" i="20"/>
  <c r="R152" i="17"/>
  <c r="E157" i="20" l="1"/>
  <c r="U151" i="17"/>
  <c r="E158" i="20" s="1"/>
  <c r="R153" i="17"/>
  <c r="B161" i="20"/>
  <c r="M160" i="20"/>
  <c r="I157" i="20" l="1"/>
  <c r="D158" i="20"/>
  <c r="I158" i="20" s="1"/>
  <c r="U152" i="17"/>
  <c r="E159" i="20" s="1"/>
  <c r="R154" i="17"/>
  <c r="B162" i="20"/>
  <c r="M161" i="20"/>
  <c r="D159" i="20" l="1"/>
  <c r="I159" i="20" s="1"/>
  <c r="U153" i="17"/>
  <c r="E160" i="20" s="1"/>
  <c r="B163" i="20"/>
  <c r="M162" i="20"/>
  <c r="R155" i="17"/>
  <c r="D160" i="20" l="1"/>
  <c r="I160" i="20" s="1"/>
  <c r="U154" i="17"/>
  <c r="D161" i="20" s="1"/>
  <c r="R156" i="17"/>
  <c r="M163" i="20"/>
  <c r="B164" i="20"/>
  <c r="E161" i="20" l="1"/>
  <c r="U155" i="17"/>
  <c r="E162" i="20" s="1"/>
  <c r="B165" i="20"/>
  <c r="M164" i="20"/>
  <c r="R157" i="17"/>
  <c r="I161" i="20" l="1"/>
  <c r="D162" i="20"/>
  <c r="I162" i="20" s="1"/>
  <c r="U156" i="17"/>
  <c r="D163" i="20" s="1"/>
  <c r="M165" i="20"/>
  <c r="R158" i="17"/>
  <c r="B166" i="20"/>
  <c r="E163" i="20" l="1"/>
  <c r="U157" i="17"/>
  <c r="D164" i="20" s="1"/>
  <c r="R159" i="17"/>
  <c r="B167" i="20"/>
  <c r="M166" i="20"/>
  <c r="E164" i="20" l="1"/>
  <c r="I163" i="20"/>
  <c r="U158" i="17"/>
  <c r="E165" i="20" s="1"/>
  <c r="R160" i="17"/>
  <c r="M167" i="20"/>
  <c r="B168" i="20"/>
  <c r="I164" i="20" l="1"/>
  <c r="D165" i="20"/>
  <c r="U159" i="17"/>
  <c r="D166" i="20" s="1"/>
  <c r="R161" i="17"/>
  <c r="B169" i="20"/>
  <c r="M168" i="20"/>
  <c r="E166" i="20" l="1"/>
  <c r="I165" i="20"/>
  <c r="U160" i="17"/>
  <c r="D167" i="20" s="1"/>
  <c r="R162" i="17"/>
  <c r="M169" i="20"/>
  <c r="B170" i="20"/>
  <c r="E167" i="20" l="1"/>
  <c r="I166" i="20"/>
  <c r="U161" i="17"/>
  <c r="D168" i="20" s="1"/>
  <c r="W151" i="17"/>
  <c r="W157" i="17" s="1"/>
  <c r="B171" i="20"/>
  <c r="R163" i="17"/>
  <c r="M170" i="20"/>
  <c r="I167" i="20" l="1"/>
  <c r="E168" i="20"/>
  <c r="U162" i="17"/>
  <c r="D169" i="20" s="1"/>
  <c r="R164" i="17"/>
  <c r="B172" i="20"/>
  <c r="M171" i="20"/>
  <c r="I168" i="20" l="1"/>
  <c r="E169" i="20"/>
  <c r="U163" i="17"/>
  <c r="E170" i="20" s="1"/>
  <c r="B173" i="20"/>
  <c r="R165" i="17"/>
  <c r="M172" i="20"/>
  <c r="I169" i="20" l="1"/>
  <c r="D170" i="20"/>
  <c r="U164" i="17"/>
  <c r="E171" i="20" s="1"/>
  <c r="R166" i="17"/>
  <c r="B174" i="20"/>
  <c r="M173" i="20"/>
  <c r="D171" i="20" l="1"/>
  <c r="I171" i="20" s="1"/>
  <c r="I170" i="20"/>
  <c r="U165" i="17"/>
  <c r="E172" i="20" s="1"/>
  <c r="R167" i="17"/>
  <c r="M174" i="20"/>
  <c r="B175" i="20"/>
  <c r="U166" i="17" l="1"/>
  <c r="E173" i="20" s="1"/>
  <c r="D172" i="20"/>
  <c r="B176" i="20"/>
  <c r="R168" i="17"/>
  <c r="M175" i="20"/>
  <c r="D173" i="20" l="1"/>
  <c r="I172" i="20"/>
  <c r="U167" i="17"/>
  <c r="E174" i="20" s="1"/>
  <c r="M176" i="20"/>
  <c r="R169" i="17"/>
  <c r="B177" i="20"/>
  <c r="I173" i="20" l="1"/>
  <c r="D174" i="20"/>
  <c r="U168" i="17"/>
  <c r="E175" i="20" s="1"/>
  <c r="M177" i="20"/>
  <c r="R170" i="17"/>
  <c r="B178" i="20"/>
  <c r="D175" i="20" l="1"/>
  <c r="U169" i="17"/>
  <c r="E176" i="20" s="1"/>
  <c r="I174" i="20"/>
  <c r="M178" i="20"/>
  <c r="R171" i="17"/>
  <c r="B179" i="20"/>
  <c r="I175" i="20" l="1"/>
  <c r="U170" i="17"/>
  <c r="E177" i="20" s="1"/>
  <c r="D176" i="20"/>
  <c r="R172" i="17"/>
  <c r="M179" i="20"/>
  <c r="B180" i="20"/>
  <c r="D177" i="20" l="1"/>
  <c r="I176" i="20"/>
  <c r="U171" i="17"/>
  <c r="E178" i="20" s="1"/>
  <c r="R173" i="17"/>
  <c r="M180" i="20"/>
  <c r="B181" i="20"/>
  <c r="I177" i="20" l="1"/>
  <c r="D178" i="20"/>
  <c r="U172" i="17"/>
  <c r="E179" i="20" s="1"/>
  <c r="R174" i="17"/>
  <c r="B182" i="20"/>
  <c r="M181" i="20"/>
  <c r="I178" i="20" l="1"/>
  <c r="D179" i="20"/>
  <c r="I179" i="20" s="1"/>
  <c r="U173" i="17"/>
  <c r="E180" i="20" s="1"/>
  <c r="W163" i="17"/>
  <c r="W169" i="17" s="1"/>
  <c r="M182" i="20"/>
  <c r="B183" i="20"/>
  <c r="R175" i="17"/>
  <c r="D180" i="20" l="1"/>
  <c r="I180" i="20" s="1"/>
  <c r="U174" i="17"/>
  <c r="E181" i="20" s="1"/>
  <c r="M183" i="20"/>
  <c r="B184" i="20"/>
  <c r="R176" i="17"/>
  <c r="D181" i="20" l="1"/>
  <c r="U175" i="17"/>
  <c r="D182" i="20" s="1"/>
  <c r="E182" i="20"/>
  <c r="M184" i="20"/>
  <c r="R177" i="17"/>
  <c r="B185" i="20"/>
  <c r="U176" i="17" l="1"/>
  <c r="D183" i="20" s="1"/>
  <c r="I182" i="20"/>
  <c r="I181" i="20"/>
  <c r="M185" i="20"/>
  <c r="R178" i="17"/>
  <c r="B186" i="20"/>
  <c r="E183" i="20" l="1"/>
  <c r="U177" i="17"/>
  <c r="E184" i="20" s="1"/>
  <c r="R179" i="17"/>
  <c r="M186" i="20"/>
  <c r="B187" i="20"/>
  <c r="I183" i="20" l="1"/>
  <c r="D184" i="20"/>
  <c r="U178" i="17"/>
  <c r="E185" i="20" s="1"/>
  <c r="R180" i="17"/>
  <c r="M187" i="20"/>
  <c r="B188" i="20"/>
  <c r="D185" i="20" l="1"/>
  <c r="I185" i="20" s="1"/>
  <c r="I184" i="20"/>
  <c r="U179" i="17"/>
  <c r="E186" i="20" s="1"/>
  <c r="B189" i="20"/>
  <c r="M188" i="20"/>
  <c r="R181" i="17"/>
  <c r="D186" i="20" l="1"/>
  <c r="I186" i="20"/>
  <c r="U180" i="17"/>
  <c r="D187" i="20" s="1"/>
  <c r="M189" i="20"/>
  <c r="R182" i="17"/>
  <c r="B190" i="20"/>
  <c r="E187" i="20" l="1"/>
  <c r="U181" i="17"/>
  <c r="E188" i="20" s="1"/>
  <c r="M190" i="20"/>
  <c r="B191" i="20"/>
  <c r="R183" i="17"/>
  <c r="I187" i="20" l="1"/>
  <c r="D188" i="20"/>
  <c r="U182" i="17"/>
  <c r="E189" i="20" s="1"/>
  <c r="M191" i="20"/>
  <c r="B192" i="20"/>
  <c r="R184" i="17"/>
  <c r="D189" i="20" l="1"/>
  <c r="I189" i="20" s="1"/>
  <c r="U183" i="17"/>
  <c r="D190" i="20" s="1"/>
  <c r="I188" i="20"/>
  <c r="M192" i="20"/>
  <c r="B193" i="20"/>
  <c r="R185" i="17"/>
  <c r="U184" i="17" l="1"/>
  <c r="E191" i="20" s="1"/>
  <c r="E190" i="20"/>
  <c r="R186" i="17"/>
  <c r="M193" i="20"/>
  <c r="B194" i="20"/>
  <c r="U185" i="17" l="1"/>
  <c r="W175" i="17"/>
  <c r="W181" i="17" s="1"/>
  <c r="D192" i="20"/>
  <c r="D191" i="20"/>
  <c r="E192" i="20"/>
  <c r="I190" i="20"/>
  <c r="M194" i="20"/>
  <c r="B195" i="20"/>
  <c r="R187" i="17"/>
  <c r="I191" i="20" l="1"/>
  <c r="U186" i="17"/>
  <c r="D193" i="20" s="1"/>
  <c r="I192" i="20"/>
  <c r="B196" i="20"/>
  <c r="R188" i="17"/>
  <c r="M195" i="20"/>
  <c r="E193" i="20" l="1"/>
  <c r="I193" i="20" s="1"/>
  <c r="J193" i="20"/>
  <c r="U187" i="17"/>
  <c r="E194" i="20" s="1"/>
  <c r="B197" i="20"/>
  <c r="R189" i="17"/>
  <c r="M196" i="20"/>
  <c r="K193" i="20" l="1"/>
  <c r="K194" i="20"/>
  <c r="D194" i="20"/>
  <c r="U188" i="17"/>
  <c r="D195" i="20" s="1"/>
  <c r="M197" i="20"/>
  <c r="B198" i="20"/>
  <c r="R190" i="17"/>
  <c r="J195" i="20" l="1"/>
  <c r="U189" i="17"/>
  <c r="D196" i="20" s="1"/>
  <c r="I194" i="20"/>
  <c r="J194" i="20"/>
  <c r="E195" i="20"/>
  <c r="M198" i="20"/>
  <c r="R191" i="17"/>
  <c r="B199" i="20"/>
  <c r="J196" i="20" l="1"/>
  <c r="U190" i="17"/>
  <c r="D197" i="20" s="1"/>
  <c r="K195" i="20"/>
  <c r="I195" i="20"/>
  <c r="E196" i="20"/>
  <c r="M199" i="20"/>
  <c r="B200" i="20"/>
  <c r="R192" i="17"/>
  <c r="J197" i="20" l="1"/>
  <c r="K196" i="20"/>
  <c r="U191" i="17"/>
  <c r="E198" i="20" s="1"/>
  <c r="E197" i="20"/>
  <c r="I196" i="20"/>
  <c r="R193" i="17"/>
  <c r="B201" i="20"/>
  <c r="M200" i="20"/>
  <c r="D198" i="20" l="1"/>
  <c r="I198" i="20" s="1"/>
  <c r="K198" i="20"/>
  <c r="K197" i="20"/>
  <c r="U192" i="17"/>
  <c r="D199" i="20" s="1"/>
  <c r="I197" i="20"/>
  <c r="R194" i="17"/>
  <c r="M201" i="20"/>
  <c r="B202" i="20"/>
  <c r="J198" i="20" l="1"/>
  <c r="E199" i="20"/>
  <c r="J199" i="20"/>
  <c r="U193" i="17"/>
  <c r="E200" i="20" s="1"/>
  <c r="R195" i="17"/>
  <c r="M202" i="20"/>
  <c r="B203" i="20"/>
  <c r="K199" i="20" l="1"/>
  <c r="I199" i="20"/>
  <c r="K200" i="20"/>
  <c r="U194" i="17"/>
  <c r="D201" i="20" s="1"/>
  <c r="D200" i="20"/>
  <c r="M203" i="20"/>
  <c r="B204" i="20"/>
  <c r="R196" i="17"/>
  <c r="E201" i="20" l="1"/>
  <c r="K201" i="20" s="1"/>
  <c r="J201" i="20"/>
  <c r="U195" i="17"/>
  <c r="D202" i="20" s="1"/>
  <c r="J200" i="20"/>
  <c r="I200" i="20"/>
  <c r="B205" i="20"/>
  <c r="R197" i="17"/>
  <c r="M204" i="20"/>
  <c r="E202" i="20" l="1"/>
  <c r="K202" i="20" s="1"/>
  <c r="I201" i="20"/>
  <c r="J202" i="20"/>
  <c r="U196" i="17"/>
  <c r="E203" i="20" s="1"/>
  <c r="M205" i="20"/>
  <c r="R198" i="17"/>
  <c r="B206" i="20"/>
  <c r="I202" i="20" l="1"/>
  <c r="K203" i="20"/>
  <c r="D203" i="20"/>
  <c r="U197" i="17"/>
  <c r="E204" i="20" s="1"/>
  <c r="W187" i="17"/>
  <c r="W193" i="17" s="1"/>
  <c r="D204" i="20"/>
  <c r="B207" i="20"/>
  <c r="M206" i="20"/>
  <c r="R199" i="17"/>
  <c r="U198" i="17" l="1"/>
  <c r="D205" i="20" s="1"/>
  <c r="K204" i="20"/>
  <c r="J203" i="20"/>
  <c r="I203" i="20"/>
  <c r="I204" i="20"/>
  <c r="J204" i="20"/>
  <c r="E205" i="20"/>
  <c r="R200" i="17"/>
  <c r="M207" i="20"/>
  <c r="B208" i="20"/>
  <c r="K205" i="20" l="1"/>
  <c r="I205" i="20"/>
  <c r="J205" i="20"/>
  <c r="U199" i="17"/>
  <c r="D206" i="20" s="1"/>
  <c r="B209" i="20"/>
  <c r="M208" i="20"/>
  <c r="R201" i="17"/>
  <c r="J206" i="20" l="1"/>
  <c r="U200" i="17"/>
  <c r="E207" i="20" s="1"/>
  <c r="E206" i="20"/>
  <c r="I206" i="20" s="1"/>
  <c r="M209" i="20"/>
  <c r="B210" i="20"/>
  <c r="R202" i="17"/>
  <c r="D207" i="20" l="1"/>
  <c r="K207" i="20"/>
  <c r="U201" i="17"/>
  <c r="D208" i="20" s="1"/>
  <c r="K206" i="20"/>
  <c r="J207" i="20"/>
  <c r="I207" i="20"/>
  <c r="R203" i="17"/>
  <c r="M210" i="20"/>
  <c r="B211" i="20"/>
  <c r="E208" i="20" l="1"/>
  <c r="K208" i="20" s="1"/>
  <c r="J208" i="20"/>
  <c r="I208" i="20"/>
  <c r="U202" i="17"/>
  <c r="D209" i="20" s="1"/>
  <c r="R204" i="17"/>
  <c r="B212" i="20"/>
  <c r="M211" i="20"/>
  <c r="E209" i="20" l="1"/>
  <c r="K209" i="20" s="1"/>
  <c r="J209" i="20"/>
  <c r="U203" i="17"/>
  <c r="E210" i="20" s="1"/>
  <c r="M212" i="20"/>
  <c r="B213" i="20"/>
  <c r="R205" i="17"/>
  <c r="D210" i="20" l="1"/>
  <c r="I209" i="20"/>
  <c r="K210" i="20"/>
  <c r="U204" i="17"/>
  <c r="E211" i="20" s="1"/>
  <c r="R206" i="17"/>
  <c r="B214" i="20"/>
  <c r="M213" i="20"/>
  <c r="I210" i="20" l="1"/>
  <c r="J210" i="20"/>
  <c r="D211" i="20"/>
  <c r="I211" i="20" s="1"/>
  <c r="K211" i="20"/>
  <c r="U205" i="17"/>
  <c r="D212" i="20" s="1"/>
  <c r="B215" i="20"/>
  <c r="R207" i="17"/>
  <c r="M214" i="20"/>
  <c r="J211" i="20" l="1"/>
  <c r="E212" i="20"/>
  <c r="K212" i="20" s="1"/>
  <c r="J212" i="20"/>
  <c r="U206" i="17"/>
  <c r="E213" i="20" s="1"/>
  <c r="R208" i="17"/>
  <c r="B216" i="20"/>
  <c r="M215" i="20"/>
  <c r="I212" i="20" l="1"/>
  <c r="K213" i="20"/>
  <c r="D213" i="20"/>
  <c r="U207" i="17"/>
  <c r="E214" i="20" s="1"/>
  <c r="B217" i="20"/>
  <c r="R209" i="17"/>
  <c r="M216" i="20"/>
  <c r="D214" i="20" l="1"/>
  <c r="U208" i="17"/>
  <c r="D215" i="20" s="1"/>
  <c r="I213" i="20"/>
  <c r="J213" i="20"/>
  <c r="K214" i="20"/>
  <c r="I214" i="20"/>
  <c r="J214" i="20"/>
  <c r="M217" i="20"/>
  <c r="B218" i="20"/>
  <c r="R210" i="17"/>
  <c r="E215" i="20" l="1"/>
  <c r="K215" i="20" s="1"/>
  <c r="J215" i="20"/>
  <c r="U209" i="17"/>
  <c r="E216" i="20" s="1"/>
  <c r="W199" i="17"/>
  <c r="W205" i="17" s="1"/>
  <c r="B219" i="20"/>
  <c r="M218" i="20"/>
  <c r="R211" i="17"/>
  <c r="F14" i="20"/>
  <c r="F62" i="20"/>
  <c r="F108" i="20"/>
  <c r="F58" i="20"/>
  <c r="F100" i="20"/>
  <c r="F39" i="20"/>
  <c r="F65" i="20"/>
  <c r="N65" i="20" s="1"/>
  <c r="Q65" i="20" s="1"/>
  <c r="F104" i="20"/>
  <c r="F56" i="20"/>
  <c r="F89" i="20"/>
  <c r="N89" i="20" s="1"/>
  <c r="Q89" i="20" s="1"/>
  <c r="F132" i="20"/>
  <c r="F122" i="20"/>
  <c r="F17" i="20"/>
  <c r="F50" i="20"/>
  <c r="F77" i="20"/>
  <c r="F115" i="20"/>
  <c r="F22" i="20"/>
  <c r="F54" i="20"/>
  <c r="F69" i="20"/>
  <c r="N69" i="20" s="1"/>
  <c r="Q69" i="20" s="1"/>
  <c r="F81" i="20"/>
  <c r="F99" i="20"/>
  <c r="N99" i="20" s="1"/>
  <c r="Q99" i="20" s="1"/>
  <c r="F123" i="20"/>
  <c r="F18" i="20"/>
  <c r="F32" i="20"/>
  <c r="F51" i="20"/>
  <c r="N51" i="20" s="1"/>
  <c r="Q51" i="20" s="1"/>
  <c r="F61" i="20"/>
  <c r="F76" i="20"/>
  <c r="F95" i="20"/>
  <c r="F106" i="20"/>
  <c r="F16" i="20"/>
  <c r="F34" i="20"/>
  <c r="F46" i="20"/>
  <c r="F57" i="20"/>
  <c r="F74" i="20"/>
  <c r="F86" i="20"/>
  <c r="F97" i="20"/>
  <c r="F120" i="20"/>
  <c r="F19" i="20"/>
  <c r="F31" i="20"/>
  <c r="F45" i="20"/>
  <c r="F67" i="20"/>
  <c r="F82" i="20"/>
  <c r="F98" i="20"/>
  <c r="F124" i="20"/>
  <c r="N124" i="20" s="1"/>
  <c r="Q124" i="20" s="1"/>
  <c r="F126" i="20"/>
  <c r="F116" i="20"/>
  <c r="N116" i="20" s="1"/>
  <c r="Q116" i="20" s="1"/>
  <c r="F131" i="20"/>
  <c r="F44" i="20"/>
  <c r="F88" i="20"/>
  <c r="F71" i="20"/>
  <c r="F49" i="20"/>
  <c r="N49" i="20" s="1"/>
  <c r="Q49" i="20" s="1"/>
  <c r="F94" i="20"/>
  <c r="N94" i="20" s="1"/>
  <c r="Q94" i="20" s="1"/>
  <c r="F36" i="20"/>
  <c r="F117" i="20"/>
  <c r="F107" i="20"/>
  <c r="F24" i="20"/>
  <c r="F40" i="20"/>
  <c r="F59" i="20"/>
  <c r="N59" i="20" s="1"/>
  <c r="Q59" i="20" s="1"/>
  <c r="F72" i="20"/>
  <c r="F102" i="20"/>
  <c r="F129" i="20"/>
  <c r="F21" i="20"/>
  <c r="F38" i="20"/>
  <c r="N38" i="20" s="1"/>
  <c r="Q38" i="20" s="1"/>
  <c r="F55" i="20"/>
  <c r="N55" i="20" s="1"/>
  <c r="Q55" i="20" s="1"/>
  <c r="F64" i="20"/>
  <c r="F80" i="20"/>
  <c r="F113" i="20"/>
  <c r="F20" i="20"/>
  <c r="F37" i="20"/>
  <c r="N37" i="20" s="1"/>
  <c r="Q37" i="20" s="1"/>
  <c r="F48" i="20"/>
  <c r="F79" i="20"/>
  <c r="F90" i="20"/>
  <c r="F101" i="20"/>
  <c r="F125" i="20"/>
  <c r="F23" i="20"/>
  <c r="N23" i="20" s="1"/>
  <c r="Q23" i="20" s="1"/>
  <c r="F35" i="20"/>
  <c r="F52" i="20"/>
  <c r="N52" i="20" s="1"/>
  <c r="Q52" i="20" s="1"/>
  <c r="F70" i="20"/>
  <c r="F84" i="20"/>
  <c r="F109" i="20"/>
  <c r="N109" i="20" s="1"/>
  <c r="Q109" i="20" s="1"/>
  <c r="F111" i="20"/>
  <c r="N111" i="20" s="1"/>
  <c r="Q111" i="20" s="1"/>
  <c r="F130" i="20"/>
  <c r="N130" i="20" s="1"/>
  <c r="Q130" i="20" s="1"/>
  <c r="F105" i="20"/>
  <c r="N105" i="20" s="1"/>
  <c r="Q105" i="20" s="1"/>
  <c r="F119" i="20"/>
  <c r="F28" i="20"/>
  <c r="F73" i="20"/>
  <c r="F43" i="20"/>
  <c r="F87" i="20"/>
  <c r="N87" i="20" s="1"/>
  <c r="Q87" i="20" s="1"/>
  <c r="F27" i="20"/>
  <c r="N27" i="20" s="1"/>
  <c r="Q27" i="20" s="1"/>
  <c r="F83" i="20"/>
  <c r="F25" i="20"/>
  <c r="F75" i="20"/>
  <c r="F114" i="20"/>
  <c r="N114" i="20" s="1"/>
  <c r="Q114" i="20" s="1"/>
  <c r="F33" i="20"/>
  <c r="F66" i="20"/>
  <c r="F93" i="20"/>
  <c r="N93" i="20" s="1"/>
  <c r="Q93" i="20" s="1"/>
  <c r="F13" i="20"/>
  <c r="N13" i="20" s="1"/>
  <c r="F29" i="20"/>
  <c r="N29" i="20" s="1"/>
  <c r="Q29" i="20" s="1"/>
  <c r="F47" i="20"/>
  <c r="F60" i="20"/>
  <c r="F91" i="20"/>
  <c r="F103" i="20"/>
  <c r="F128" i="20"/>
  <c r="F30" i="20"/>
  <c r="N30" i="20" s="1"/>
  <c r="Q30" i="20" s="1"/>
  <c r="F42" i="20"/>
  <c r="F53" i="20"/>
  <c r="N53" i="20" s="1"/>
  <c r="Q53" i="20" s="1"/>
  <c r="F68" i="20"/>
  <c r="F85" i="20"/>
  <c r="F96" i="20"/>
  <c r="F110" i="20"/>
  <c r="N110" i="20" s="1"/>
  <c r="Q110" i="20" s="1"/>
  <c r="F15" i="20"/>
  <c r="F26" i="20"/>
  <c r="N26" i="20" s="1"/>
  <c r="Q26" i="20" s="1"/>
  <c r="F41" i="20"/>
  <c r="N41" i="20" s="1"/>
  <c r="Q41" i="20" s="1"/>
  <c r="F63" i="20"/>
  <c r="N63" i="20" s="1"/>
  <c r="Q63" i="20" s="1"/>
  <c r="F78" i="20"/>
  <c r="F92" i="20"/>
  <c r="N92" i="20" s="1"/>
  <c r="Q92" i="20" s="1"/>
  <c r="F121" i="20"/>
  <c r="F118" i="20"/>
  <c r="N118" i="20" s="1"/>
  <c r="Q118" i="20" s="1"/>
  <c r="F112" i="20"/>
  <c r="F127" i="20"/>
  <c r="I215" i="20" l="1"/>
  <c r="D216" i="20"/>
  <c r="C96" i="20"/>
  <c r="K216" i="20"/>
  <c r="U210" i="17"/>
  <c r="D217" i="20" s="1"/>
  <c r="W211" i="17"/>
  <c r="W217" i="17" s="1"/>
  <c r="B220" i="20"/>
  <c r="R212" i="17"/>
  <c r="M219" i="20"/>
  <c r="C126" i="20"/>
  <c r="C83" i="20"/>
  <c r="C27" i="20"/>
  <c r="C43" i="20"/>
  <c r="C125" i="20"/>
  <c r="C90" i="20"/>
  <c r="C48" i="20"/>
  <c r="C89" i="20"/>
  <c r="C92" i="20"/>
  <c r="C63" i="20"/>
  <c r="C41" i="20"/>
  <c r="C93" i="20"/>
  <c r="C66" i="20"/>
  <c r="N20" i="20"/>
  <c r="Q20" i="20" s="1"/>
  <c r="N113" i="20"/>
  <c r="Q113" i="20" s="1"/>
  <c r="N80" i="20"/>
  <c r="Q80" i="20" s="1"/>
  <c r="N64" i="20"/>
  <c r="Q64" i="20" s="1"/>
  <c r="N24" i="20"/>
  <c r="Q24" i="20" s="1"/>
  <c r="N117" i="20"/>
  <c r="Q117" i="20" s="1"/>
  <c r="N36" i="20"/>
  <c r="Q36" i="20" s="1"/>
  <c r="N86" i="20"/>
  <c r="Q86" i="20" s="1"/>
  <c r="N74" i="20"/>
  <c r="Q74" i="20" s="1"/>
  <c r="N57" i="20"/>
  <c r="Q57" i="20" s="1"/>
  <c r="N46" i="20"/>
  <c r="Q46" i="20" s="1"/>
  <c r="N34" i="20"/>
  <c r="Q34" i="20" s="1"/>
  <c r="N16" i="20"/>
  <c r="Q16" i="20" s="1"/>
  <c r="N106" i="20"/>
  <c r="Q106" i="20" s="1"/>
  <c r="N95" i="20"/>
  <c r="Q95" i="20" s="1"/>
  <c r="N76" i="20"/>
  <c r="Q76" i="20" s="1"/>
  <c r="N61" i="20"/>
  <c r="Q61" i="20" s="1"/>
  <c r="N127" i="20"/>
  <c r="Q127" i="20" s="1"/>
  <c r="N112" i="20"/>
  <c r="Q112" i="20" s="1"/>
  <c r="N68" i="20"/>
  <c r="Q68" i="20" s="1"/>
  <c r="N42" i="20"/>
  <c r="Q42" i="20" s="1"/>
  <c r="N128" i="20"/>
  <c r="Q128" i="20" s="1"/>
  <c r="N103" i="20"/>
  <c r="Q103" i="20" s="1"/>
  <c r="N91" i="20"/>
  <c r="Q91" i="20" s="1"/>
  <c r="N60" i="20"/>
  <c r="Q60" i="20" s="1"/>
  <c r="N47" i="20"/>
  <c r="Q47" i="20" s="1"/>
  <c r="Q13" i="20"/>
  <c r="N83" i="20"/>
  <c r="Q83" i="20" s="1"/>
  <c r="N43" i="20"/>
  <c r="Q43" i="20" s="1"/>
  <c r="N73" i="20"/>
  <c r="Q73" i="20" s="1"/>
  <c r="N84" i="20"/>
  <c r="Q84" i="20" s="1"/>
  <c r="N70" i="20"/>
  <c r="Q70" i="20" s="1"/>
  <c r="N35" i="20"/>
  <c r="Q35" i="20" s="1"/>
  <c r="N125" i="20"/>
  <c r="Q125" i="20" s="1"/>
  <c r="N101" i="20"/>
  <c r="Q101" i="20" s="1"/>
  <c r="N90" i="20"/>
  <c r="Q90" i="20" s="1"/>
  <c r="N79" i="20"/>
  <c r="Q79" i="20" s="1"/>
  <c r="N48" i="20"/>
  <c r="Q48" i="20" s="1"/>
  <c r="N71" i="20"/>
  <c r="Q71" i="20" s="1"/>
  <c r="N88" i="20"/>
  <c r="Q88" i="20" s="1"/>
  <c r="N44" i="20"/>
  <c r="Q44" i="20" s="1"/>
  <c r="N131" i="20"/>
  <c r="Q131" i="20" s="1"/>
  <c r="N126" i="20"/>
  <c r="Q126" i="20" s="1"/>
  <c r="N98" i="20"/>
  <c r="Q98" i="20" s="1"/>
  <c r="N82" i="20"/>
  <c r="Q82" i="20" s="1"/>
  <c r="N67" i="20"/>
  <c r="Q67" i="20" s="1"/>
  <c r="N45" i="20"/>
  <c r="Q45" i="20" s="1"/>
  <c r="N31" i="20"/>
  <c r="Q31" i="20" s="1"/>
  <c r="N19" i="20"/>
  <c r="Q19" i="20" s="1"/>
  <c r="N120" i="20"/>
  <c r="Q120" i="20" s="1"/>
  <c r="N97" i="20"/>
  <c r="Q97" i="20" s="1"/>
  <c r="N32" i="20"/>
  <c r="Q32" i="20" s="1"/>
  <c r="N18" i="20"/>
  <c r="Q18" i="20" s="1"/>
  <c r="N123" i="20"/>
  <c r="Q123" i="20" s="1"/>
  <c r="N81" i="20"/>
  <c r="Q81" i="20" s="1"/>
  <c r="N54" i="20"/>
  <c r="Q54" i="20" s="1"/>
  <c r="N22" i="20"/>
  <c r="Q22" i="20" s="1"/>
  <c r="N115" i="20"/>
  <c r="Q115" i="20" s="1"/>
  <c r="N77" i="20"/>
  <c r="Q77" i="20" s="1"/>
  <c r="N50" i="20"/>
  <c r="Q50" i="20" s="1"/>
  <c r="N17" i="20"/>
  <c r="Q17" i="20" s="1"/>
  <c r="N122" i="20"/>
  <c r="Q122" i="20" s="1"/>
  <c r="N132" i="20"/>
  <c r="Q132" i="20" s="1"/>
  <c r="N56" i="20"/>
  <c r="Q56" i="20" s="1"/>
  <c r="N104" i="20"/>
  <c r="Q104" i="20" s="1"/>
  <c r="N39" i="20"/>
  <c r="Q39" i="20" s="1"/>
  <c r="N100" i="20"/>
  <c r="Q100" i="20" s="1"/>
  <c r="N58" i="20"/>
  <c r="Q58" i="20" s="1"/>
  <c r="N108" i="20"/>
  <c r="Q108" i="20" s="1"/>
  <c r="N62" i="20"/>
  <c r="Q62" i="20" s="1"/>
  <c r="N14" i="20"/>
  <c r="Q14" i="20" s="1"/>
  <c r="N28" i="20"/>
  <c r="Q28" i="20" s="1"/>
  <c r="N21" i="20"/>
  <c r="Q21" i="20" s="1"/>
  <c r="N40" i="20"/>
  <c r="Q40" i="20" s="1"/>
  <c r="N78" i="20"/>
  <c r="Q78" i="20" s="1"/>
  <c r="N15" i="20"/>
  <c r="Q15" i="20" s="1"/>
  <c r="N96" i="20"/>
  <c r="Q96" i="20" s="1"/>
  <c r="N85" i="20"/>
  <c r="Q85" i="20" s="1"/>
  <c r="N66" i="20"/>
  <c r="Q66" i="20" s="1"/>
  <c r="N33" i="20"/>
  <c r="Q33" i="20" s="1"/>
  <c r="N75" i="20"/>
  <c r="Q75" i="20" s="1"/>
  <c r="N25" i="20"/>
  <c r="Q25" i="20" s="1"/>
  <c r="N119" i="20"/>
  <c r="Q119" i="20" s="1"/>
  <c r="N129" i="20"/>
  <c r="Q129" i="20" s="1"/>
  <c r="N102" i="20"/>
  <c r="Q102" i="20" s="1"/>
  <c r="N72" i="20"/>
  <c r="Q72" i="20" s="1"/>
  <c r="N107" i="20"/>
  <c r="Q107" i="20" s="1"/>
  <c r="N121" i="20"/>
  <c r="Q121" i="20" s="1"/>
  <c r="E217" i="20" l="1"/>
  <c r="J216" i="20"/>
  <c r="I216" i="20"/>
  <c r="C110" i="20"/>
  <c r="C101" i="20"/>
  <c r="J217" i="20"/>
  <c r="U211" i="17"/>
  <c r="E218" i="20" s="1"/>
  <c r="C82" i="20"/>
  <c r="U75" i="17" s="1"/>
  <c r="E82" i="20" s="1"/>
  <c r="C75" i="20"/>
  <c r="C78" i="20"/>
  <c r="U71" i="17" s="1"/>
  <c r="C51" i="20"/>
  <c r="C87" i="20"/>
  <c r="U80" i="17" s="1"/>
  <c r="E87" i="20" s="1"/>
  <c r="C71" i="20"/>
  <c r="R213" i="17"/>
  <c r="M220" i="20"/>
  <c r="B221" i="20"/>
  <c r="C120" i="20"/>
  <c r="C132" i="20"/>
  <c r="U125" i="17" s="1"/>
  <c r="E132" i="20" s="1"/>
  <c r="C114" i="20"/>
  <c r="C26" i="20"/>
  <c r="C108" i="20"/>
  <c r="U101" i="17" s="1"/>
  <c r="C115" i="20"/>
  <c r="C104" i="20"/>
  <c r="C35" i="20"/>
  <c r="C33" i="20"/>
  <c r="U26" i="17" s="1"/>
  <c r="D33" i="20" s="1"/>
  <c r="C95" i="20"/>
  <c r="C57" i="20"/>
  <c r="C94" i="20"/>
  <c r="C40" i="20"/>
  <c r="C129" i="20"/>
  <c r="C80" i="20"/>
  <c r="C111" i="20"/>
  <c r="C28" i="20"/>
  <c r="C62" i="20"/>
  <c r="C100" i="20"/>
  <c r="C77" i="20"/>
  <c r="C69" i="20"/>
  <c r="C32" i="20"/>
  <c r="W70" i="17"/>
  <c r="W105" i="17"/>
  <c r="W118" i="17"/>
  <c r="C34" i="20"/>
  <c r="C86" i="20"/>
  <c r="C117" i="20"/>
  <c r="C72" i="20"/>
  <c r="C55" i="20"/>
  <c r="W21" i="17"/>
  <c r="C65" i="20"/>
  <c r="U82" i="17"/>
  <c r="E89" i="20" s="1"/>
  <c r="C122" i="20"/>
  <c r="C99" i="20"/>
  <c r="U119" i="17"/>
  <c r="D126" i="20" s="1"/>
  <c r="C44" i="20"/>
  <c r="U41" i="17"/>
  <c r="E48" i="20" s="1"/>
  <c r="C70" i="20"/>
  <c r="C73" i="20"/>
  <c r="C49" i="20"/>
  <c r="C60" i="20"/>
  <c r="C30" i="20"/>
  <c r="C76" i="20"/>
  <c r="C46" i="20"/>
  <c r="W46" i="17"/>
  <c r="C107" i="20"/>
  <c r="C102" i="20"/>
  <c r="C64" i="20"/>
  <c r="W106" i="17"/>
  <c r="C119" i="20"/>
  <c r="C25" i="20"/>
  <c r="C58" i="20"/>
  <c r="C50" i="20"/>
  <c r="C54" i="20"/>
  <c r="C123" i="20"/>
  <c r="W58" i="17"/>
  <c r="C31" i="20"/>
  <c r="C88" i="20"/>
  <c r="C84" i="20"/>
  <c r="U76" i="17"/>
  <c r="D83" i="20" s="1"/>
  <c r="U89" i="17"/>
  <c r="D96" i="20" s="1"/>
  <c r="U56" i="17"/>
  <c r="D63" i="20" s="1"/>
  <c r="U85" i="17"/>
  <c r="D92" i="20" s="1"/>
  <c r="C109" i="20"/>
  <c r="W10" i="17"/>
  <c r="C91" i="20"/>
  <c r="C42" i="20"/>
  <c r="C118" i="20"/>
  <c r="U20" i="20"/>
  <c r="V24" i="20"/>
  <c r="S21" i="20"/>
  <c r="S30" i="20"/>
  <c r="S24" i="20"/>
  <c r="U30" i="20"/>
  <c r="T25" i="20"/>
  <c r="S23" i="20"/>
  <c r="U27" i="20"/>
  <c r="S26" i="20"/>
  <c r="V30" i="20"/>
  <c r="U25" i="20"/>
  <c r="S29" i="20"/>
  <c r="V23" i="20"/>
  <c r="S20" i="20"/>
  <c r="T24" i="20"/>
  <c r="U23" i="20"/>
  <c r="V29" i="20"/>
  <c r="S25" i="20"/>
  <c r="U28" i="20"/>
  <c r="T30" i="20"/>
  <c r="V27" i="20"/>
  <c r="T28" i="20"/>
  <c r="T21" i="20"/>
  <c r="V21" i="20"/>
  <c r="U24" i="20"/>
  <c r="V26" i="20"/>
  <c r="U26" i="20"/>
  <c r="U29" i="20"/>
  <c r="S28" i="20"/>
  <c r="T26" i="20"/>
  <c r="T20" i="20"/>
  <c r="U21" i="20"/>
  <c r="T27" i="20"/>
  <c r="V25" i="20"/>
  <c r="V20" i="20"/>
  <c r="S27" i="20"/>
  <c r="T29" i="20"/>
  <c r="V28" i="20"/>
  <c r="T23" i="20"/>
  <c r="T35" i="20"/>
  <c r="T31" i="20"/>
  <c r="V34" i="20"/>
  <c r="V35" i="20"/>
  <c r="V38" i="20"/>
  <c r="V32" i="20"/>
  <c r="T33" i="20"/>
  <c r="V36" i="20"/>
  <c r="T36" i="20"/>
  <c r="T32" i="20"/>
  <c r="V39" i="20"/>
  <c r="T38" i="20"/>
  <c r="T34" i="20"/>
  <c r="V33" i="20"/>
  <c r="V37" i="20"/>
  <c r="T37" i="20"/>
  <c r="V31" i="20"/>
  <c r="S37" i="20"/>
  <c r="S36" i="20"/>
  <c r="S39" i="20"/>
  <c r="S35" i="20"/>
  <c r="U37" i="20"/>
  <c r="S33" i="20"/>
  <c r="T39" i="20"/>
  <c r="U36" i="20"/>
  <c r="S38" i="20"/>
  <c r="U31" i="20"/>
  <c r="U34" i="20"/>
  <c r="S34" i="20"/>
  <c r="V40" i="20"/>
  <c r="U40" i="20"/>
  <c r="S32" i="20"/>
  <c r="U35" i="20"/>
  <c r="S31" i="20"/>
  <c r="U38" i="20"/>
  <c r="U39" i="20"/>
  <c r="U33" i="20"/>
  <c r="U32" i="20"/>
  <c r="S40" i="20"/>
  <c r="T40" i="20"/>
  <c r="C85" i="20"/>
  <c r="U59" i="17"/>
  <c r="E66" i="20" s="1"/>
  <c r="W94" i="17"/>
  <c r="C45" i="20"/>
  <c r="C98" i="20"/>
  <c r="C116" i="20"/>
  <c r="C79" i="20"/>
  <c r="C29" i="20"/>
  <c r="C103" i="20"/>
  <c r="C53" i="20"/>
  <c r="C112" i="20"/>
  <c r="C106" i="20"/>
  <c r="C74" i="20"/>
  <c r="C36" i="20"/>
  <c r="C59" i="20"/>
  <c r="C38" i="20"/>
  <c r="C113" i="20"/>
  <c r="C130" i="20"/>
  <c r="W22" i="17"/>
  <c r="C39" i="20"/>
  <c r="C56" i="20"/>
  <c r="C81" i="20"/>
  <c r="C67" i="20"/>
  <c r="C124" i="20"/>
  <c r="C131" i="20"/>
  <c r="U83" i="17"/>
  <c r="E90" i="20" s="1"/>
  <c r="U118" i="17"/>
  <c r="E125" i="20" s="1"/>
  <c r="C52" i="20"/>
  <c r="U36" i="17"/>
  <c r="E43" i="20" s="1"/>
  <c r="U20" i="17"/>
  <c r="E27" i="20" s="1"/>
  <c r="C121" i="20"/>
  <c r="W69" i="17"/>
  <c r="U86" i="17"/>
  <c r="D93" i="20" s="1"/>
  <c r="U34" i="17"/>
  <c r="D41" i="20" s="1"/>
  <c r="C61" i="20"/>
  <c r="W45" i="17"/>
  <c r="C47" i="20"/>
  <c r="C128" i="20"/>
  <c r="C68" i="20"/>
  <c r="C127" i="20"/>
  <c r="C97" i="20"/>
  <c r="C37" i="20"/>
  <c r="W34" i="17"/>
  <c r="C105" i="20"/>
  <c r="W117" i="17"/>
  <c r="W57" i="17"/>
  <c r="W82" i="17"/>
  <c r="N1" i="20"/>
  <c r="W81" i="17"/>
  <c r="W93" i="17"/>
  <c r="W33" i="17"/>
  <c r="W35" i="17" s="1"/>
  <c r="W37" i="17" s="1"/>
  <c r="I217" i="20" l="1"/>
  <c r="K217" i="20"/>
  <c r="W83" i="17"/>
  <c r="W85" i="17" s="1"/>
  <c r="U103" i="17"/>
  <c r="D110" i="20" s="1"/>
  <c r="U94" i="17"/>
  <c r="D218" i="20"/>
  <c r="I218" i="20" s="1"/>
  <c r="E110" i="20"/>
  <c r="E101" i="20"/>
  <c r="W59" i="17"/>
  <c r="W61" i="17" s="1"/>
  <c r="U107" i="17"/>
  <c r="D114" i="20" s="1"/>
  <c r="U44" i="17"/>
  <c r="E51" i="20" s="1"/>
  <c r="U64" i="17"/>
  <c r="D71" i="20" s="1"/>
  <c r="U113" i="17"/>
  <c r="E120" i="20" s="1"/>
  <c r="U108" i="17"/>
  <c r="E115" i="20" s="1"/>
  <c r="U19" i="17"/>
  <c r="E26" i="20" s="1"/>
  <c r="U28" i="17"/>
  <c r="E35" i="20" s="1"/>
  <c r="W47" i="17"/>
  <c r="W49" i="17" s="1"/>
  <c r="U68" i="17"/>
  <c r="E75" i="20" s="1"/>
  <c r="W95" i="17"/>
  <c r="W97" i="17" s="1"/>
  <c r="W119" i="17"/>
  <c r="W121" i="17" s="1"/>
  <c r="K218" i="20"/>
  <c r="U212" i="17"/>
  <c r="E219" i="20" s="1"/>
  <c r="E78" i="20"/>
  <c r="D108" i="20"/>
  <c r="B222" i="20"/>
  <c r="M221" i="20"/>
  <c r="R214" i="17"/>
  <c r="U97" i="17"/>
  <c r="E104" i="20" s="1"/>
  <c r="W71" i="17"/>
  <c r="W73" i="17" s="1"/>
  <c r="E93" i="20"/>
  <c r="D27" i="20"/>
  <c r="I27" i="20" s="1"/>
  <c r="D82" i="20"/>
  <c r="E92" i="20"/>
  <c r="I92" i="20" s="1"/>
  <c r="D125" i="20"/>
  <c r="I125" i="20" s="1"/>
  <c r="E83" i="20"/>
  <c r="E63" i="20"/>
  <c r="I63" i="20" s="1"/>
  <c r="E126" i="20"/>
  <c r="U117" i="17"/>
  <c r="E124" i="20" s="1"/>
  <c r="U123" i="17"/>
  <c r="D130" i="20" s="1"/>
  <c r="U29" i="17"/>
  <c r="D36" i="20" s="1"/>
  <c r="U99" i="17"/>
  <c r="E106" i="20" s="1"/>
  <c r="U46" i="17"/>
  <c r="D53" i="20" s="1"/>
  <c r="U22" i="17"/>
  <c r="D29" i="20" s="1"/>
  <c r="U35" i="17"/>
  <c r="E42" i="20" s="1"/>
  <c r="U51" i="17"/>
  <c r="D58" i="20" s="1"/>
  <c r="U112" i="17"/>
  <c r="E119" i="20" s="1"/>
  <c r="U57" i="17"/>
  <c r="E64" i="20" s="1"/>
  <c r="U100" i="17"/>
  <c r="E107" i="20" s="1"/>
  <c r="U39" i="17"/>
  <c r="E46" i="20" s="1"/>
  <c r="U23" i="17"/>
  <c r="D30" i="20" s="1"/>
  <c r="U63" i="17"/>
  <c r="E70" i="20" s="1"/>
  <c r="U58" i="17"/>
  <c r="D65" i="20" s="1"/>
  <c r="U62" i="17"/>
  <c r="D69" i="20" s="1"/>
  <c r="D132" i="20"/>
  <c r="G6" i="19"/>
  <c r="B4" i="17"/>
  <c r="B2" i="19"/>
  <c r="U61" i="17"/>
  <c r="D68" i="20" s="1"/>
  <c r="U40" i="17"/>
  <c r="D47" i="20" s="1"/>
  <c r="K115" i="20"/>
  <c r="U31" i="17"/>
  <c r="D38" i="20" s="1"/>
  <c r="U102" i="17"/>
  <c r="D109" i="20" s="1"/>
  <c r="U24" i="17"/>
  <c r="D31" i="20" s="1"/>
  <c r="U43" i="17"/>
  <c r="D50" i="20" s="1"/>
  <c r="U79" i="17"/>
  <c r="D86" i="20" s="1"/>
  <c r="U33" i="17"/>
  <c r="D40" i="20" s="1"/>
  <c r="U90" i="17"/>
  <c r="D97" i="20" s="1"/>
  <c r="U32" i="17"/>
  <c r="E39" i="20" s="1"/>
  <c r="U91" i="17"/>
  <c r="D98" i="20" s="1"/>
  <c r="U120" i="17"/>
  <c r="D127" i="20" s="1"/>
  <c r="U121" i="17"/>
  <c r="E128" i="20" s="1"/>
  <c r="U54" i="17"/>
  <c r="E61" i="20" s="1"/>
  <c r="E41" i="20"/>
  <c r="U124" i="17"/>
  <c r="E131" i="20" s="1"/>
  <c r="U60" i="17"/>
  <c r="D67" i="20" s="1"/>
  <c r="U74" i="17"/>
  <c r="E81" i="20" s="1"/>
  <c r="U106" i="17"/>
  <c r="D113" i="20" s="1"/>
  <c r="U52" i="17"/>
  <c r="E59" i="20" s="1"/>
  <c r="U67" i="17"/>
  <c r="E74" i="20" s="1"/>
  <c r="U105" i="17"/>
  <c r="D112" i="20" s="1"/>
  <c r="U96" i="17"/>
  <c r="E103" i="20" s="1"/>
  <c r="U72" i="17"/>
  <c r="D79" i="20" s="1"/>
  <c r="U78" i="17"/>
  <c r="E85" i="20" s="1"/>
  <c r="E96" i="20"/>
  <c r="U77" i="17"/>
  <c r="E84" i="20" s="1"/>
  <c r="U81" i="17"/>
  <c r="E88" i="20" s="1"/>
  <c r="U47" i="17"/>
  <c r="E54" i="20" s="1"/>
  <c r="U42" i="17"/>
  <c r="D49" i="20" s="1"/>
  <c r="U37" i="17"/>
  <c r="E44" i="20" s="1"/>
  <c r="U92" i="17"/>
  <c r="D99" i="20" s="1"/>
  <c r="D89" i="20"/>
  <c r="U48" i="17"/>
  <c r="D55" i="20" s="1"/>
  <c r="U110" i="17"/>
  <c r="D117" i="20" s="1"/>
  <c r="U27" i="17"/>
  <c r="D34" i="20" s="1"/>
  <c r="W107" i="17"/>
  <c r="W109" i="17" s="1"/>
  <c r="U55" i="17"/>
  <c r="E62" i="20" s="1"/>
  <c r="U104" i="17"/>
  <c r="D111" i="20" s="1"/>
  <c r="U122" i="17"/>
  <c r="D129" i="20" s="1"/>
  <c r="U87" i="17"/>
  <c r="E94" i="20" s="1"/>
  <c r="U88" i="17"/>
  <c r="D95" i="20" s="1"/>
  <c r="U116" i="17"/>
  <c r="E123" i="20" s="1"/>
  <c r="U18" i="17"/>
  <c r="E25" i="20" s="1"/>
  <c r="U66" i="17"/>
  <c r="E73" i="20" s="1"/>
  <c r="U115" i="17"/>
  <c r="E122" i="20" s="1"/>
  <c r="U65" i="17"/>
  <c r="E72" i="20" s="1"/>
  <c r="U93" i="17"/>
  <c r="E100" i="20" s="1"/>
  <c r="U21" i="17"/>
  <c r="D28" i="20" s="1"/>
  <c r="U73" i="17"/>
  <c r="E80" i="20" s="1"/>
  <c r="U50" i="17"/>
  <c r="E57" i="20" s="1"/>
  <c r="N2" i="20"/>
  <c r="B3" i="20" s="1"/>
  <c r="N6" i="20"/>
  <c r="B2" i="18"/>
  <c r="G5" i="18"/>
  <c r="E4" i="17"/>
  <c r="U45" i="17"/>
  <c r="D52" i="20" s="1"/>
  <c r="U98" i="17"/>
  <c r="D105" i="20" s="1"/>
  <c r="E33" i="20"/>
  <c r="U30" i="17"/>
  <c r="D37" i="20" s="1"/>
  <c r="D78" i="20"/>
  <c r="U114" i="17"/>
  <c r="D121" i="20" s="1"/>
  <c r="D43" i="20"/>
  <c r="D90" i="20"/>
  <c r="U49" i="17"/>
  <c r="E56" i="20" s="1"/>
  <c r="E108" i="20"/>
  <c r="U109" i="17"/>
  <c r="D116" i="20" s="1"/>
  <c r="U38" i="17"/>
  <c r="E45" i="20" s="1"/>
  <c r="D66" i="20"/>
  <c r="U111" i="17"/>
  <c r="D118" i="20" s="1"/>
  <c r="U84" i="17"/>
  <c r="D91" i="20" s="1"/>
  <c r="D87" i="20"/>
  <c r="D101" i="20"/>
  <c r="U95" i="17"/>
  <c r="E102" i="20" s="1"/>
  <c r="U69" i="17"/>
  <c r="E76" i="20" s="1"/>
  <c r="U53" i="17"/>
  <c r="E60" i="20" s="1"/>
  <c r="D48" i="20"/>
  <c r="J82" i="20"/>
  <c r="W23" i="17"/>
  <c r="W25" i="17" s="1"/>
  <c r="U25" i="17"/>
  <c r="D32" i="20" s="1"/>
  <c r="U70" i="17"/>
  <c r="E77" i="20" s="1"/>
  <c r="E71" i="20" l="1"/>
  <c r="J218" i="20"/>
  <c r="D120" i="20"/>
  <c r="E114" i="20"/>
  <c r="D51" i="20"/>
  <c r="D35" i="20"/>
  <c r="I35" i="20" s="1"/>
  <c r="D115" i="20"/>
  <c r="D26" i="20"/>
  <c r="I26" i="20" s="1"/>
  <c r="D75" i="20"/>
  <c r="D104" i="20"/>
  <c r="K219" i="20"/>
  <c r="U213" i="17"/>
  <c r="E220" i="20" s="1"/>
  <c r="D219" i="20"/>
  <c r="I93" i="20"/>
  <c r="I82" i="20"/>
  <c r="I110" i="20"/>
  <c r="I83" i="20"/>
  <c r="M222" i="20"/>
  <c r="R215" i="17"/>
  <c r="B223" i="20"/>
  <c r="F31" i="25"/>
  <c r="D42" i="20"/>
  <c r="D80" i="20"/>
  <c r="I80" i="20" s="1"/>
  <c r="E95" i="20"/>
  <c r="I96" i="20"/>
  <c r="D62" i="20"/>
  <c r="E58" i="20"/>
  <c r="E53" i="20"/>
  <c r="I53" i="20" s="1"/>
  <c r="D73" i="20"/>
  <c r="I73" i="20" s="1"/>
  <c r="E111" i="20"/>
  <c r="I33" i="20"/>
  <c r="E68" i="20"/>
  <c r="E65" i="20"/>
  <c r="E37" i="20"/>
  <c r="I114" i="20"/>
  <c r="E34" i="20"/>
  <c r="E116" i="20"/>
  <c r="D56" i="20"/>
  <c r="D88" i="20"/>
  <c r="E127" i="20"/>
  <c r="I126" i="20"/>
  <c r="D107" i="20"/>
  <c r="I107" i="20" s="1"/>
  <c r="E105" i="20"/>
  <c r="I105" i="20" s="1"/>
  <c r="E113" i="20"/>
  <c r="D77" i="20"/>
  <c r="D84" i="20"/>
  <c r="D59" i="20"/>
  <c r="D128" i="20"/>
  <c r="I128" i="20" s="1"/>
  <c r="D124" i="20"/>
  <c r="I124" i="20" s="1"/>
  <c r="D103" i="20"/>
  <c r="D39" i="20"/>
  <c r="E38" i="20"/>
  <c r="P28" i="25"/>
  <c r="D46" i="20"/>
  <c r="D102" i="20"/>
  <c r="E118" i="20"/>
  <c r="D45" i="20"/>
  <c r="E52" i="20"/>
  <c r="I52" i="20" s="1"/>
  <c r="E28" i="20"/>
  <c r="D25" i="20"/>
  <c r="E117" i="20"/>
  <c r="E79" i="20"/>
  <c r="D81" i="20"/>
  <c r="I81" i="20" s="1"/>
  <c r="E98" i="20"/>
  <c r="E31" i="20"/>
  <c r="D106" i="20"/>
  <c r="D37" i="18"/>
  <c r="D38" i="18" s="1"/>
  <c r="I66" i="20"/>
  <c r="I90" i="20"/>
  <c r="K127" i="20"/>
  <c r="S28" i="25" s="1"/>
  <c r="J39" i="20"/>
  <c r="L9" i="25" s="1"/>
  <c r="I41" i="20"/>
  <c r="K31" i="20"/>
  <c r="J13" i="25" s="1"/>
  <c r="I132" i="20"/>
  <c r="I108" i="20"/>
  <c r="J84" i="20"/>
  <c r="F33" i="25" s="1"/>
  <c r="J106" i="20"/>
  <c r="L31" i="25" s="1"/>
  <c r="I101" i="20"/>
  <c r="I48" i="20"/>
  <c r="D76" i="20"/>
  <c r="I87" i="20"/>
  <c r="E91" i="20"/>
  <c r="E121" i="20"/>
  <c r="G6" i="18"/>
  <c r="H5" i="18"/>
  <c r="I5" i="18" s="1"/>
  <c r="F72" i="25"/>
  <c r="L55" i="25"/>
  <c r="I60" i="25"/>
  <c r="F55" i="25"/>
  <c r="O55" i="25"/>
  <c r="I53" i="25"/>
  <c r="F69" i="25"/>
  <c r="M58" i="25"/>
  <c r="J59" i="25"/>
  <c r="J63" i="25"/>
  <c r="J60" i="25"/>
  <c r="G61" i="25"/>
  <c r="O56" i="25"/>
  <c r="S56" i="25"/>
  <c r="R62" i="25"/>
  <c r="M55" i="25"/>
  <c r="G68" i="25"/>
  <c r="F62" i="25"/>
  <c r="F67" i="25"/>
  <c r="S58" i="25"/>
  <c r="L57" i="25"/>
  <c r="O62" i="25"/>
  <c r="F71" i="25"/>
  <c r="S60" i="25"/>
  <c r="F52" i="25"/>
  <c r="G67" i="25"/>
  <c r="L52" i="25"/>
  <c r="F77" i="25"/>
  <c r="M60" i="25"/>
  <c r="S59" i="25"/>
  <c r="S55" i="25"/>
  <c r="J62" i="25"/>
  <c r="S63" i="25"/>
  <c r="R61" i="25"/>
  <c r="O61" i="25"/>
  <c r="G69" i="25"/>
  <c r="M63" i="25"/>
  <c r="F56" i="25"/>
  <c r="R59" i="25"/>
  <c r="O59" i="25"/>
  <c r="G70" i="25"/>
  <c r="R56" i="25"/>
  <c r="S62" i="25"/>
  <c r="F74" i="25"/>
  <c r="I61" i="25"/>
  <c r="R53" i="25"/>
  <c r="S61" i="25"/>
  <c r="G58" i="25"/>
  <c r="L53" i="25"/>
  <c r="G74" i="25"/>
  <c r="I57" i="25"/>
  <c r="S57" i="25"/>
  <c r="G60" i="25"/>
  <c r="L63" i="25"/>
  <c r="F68" i="25"/>
  <c r="I58" i="25"/>
  <c r="F75" i="25"/>
  <c r="P58" i="25"/>
  <c r="M54" i="25"/>
  <c r="G63" i="25"/>
  <c r="F60" i="25"/>
  <c r="M62" i="25"/>
  <c r="O60" i="25"/>
  <c r="P52" i="25"/>
  <c r="M59" i="25"/>
  <c r="O63" i="25"/>
  <c r="J52" i="25"/>
  <c r="P61" i="25"/>
  <c r="R57" i="25"/>
  <c r="G78" i="25"/>
  <c r="G55" i="25"/>
  <c r="F61" i="25"/>
  <c r="F70" i="25"/>
  <c r="F63" i="25"/>
  <c r="O58" i="25"/>
  <c r="M56" i="25"/>
  <c r="R58" i="25"/>
  <c r="G59" i="25"/>
  <c r="M53" i="25"/>
  <c r="G57" i="25"/>
  <c r="P54" i="25"/>
  <c r="P62" i="25"/>
  <c r="P57" i="25"/>
  <c r="M57" i="25"/>
  <c r="P56" i="25"/>
  <c r="M52" i="25"/>
  <c r="J58" i="25"/>
  <c r="P53" i="25"/>
  <c r="P63" i="25"/>
  <c r="J54" i="25"/>
  <c r="G53" i="25"/>
  <c r="L61" i="25"/>
  <c r="I55" i="25"/>
  <c r="F78" i="25"/>
  <c r="G52" i="25"/>
  <c r="G56" i="25"/>
  <c r="O53" i="25"/>
  <c r="P55" i="25"/>
  <c r="O54" i="25"/>
  <c r="L59" i="25"/>
  <c r="S54" i="25"/>
  <c r="O57" i="25"/>
  <c r="R60" i="25"/>
  <c r="F53" i="25"/>
  <c r="P60" i="25"/>
  <c r="F57" i="25"/>
  <c r="R52" i="25"/>
  <c r="F76" i="25"/>
  <c r="J56" i="25"/>
  <c r="J61" i="25"/>
  <c r="J55" i="25"/>
  <c r="F73" i="25"/>
  <c r="J53" i="25"/>
  <c r="F54" i="25"/>
  <c r="I56" i="25"/>
  <c r="L54" i="25"/>
  <c r="F58" i="25"/>
  <c r="F59" i="25"/>
  <c r="G62" i="25"/>
  <c r="G73" i="25"/>
  <c r="G72" i="25"/>
  <c r="L60" i="25"/>
  <c r="S53" i="25"/>
  <c r="G77" i="25"/>
  <c r="I59" i="25"/>
  <c r="G54" i="25"/>
  <c r="P59" i="25"/>
  <c r="I63" i="25"/>
  <c r="R54" i="25"/>
  <c r="R55" i="25"/>
  <c r="O52" i="25"/>
  <c r="J57" i="25"/>
  <c r="R63" i="25"/>
  <c r="L56" i="25"/>
  <c r="I62" i="25"/>
  <c r="L58" i="25"/>
  <c r="G71" i="25"/>
  <c r="L62" i="25"/>
  <c r="G76" i="25"/>
  <c r="G75" i="25"/>
  <c r="S52" i="25"/>
  <c r="I52" i="25"/>
  <c r="I54" i="25"/>
  <c r="M61" i="25"/>
  <c r="O27" i="25"/>
  <c r="P17" i="25"/>
  <c r="L30" i="25"/>
  <c r="S8" i="25"/>
  <c r="J16" i="25"/>
  <c r="S33" i="25"/>
  <c r="L33" i="25"/>
  <c r="G31" i="25"/>
  <c r="O31" i="25"/>
  <c r="I10" i="25"/>
  <c r="P33" i="25"/>
  <c r="I18" i="25"/>
  <c r="M26" i="25"/>
  <c r="G33" i="25"/>
  <c r="O17" i="25"/>
  <c r="O30" i="25"/>
  <c r="I30" i="25"/>
  <c r="M16" i="25"/>
  <c r="I32" i="25"/>
  <c r="M29" i="25"/>
  <c r="S32" i="25"/>
  <c r="G26" i="25"/>
  <c r="S13" i="25"/>
  <c r="J17" i="25"/>
  <c r="L10" i="25"/>
  <c r="F32" i="25"/>
  <c r="G30" i="25"/>
  <c r="I29" i="25"/>
  <c r="I23" i="25"/>
  <c r="M23" i="25"/>
  <c r="P32" i="25"/>
  <c r="O29" i="25"/>
  <c r="O16" i="25"/>
  <c r="P12" i="25"/>
  <c r="M13" i="25"/>
  <c r="J9" i="25"/>
  <c r="S24" i="25"/>
  <c r="L17" i="25"/>
  <c r="I28" i="25"/>
  <c r="M32" i="25"/>
  <c r="R15" i="25"/>
  <c r="S12" i="25"/>
  <c r="L23" i="25"/>
  <c r="R11" i="25"/>
  <c r="S23" i="25"/>
  <c r="I27" i="25"/>
  <c r="M9" i="25"/>
  <c r="O13" i="25"/>
  <c r="P18" i="25"/>
  <c r="M15" i="25"/>
  <c r="O8" i="25"/>
  <c r="J18" i="25"/>
  <c r="P23" i="25"/>
  <c r="S18" i="25"/>
  <c r="M12" i="25"/>
  <c r="S16" i="25"/>
  <c r="M25" i="25"/>
  <c r="L8" i="25"/>
  <c r="R13" i="25"/>
  <c r="J8" i="25"/>
  <c r="R33" i="25"/>
  <c r="S17" i="25"/>
  <c r="M31" i="25"/>
  <c r="I31" i="25"/>
  <c r="O28" i="25"/>
  <c r="G25" i="25"/>
  <c r="I8" i="25"/>
  <c r="S10" i="25"/>
  <c r="J25" i="25"/>
  <c r="R28" i="25"/>
  <c r="R29" i="25"/>
  <c r="J27" i="25"/>
  <c r="G27" i="25"/>
  <c r="M14" i="25"/>
  <c r="R14" i="25"/>
  <c r="F28" i="25"/>
  <c r="I11" i="25"/>
  <c r="L11" i="25"/>
  <c r="M18" i="25"/>
  <c r="R9" i="25"/>
  <c r="M27" i="25"/>
  <c r="R31" i="25"/>
  <c r="M28" i="25"/>
  <c r="O24" i="25"/>
  <c r="O25" i="25"/>
  <c r="G23" i="25"/>
  <c r="J31" i="25"/>
  <c r="J26" i="25"/>
  <c r="I33" i="25"/>
  <c r="S11" i="25"/>
  <c r="J24" i="25"/>
  <c r="L26" i="25"/>
  <c r="I12" i="25"/>
  <c r="R27" i="25"/>
  <c r="P14" i="25"/>
  <c r="G24" i="25"/>
  <c r="I16" i="25"/>
  <c r="S26" i="25"/>
  <c r="L24" i="25"/>
  <c r="P15" i="25"/>
  <c r="J15" i="25"/>
  <c r="I15" i="25"/>
  <c r="O11" i="25"/>
  <c r="L14" i="25"/>
  <c r="R30" i="25"/>
  <c r="S25" i="25"/>
  <c r="S29" i="25"/>
  <c r="I13" i="25"/>
  <c r="O9" i="25"/>
  <c r="P31" i="25"/>
  <c r="J10" i="25"/>
  <c r="I14" i="25"/>
  <c r="O26" i="25"/>
  <c r="G29" i="25"/>
  <c r="O10" i="25"/>
  <c r="P25" i="25"/>
  <c r="I17" i="25"/>
  <c r="J29" i="25"/>
  <c r="R22" i="25"/>
  <c r="J23" i="25"/>
  <c r="J14" i="25"/>
  <c r="O7" i="25"/>
  <c r="R18" i="25"/>
  <c r="S30" i="25"/>
  <c r="M30" i="25"/>
  <c r="R12" i="25"/>
  <c r="J22" i="25"/>
  <c r="P16" i="25"/>
  <c r="R17" i="25"/>
  <c r="S15" i="25"/>
  <c r="P24" i="25"/>
  <c r="O32" i="25"/>
  <c r="J11" i="25"/>
  <c r="L16" i="25"/>
  <c r="S27" i="25"/>
  <c r="L18" i="25"/>
  <c r="J32" i="25"/>
  <c r="I26" i="25"/>
  <c r="L22" i="25"/>
  <c r="S9" i="25"/>
  <c r="M8" i="25"/>
  <c r="F24" i="25"/>
  <c r="O22" i="25"/>
  <c r="O18" i="25"/>
  <c r="G28" i="25"/>
  <c r="R26" i="25"/>
  <c r="F23" i="25"/>
  <c r="L7" i="25"/>
  <c r="I9" i="25"/>
  <c r="S7" i="25"/>
  <c r="P9" i="25"/>
  <c r="F30" i="25"/>
  <c r="F25" i="25"/>
  <c r="R25" i="25"/>
  <c r="S31" i="25"/>
  <c r="J7" i="25"/>
  <c r="M10" i="25"/>
  <c r="P26" i="25"/>
  <c r="O14" i="25"/>
  <c r="O23" i="25"/>
  <c r="M11" i="25"/>
  <c r="F26" i="25"/>
  <c r="P29" i="25"/>
  <c r="J12" i="25"/>
  <c r="P27" i="25"/>
  <c r="I25" i="25"/>
  <c r="P30" i="25"/>
  <c r="L15" i="25"/>
  <c r="L13" i="25"/>
  <c r="O33" i="25"/>
  <c r="O12" i="25"/>
  <c r="F27" i="25"/>
  <c r="R24" i="25"/>
  <c r="M17" i="25"/>
  <c r="S14" i="25"/>
  <c r="G32" i="25"/>
  <c r="J33" i="25"/>
  <c r="L12" i="25"/>
  <c r="J30" i="25"/>
  <c r="L29" i="25"/>
  <c r="F29" i="25"/>
  <c r="G22" i="25"/>
  <c r="P10" i="25"/>
  <c r="L28" i="25"/>
  <c r="M33" i="25"/>
  <c r="P11" i="25"/>
  <c r="L32" i="25"/>
  <c r="L25" i="25"/>
  <c r="O15" i="25"/>
  <c r="M24" i="25"/>
  <c r="P13" i="25"/>
  <c r="R8" i="25"/>
  <c r="R16" i="25"/>
  <c r="I24" i="25"/>
  <c r="L27" i="25"/>
  <c r="I22" i="25"/>
  <c r="M22" i="25"/>
  <c r="P22" i="25"/>
  <c r="S22" i="25"/>
  <c r="P7" i="25"/>
  <c r="R7" i="25"/>
  <c r="F22" i="25"/>
  <c r="I7" i="25"/>
  <c r="M7" i="25"/>
  <c r="I45" i="25"/>
  <c r="F42" i="25"/>
  <c r="F38" i="25"/>
  <c r="I39" i="25"/>
  <c r="F43" i="25"/>
  <c r="J47" i="25"/>
  <c r="J48" i="25"/>
  <c r="R42" i="25"/>
  <c r="O48" i="25"/>
  <c r="M46" i="25"/>
  <c r="P39" i="25"/>
  <c r="F45" i="25"/>
  <c r="F41" i="25"/>
  <c r="P42" i="25"/>
  <c r="M44" i="25"/>
  <c r="S47" i="25"/>
  <c r="J39" i="25"/>
  <c r="R41" i="25"/>
  <c r="F39" i="25"/>
  <c r="I41" i="25"/>
  <c r="R44" i="25"/>
  <c r="P41" i="25"/>
  <c r="J46" i="25"/>
  <c r="S45" i="25"/>
  <c r="L48" i="25"/>
  <c r="R38" i="25"/>
  <c r="P47" i="25"/>
  <c r="S43" i="25"/>
  <c r="F44" i="25"/>
  <c r="O38" i="25"/>
  <c r="S38" i="25"/>
  <c r="R45" i="25"/>
  <c r="L40" i="25"/>
  <c r="L42" i="25"/>
  <c r="S42" i="25"/>
  <c r="L47" i="25"/>
  <c r="R43" i="25"/>
  <c r="R48" i="25"/>
  <c r="P45" i="25"/>
  <c r="G46" i="25"/>
  <c r="J42" i="25"/>
  <c r="G39" i="25"/>
  <c r="S48" i="25"/>
  <c r="M43" i="25"/>
  <c r="P44" i="25"/>
  <c r="G47" i="25"/>
  <c r="P46" i="25"/>
  <c r="I42" i="25"/>
  <c r="G48" i="25"/>
  <c r="R46" i="25"/>
  <c r="R40" i="25"/>
  <c r="I40" i="25"/>
  <c r="J38" i="25"/>
  <c r="I43" i="25"/>
  <c r="O42" i="25"/>
  <c r="M38" i="25"/>
  <c r="M41" i="25"/>
  <c r="R39" i="25"/>
  <c r="S44" i="25"/>
  <c r="F40" i="25"/>
  <c r="F46" i="25"/>
  <c r="I47" i="25"/>
  <c r="O43" i="25"/>
  <c r="O44" i="25"/>
  <c r="I44" i="25"/>
  <c r="G42" i="25"/>
  <c r="M39" i="25"/>
  <c r="L45" i="25"/>
  <c r="P43" i="25"/>
  <c r="J45" i="25"/>
  <c r="P38" i="25"/>
  <c r="G44" i="25"/>
  <c r="I38" i="25"/>
  <c r="M45" i="25"/>
  <c r="S46" i="25"/>
  <c r="M47" i="25"/>
  <c r="L41" i="25"/>
  <c r="O41" i="25"/>
  <c r="L46" i="25"/>
  <c r="G40" i="25"/>
  <c r="J41" i="25"/>
  <c r="R47" i="25"/>
  <c r="S40" i="25"/>
  <c r="L44" i="25"/>
  <c r="J44" i="25"/>
  <c r="O45" i="25"/>
  <c r="L39" i="25"/>
  <c r="G38" i="25"/>
  <c r="I48" i="25"/>
  <c r="O46" i="25"/>
  <c r="J40" i="25"/>
  <c r="S41" i="25"/>
  <c r="F47" i="25"/>
  <c r="G45" i="25"/>
  <c r="I46" i="25"/>
  <c r="J43" i="25"/>
  <c r="L38" i="25"/>
  <c r="M42" i="25"/>
  <c r="F48" i="25"/>
  <c r="L43" i="25"/>
  <c r="M48" i="25"/>
  <c r="O47" i="25"/>
  <c r="P48" i="25"/>
  <c r="G41" i="25"/>
  <c r="O40" i="25"/>
  <c r="O39" i="25"/>
  <c r="G43" i="25"/>
  <c r="P40" i="25"/>
  <c r="S39" i="25"/>
  <c r="M40" i="25"/>
  <c r="P37" i="25"/>
  <c r="G37" i="25"/>
  <c r="R37" i="25"/>
  <c r="L37" i="25"/>
  <c r="F37" i="25"/>
  <c r="I37" i="25"/>
  <c r="M37" i="25"/>
  <c r="S37" i="25"/>
  <c r="O37" i="25"/>
  <c r="J37" i="25"/>
  <c r="D57" i="20"/>
  <c r="D72" i="20"/>
  <c r="D122" i="20"/>
  <c r="E129" i="20"/>
  <c r="I89" i="20"/>
  <c r="E49" i="20"/>
  <c r="D54" i="20"/>
  <c r="D74" i="20"/>
  <c r="D131" i="20"/>
  <c r="D61" i="20"/>
  <c r="E97" i="20"/>
  <c r="E86" i="20"/>
  <c r="E50" i="20"/>
  <c r="I50" i="20" s="1"/>
  <c r="E109" i="20"/>
  <c r="E47" i="20"/>
  <c r="E69" i="20"/>
  <c r="E30" i="20"/>
  <c r="D119" i="20"/>
  <c r="E29" i="20"/>
  <c r="E130" i="20"/>
  <c r="R6" i="20"/>
  <c r="Q6" i="20"/>
  <c r="Q9" i="20" s="1"/>
  <c r="N1" i="19"/>
  <c r="I43" i="20"/>
  <c r="E32" i="20"/>
  <c r="D60" i="20"/>
  <c r="I78" i="20"/>
  <c r="D100" i="20"/>
  <c r="D123" i="20"/>
  <c r="D94" i="20"/>
  <c r="E55" i="20"/>
  <c r="E99" i="20"/>
  <c r="D44" i="20"/>
  <c r="D85" i="20"/>
  <c r="E112" i="20"/>
  <c r="E67" i="20"/>
  <c r="E40" i="20"/>
  <c r="D2" i="25"/>
  <c r="B2" i="20"/>
  <c r="D70" i="20"/>
  <c r="D64" i="20"/>
  <c r="E36" i="20"/>
  <c r="I71" i="20" l="1"/>
  <c r="I120" i="20"/>
  <c r="I51" i="20"/>
  <c r="I115" i="20"/>
  <c r="I104" i="20"/>
  <c r="I111" i="20"/>
  <c r="I75" i="20"/>
  <c r="I65" i="20"/>
  <c r="K220" i="20"/>
  <c r="U214" i="17"/>
  <c r="E221" i="20" s="1"/>
  <c r="D220" i="20"/>
  <c r="I219" i="20"/>
  <c r="J219" i="20"/>
  <c r="I116" i="20"/>
  <c r="I117" i="20"/>
  <c r="I31" i="20"/>
  <c r="I42" i="20"/>
  <c r="I97" i="20"/>
  <c r="I68" i="20"/>
  <c r="I45" i="20"/>
  <c r="I77" i="20"/>
  <c r="I95" i="20"/>
  <c r="I58" i="20"/>
  <c r="I113" i="20"/>
  <c r="I127" i="20"/>
  <c r="R216" i="17"/>
  <c r="M223" i="20"/>
  <c r="B224" i="20"/>
  <c r="I28" i="20"/>
  <c r="I62" i="20"/>
  <c r="I46" i="20"/>
  <c r="I25" i="20"/>
  <c r="I84" i="20"/>
  <c r="I118" i="20"/>
  <c r="I38" i="20"/>
  <c r="I37" i="20"/>
  <c r="I59" i="20"/>
  <c r="I88" i="20"/>
  <c r="I39" i="20"/>
  <c r="I102" i="20"/>
  <c r="I112" i="20"/>
  <c r="I34" i="20"/>
  <c r="I106" i="20"/>
  <c r="I103" i="20"/>
  <c r="I56" i="20"/>
  <c r="I79" i="20"/>
  <c r="I98" i="20"/>
  <c r="I32" i="20"/>
  <c r="I54" i="20"/>
  <c r="J64" i="20"/>
  <c r="R10" i="25" s="1"/>
  <c r="I64" i="20"/>
  <c r="I44" i="20"/>
  <c r="I60" i="20"/>
  <c r="S6" i="20"/>
  <c r="S9" i="20" s="1"/>
  <c r="R9" i="20"/>
  <c r="I130" i="20"/>
  <c r="I30" i="20"/>
  <c r="I57" i="20"/>
  <c r="H6" i="18"/>
  <c r="I6" i="18" s="1"/>
  <c r="G7" i="18"/>
  <c r="I76" i="20"/>
  <c r="I129" i="20"/>
  <c r="I99" i="20"/>
  <c r="K50" i="20"/>
  <c r="P8" i="25" s="1"/>
  <c r="J122" i="20"/>
  <c r="R23" i="25" s="1"/>
  <c r="I122" i="20"/>
  <c r="K91" i="20"/>
  <c r="J28" i="25" s="1"/>
  <c r="I67" i="20"/>
  <c r="I70" i="20"/>
  <c r="I85" i="20"/>
  <c r="I94" i="20"/>
  <c r="I29" i="20"/>
  <c r="I69" i="20"/>
  <c r="I109" i="20"/>
  <c r="I61" i="20"/>
  <c r="I74" i="20"/>
  <c r="I49" i="20"/>
  <c r="I72" i="20"/>
  <c r="I36" i="20"/>
  <c r="I40" i="20"/>
  <c r="I119" i="20"/>
  <c r="I55" i="20"/>
  <c r="I100" i="20"/>
  <c r="I123" i="20"/>
  <c r="J131" i="20"/>
  <c r="R32" i="25" s="1"/>
  <c r="I131" i="20"/>
  <c r="I86" i="20"/>
  <c r="I121" i="20"/>
  <c r="I91" i="20"/>
  <c r="I47" i="20"/>
  <c r="D221" i="20" l="1"/>
  <c r="J221" i="20" s="1"/>
  <c r="U215" i="17"/>
  <c r="D222" i="20" s="1"/>
  <c r="K221" i="20"/>
  <c r="J220" i="20"/>
  <c r="I220" i="20"/>
  <c r="M224" i="20"/>
  <c r="R217" i="17"/>
  <c r="B225" i="20"/>
  <c r="H7" i="18"/>
  <c r="I7" i="18" s="1"/>
  <c r="G8" i="18"/>
  <c r="E222" i="20" l="1"/>
  <c r="I221" i="20"/>
  <c r="U216" i="17"/>
  <c r="D223" i="20" s="1"/>
  <c r="K222" i="20"/>
  <c r="I222" i="20"/>
  <c r="J222" i="20"/>
  <c r="B226" i="20"/>
  <c r="R218" i="17"/>
  <c r="M225" i="20"/>
  <c r="H8" i="18"/>
  <c r="I8" i="18" s="1"/>
  <c r="G9" i="18"/>
  <c r="E223" i="20" l="1"/>
  <c r="K223" i="20" s="1"/>
  <c r="U217" i="17"/>
  <c r="E224" i="20" s="1"/>
  <c r="J223" i="20"/>
  <c r="R219" i="17"/>
  <c r="M226" i="20"/>
  <c r="B227" i="20"/>
  <c r="H9" i="18"/>
  <c r="I9" i="18" s="1"/>
  <c r="G10" i="18"/>
  <c r="D224" i="20" l="1"/>
  <c r="I224" i="20" s="1"/>
  <c r="I223" i="20"/>
  <c r="U218" i="17"/>
  <c r="E225" i="20" s="1"/>
  <c r="K224" i="20"/>
  <c r="J224" i="20"/>
  <c r="M227" i="20"/>
  <c r="B228" i="20"/>
  <c r="R220" i="17"/>
  <c r="H10" i="18"/>
  <c r="I10" i="18" s="1"/>
  <c r="G11" i="18"/>
  <c r="D225" i="20" l="1"/>
  <c r="K225" i="20"/>
  <c r="U219" i="17"/>
  <c r="E226" i="20" s="1"/>
  <c r="B229" i="20"/>
  <c r="R221" i="17"/>
  <c r="M228" i="20"/>
  <c r="H11" i="18"/>
  <c r="I11" i="18" s="1"/>
  <c r="G12" i="18"/>
  <c r="J225" i="20" l="1"/>
  <c r="I225" i="20"/>
  <c r="D226" i="20"/>
  <c r="K226" i="20"/>
  <c r="U220" i="17"/>
  <c r="E227" i="20" s="1"/>
  <c r="D227" i="20"/>
  <c r="M229" i="20"/>
  <c r="B230" i="20"/>
  <c r="R222" i="17"/>
  <c r="G13" i="18"/>
  <c r="H12" i="18"/>
  <c r="I12" i="18" s="1"/>
  <c r="I226" i="20" l="1"/>
  <c r="J226" i="20"/>
  <c r="K227" i="20"/>
  <c r="I227" i="20"/>
  <c r="J227" i="20"/>
  <c r="U221" i="17"/>
  <c r="E228" i="20" s="1"/>
  <c r="R223" i="17"/>
  <c r="B231" i="20"/>
  <c r="M230" i="20"/>
  <c r="H13" i="18"/>
  <c r="I13" i="18" s="1"/>
  <c r="G14" i="18"/>
  <c r="D228" i="20" l="1"/>
  <c r="J228" i="20" s="1"/>
  <c r="K228" i="20"/>
  <c r="W223" i="17"/>
  <c r="W229" i="17" s="1"/>
  <c r="U222" i="17"/>
  <c r="D229" i="20" s="1"/>
  <c r="M231" i="20"/>
  <c r="R224" i="17"/>
  <c r="B232" i="20"/>
  <c r="G15" i="18"/>
  <c r="H14" i="18"/>
  <c r="I14" i="18" s="1"/>
  <c r="I228" i="20" l="1"/>
  <c r="J229" i="20"/>
  <c r="E229" i="20"/>
  <c r="U223" i="17"/>
  <c r="E230" i="20" s="1"/>
  <c r="B233" i="20"/>
  <c r="R225" i="17"/>
  <c r="M232" i="20"/>
  <c r="H15" i="18"/>
  <c r="I15" i="18" s="1"/>
  <c r="G16" i="18"/>
  <c r="D230" i="20" l="1"/>
  <c r="J230" i="20" s="1"/>
  <c r="K230" i="20"/>
  <c r="I230" i="20"/>
  <c r="U224" i="17"/>
  <c r="E231" i="20" s="1"/>
  <c r="K229" i="20"/>
  <c r="I229" i="20"/>
  <c r="B234" i="20"/>
  <c r="R226" i="17"/>
  <c r="M233" i="20"/>
  <c r="G17" i="18"/>
  <c r="H16" i="18"/>
  <c r="I16" i="18" s="1"/>
  <c r="D231" i="20" l="1"/>
  <c r="I231" i="20" s="1"/>
  <c r="K231" i="20"/>
  <c r="U225" i="17"/>
  <c r="E232" i="20" s="1"/>
  <c r="M234" i="20"/>
  <c r="R227" i="17"/>
  <c r="B235" i="20"/>
  <c r="G18" i="18"/>
  <c r="H17" i="18"/>
  <c r="I17" i="18" s="1"/>
  <c r="J231" i="20" l="1"/>
  <c r="D232" i="20"/>
  <c r="K232" i="20"/>
  <c r="U226" i="17"/>
  <c r="E233" i="20" s="1"/>
  <c r="D233" i="20"/>
  <c r="M235" i="20"/>
  <c r="R228" i="17"/>
  <c r="B236" i="20"/>
  <c r="G19" i="18"/>
  <c r="H18" i="18"/>
  <c r="I18" i="18" s="1"/>
  <c r="J232" i="20" l="1"/>
  <c r="I232" i="20"/>
  <c r="K233" i="20"/>
  <c r="I233" i="20"/>
  <c r="J233" i="20"/>
  <c r="U227" i="17"/>
  <c r="E234" i="20" s="1"/>
  <c r="B237" i="20"/>
  <c r="R229" i="17"/>
  <c r="M236" i="20"/>
  <c r="G20" i="18"/>
  <c r="H19" i="18"/>
  <c r="I19" i="18" s="1"/>
  <c r="D234" i="20" l="1"/>
  <c r="I234" i="20" s="1"/>
  <c r="K234" i="20"/>
  <c r="U228" i="17"/>
  <c r="E235" i="20" s="1"/>
  <c r="B238" i="20"/>
  <c r="M237" i="20"/>
  <c r="R230" i="17"/>
  <c r="G21" i="18"/>
  <c r="H20" i="18"/>
  <c r="I20" i="18" s="1"/>
  <c r="J234" i="20" l="1"/>
  <c r="D235" i="20"/>
  <c r="J235" i="20" s="1"/>
  <c r="K235" i="20"/>
  <c r="U229" i="17"/>
  <c r="D236" i="20" s="1"/>
  <c r="B239" i="20"/>
  <c r="R231" i="17"/>
  <c r="M238" i="20"/>
  <c r="G22" i="18"/>
  <c r="H21" i="18"/>
  <c r="I21" i="18" s="1"/>
  <c r="I235" i="20" l="1"/>
  <c r="E236" i="20"/>
  <c r="U230" i="17"/>
  <c r="E237" i="20" s="1"/>
  <c r="J236" i="20"/>
  <c r="B240" i="20"/>
  <c r="M239" i="20"/>
  <c r="R232" i="17"/>
  <c r="G23" i="18"/>
  <c r="H22" i="18"/>
  <c r="I22" i="18" s="1"/>
  <c r="D237" i="20" l="1"/>
  <c r="I237" i="20" s="1"/>
  <c r="I236" i="20"/>
  <c r="K236" i="20"/>
  <c r="U231" i="17"/>
  <c r="D238" i="20" s="1"/>
  <c r="K237" i="20"/>
  <c r="M240" i="20"/>
  <c r="B241" i="20"/>
  <c r="R233" i="17"/>
  <c r="G24" i="18"/>
  <c r="H23" i="18"/>
  <c r="I23" i="18" s="1"/>
  <c r="J237" i="20" l="1"/>
  <c r="E238" i="20"/>
  <c r="U232" i="17"/>
  <c r="E239" i="20" s="1"/>
  <c r="J238" i="20"/>
  <c r="M241" i="20"/>
  <c r="R234" i="17"/>
  <c r="B242" i="20"/>
  <c r="G25" i="18"/>
  <c r="H25" i="18" s="1"/>
  <c r="I25" i="18" s="1"/>
  <c r="H24" i="18"/>
  <c r="I24" i="18" s="1"/>
  <c r="K238" i="20" l="1"/>
  <c r="I238" i="20"/>
  <c r="D239" i="20"/>
  <c r="I239" i="20" s="1"/>
  <c r="K239" i="20"/>
  <c r="U233" i="17"/>
  <c r="D240" i="20" s="1"/>
  <c r="R235" i="17"/>
  <c r="M242" i="20"/>
  <c r="B243" i="20"/>
  <c r="J239" i="20" l="1"/>
  <c r="E240" i="20"/>
  <c r="I240" i="20" s="1"/>
  <c r="J240" i="20"/>
  <c r="W235" i="17"/>
  <c r="W241" i="17" s="1"/>
  <c r="U234" i="17"/>
  <c r="D241" i="20" s="1"/>
  <c r="R236" i="17"/>
  <c r="M243" i="20"/>
  <c r="B244" i="20"/>
  <c r="K240" i="20" l="1"/>
  <c r="J241" i="20"/>
  <c r="E241" i="20"/>
  <c r="I241" i="20" s="1"/>
  <c r="U235" i="17"/>
  <c r="E242" i="20" s="1"/>
  <c r="B245" i="20"/>
  <c r="R237" i="17"/>
  <c r="M244" i="20"/>
  <c r="D242" i="20" l="1"/>
  <c r="I242" i="20" s="1"/>
  <c r="K242" i="20"/>
  <c r="U236" i="17"/>
  <c r="D243" i="20" s="1"/>
  <c r="K241" i="20"/>
  <c r="B246" i="20"/>
  <c r="R238" i="17"/>
  <c r="M245" i="20"/>
  <c r="J242" i="20" l="1"/>
  <c r="E243" i="20"/>
  <c r="K243" i="20" s="1"/>
  <c r="J243" i="20"/>
  <c r="U237" i="17"/>
  <c r="D244" i="20" s="1"/>
  <c r="R239" i="17"/>
  <c r="M246" i="20"/>
  <c r="B247" i="20"/>
  <c r="I243" i="20" l="1"/>
  <c r="E244" i="20"/>
  <c r="K244" i="20" s="1"/>
  <c r="J244" i="20"/>
  <c r="U238" i="17"/>
  <c r="E245" i="20" s="1"/>
  <c r="M247" i="20"/>
  <c r="R240" i="17"/>
  <c r="B248" i="20"/>
  <c r="I244" i="20" l="1"/>
  <c r="D245" i="20"/>
  <c r="K245" i="20"/>
  <c r="U239" i="17"/>
  <c r="E246" i="20" s="1"/>
  <c r="M248" i="20"/>
  <c r="B249" i="20"/>
  <c r="R241" i="17"/>
  <c r="D246" i="20" l="1"/>
  <c r="J246" i="20" s="1"/>
  <c r="I245" i="20"/>
  <c r="J245" i="20"/>
  <c r="K246" i="20"/>
  <c r="U240" i="17"/>
  <c r="E247" i="20" s="1"/>
  <c r="B250" i="20"/>
  <c r="R242" i="17"/>
  <c r="M249" i="20"/>
  <c r="D247" i="20" l="1"/>
  <c r="J247" i="20" s="1"/>
  <c r="I246" i="20"/>
  <c r="K247" i="20"/>
  <c r="U241" i="17"/>
  <c r="D248" i="20" s="1"/>
  <c r="R243" i="17"/>
  <c r="B251" i="20"/>
  <c r="M250" i="20"/>
  <c r="I247" i="20" l="1"/>
  <c r="E248" i="20"/>
  <c r="K248" i="20" s="1"/>
  <c r="J248" i="20"/>
  <c r="U242" i="17"/>
  <c r="E249" i="20" s="1"/>
  <c r="B252" i="20"/>
  <c r="M251" i="20"/>
  <c r="R244" i="17"/>
  <c r="I248" i="20" l="1"/>
  <c r="D249" i="20"/>
  <c r="K249" i="20"/>
  <c r="U243" i="17"/>
  <c r="E250" i="20" s="1"/>
  <c r="B253" i="20"/>
  <c r="R245" i="17"/>
  <c r="M252" i="20"/>
  <c r="D250" i="20" l="1"/>
  <c r="I249" i="20"/>
  <c r="J249" i="20"/>
  <c r="K250" i="20"/>
  <c r="U244" i="17"/>
  <c r="E251" i="20" s="1"/>
  <c r="B254" i="20"/>
  <c r="M253" i="20"/>
  <c r="R246" i="17"/>
  <c r="D251" i="20" l="1"/>
  <c r="J250" i="20"/>
  <c r="I250" i="20"/>
  <c r="K251" i="20"/>
  <c r="I251" i="20"/>
  <c r="U245" i="17"/>
  <c r="E252" i="20" s="1"/>
  <c r="R247" i="17"/>
  <c r="B255" i="20"/>
  <c r="M254" i="20"/>
  <c r="J251" i="20" l="1"/>
  <c r="D252" i="20"/>
  <c r="I252" i="20" s="1"/>
  <c r="K252" i="20"/>
  <c r="W247" i="17"/>
  <c r="W253" i="17" s="1"/>
  <c r="R248" i="17"/>
  <c r="B256" i="20"/>
  <c r="M255" i="20"/>
  <c r="J252" i="20" l="1"/>
  <c r="U253" i="17"/>
  <c r="U251" i="17"/>
  <c r="U257" i="17"/>
  <c r="U256" i="17"/>
  <c r="U247" i="17"/>
  <c r="D254" i="20" s="1"/>
  <c r="U255" i="17"/>
  <c r="U250" i="17"/>
  <c r="U249" i="17"/>
  <c r="U254" i="17"/>
  <c r="U252" i="17"/>
  <c r="U248" i="17"/>
  <c r="U246" i="17"/>
  <c r="E254" i="20"/>
  <c r="B257" i="20"/>
  <c r="M256" i="20"/>
  <c r="R249" i="17"/>
  <c r="D255" i="20" l="1"/>
  <c r="E255" i="20"/>
  <c r="E253" i="20"/>
  <c r="D253" i="20"/>
  <c r="I254" i="20"/>
  <c r="E256" i="20"/>
  <c r="D256" i="20"/>
  <c r="R250" i="17"/>
  <c r="B258" i="20"/>
  <c r="M257" i="20"/>
  <c r="I255" i="20" l="1"/>
  <c r="I256" i="20"/>
  <c r="I253" i="20"/>
  <c r="M258" i="20"/>
  <c r="R251" i="17"/>
  <c r="B259" i="20"/>
  <c r="E257" i="20"/>
  <c r="D257" i="20"/>
  <c r="I257" i="20" l="1"/>
  <c r="E258" i="20"/>
  <c r="D258" i="20"/>
  <c r="B260" i="20"/>
  <c r="R252" i="17"/>
  <c r="M259" i="20"/>
  <c r="I258" i="20" l="1"/>
  <c r="E259" i="20"/>
  <c r="D259" i="20"/>
  <c r="B261" i="20"/>
  <c r="R253" i="17"/>
  <c r="M260" i="20"/>
  <c r="I259" i="20" l="1"/>
  <c r="B262" i="20"/>
  <c r="M261" i="20"/>
  <c r="R254" i="17"/>
  <c r="E260" i="20"/>
  <c r="D260" i="20"/>
  <c r="I260" i="20" l="1"/>
  <c r="M262" i="20"/>
  <c r="R255" i="17"/>
  <c r="B263" i="20"/>
  <c r="D261" i="20"/>
  <c r="E261" i="20"/>
  <c r="I261" i="20" l="1"/>
  <c r="M263" i="20"/>
  <c r="R256" i="17"/>
  <c r="B264" i="20"/>
  <c r="D262" i="20"/>
  <c r="E262" i="20"/>
  <c r="I262" i="20" l="1"/>
  <c r="R257" i="17"/>
  <c r="M264" i="20"/>
  <c r="N10" i="20"/>
  <c r="E263" i="20"/>
  <c r="D263" i="20"/>
  <c r="F10" i="20"/>
  <c r="I263" i="20" l="1"/>
  <c r="D33" i="18"/>
  <c r="D34" i="18" s="1"/>
  <c r="M10" i="20"/>
  <c r="N2" i="19"/>
  <c r="D264" i="20"/>
  <c r="E264" i="20"/>
  <c r="K264" i="20" s="1"/>
  <c r="D18" i="19"/>
  <c r="G10" i="20"/>
  <c r="D15" i="19"/>
  <c r="D12" i="19"/>
  <c r="E20" i="19"/>
  <c r="E21" i="19"/>
  <c r="E15" i="19"/>
  <c r="D21" i="19"/>
  <c r="H10" i="20"/>
  <c r="D19" i="19"/>
  <c r="D22" i="19"/>
  <c r="E22" i="19"/>
  <c r="G10" i="19"/>
  <c r="D23" i="19"/>
  <c r="E11" i="19"/>
  <c r="G21" i="19"/>
  <c r="D13" i="19"/>
  <c r="G12" i="19"/>
  <c r="E14" i="19"/>
  <c r="E23" i="19"/>
  <c r="E28" i="19"/>
  <c r="G17" i="19"/>
  <c r="E12" i="19"/>
  <c r="E26" i="19"/>
  <c r="G24" i="19"/>
  <c r="G16" i="19"/>
  <c r="G23" i="19"/>
  <c r="D11" i="19"/>
  <c r="E9" i="19"/>
  <c r="E24" i="19"/>
  <c r="D26" i="19"/>
  <c r="D28" i="19"/>
  <c r="G19" i="19"/>
  <c r="I264" i="20" l="1"/>
  <c r="K24" i="19"/>
  <c r="K23" i="19"/>
  <c r="K17" i="19"/>
  <c r="K12" i="19"/>
  <c r="K16" i="19"/>
  <c r="K10" i="19"/>
  <c r="K21" i="19"/>
  <c r="K19" i="19"/>
  <c r="D27" i="19"/>
  <c r="G25" i="19"/>
  <c r="G26" i="19"/>
  <c r="G14" i="19"/>
  <c r="D24" i="19"/>
  <c r="D17" i="19"/>
  <c r="D14" i="19"/>
  <c r="E27" i="19"/>
  <c r="G11" i="19"/>
  <c r="D10" i="19"/>
  <c r="G9" i="19"/>
  <c r="D9" i="19"/>
  <c r="E13" i="19"/>
  <c r="E10" i="19"/>
  <c r="D20" i="19"/>
  <c r="G20" i="19"/>
  <c r="E17" i="19"/>
  <c r="E16" i="19"/>
  <c r="E19" i="19"/>
  <c r="G15" i="19"/>
  <c r="G22" i="19"/>
  <c r="G28" i="19"/>
  <c r="E25" i="19"/>
  <c r="G18" i="19"/>
  <c r="G27" i="19"/>
  <c r="G13" i="19"/>
  <c r="E18" i="19"/>
  <c r="D25" i="19"/>
  <c r="D16" i="19"/>
  <c r="K25" i="19" l="1"/>
  <c r="K11" i="19"/>
  <c r="K20" i="19"/>
  <c r="K27" i="19"/>
  <c r="K18" i="19"/>
  <c r="K22" i="19"/>
  <c r="K15" i="19"/>
  <c r="K26" i="19"/>
  <c r="K14" i="19"/>
  <c r="K28" i="19"/>
  <c r="K9" i="19"/>
  <c r="K13" i="19"/>
  <c r="C18" i="20"/>
  <c r="C20" i="20"/>
  <c r="C24" i="20"/>
  <c r="C19" i="20"/>
  <c r="C22" i="20"/>
  <c r="C14" i="20"/>
  <c r="C16" i="20"/>
  <c r="C15" i="20"/>
  <c r="C21" i="20"/>
  <c r="C17" i="20"/>
  <c r="C23" i="20"/>
  <c r="U10" i="17" l="1"/>
  <c r="E17" i="20" s="1"/>
  <c r="U8" i="17"/>
  <c r="E15" i="20" s="1"/>
  <c r="U12" i="17"/>
  <c r="E19" i="20" s="1"/>
  <c r="U13" i="17"/>
  <c r="D20" i="20" s="1"/>
  <c r="U16" i="17"/>
  <c r="D23" i="20" s="1"/>
  <c r="U14" i="17"/>
  <c r="E21" i="20" s="1"/>
  <c r="U9" i="17"/>
  <c r="E16" i="20" s="1"/>
  <c r="U15" i="17"/>
  <c r="D22" i="20" s="1"/>
  <c r="U17" i="17"/>
  <c r="D24" i="20" s="1"/>
  <c r="U11" i="17"/>
  <c r="E18" i="20" s="1"/>
  <c r="E22" i="20" l="1"/>
  <c r="D15" i="20"/>
  <c r="C7" i="18" s="1"/>
  <c r="C37" i="18"/>
  <c r="E37" i="18" s="1"/>
  <c r="D18" i="20"/>
  <c r="D21" i="20"/>
  <c r="J23" i="20"/>
  <c r="F17" i="25" s="1"/>
  <c r="C15" i="18"/>
  <c r="E20" i="20"/>
  <c r="V22" i="20" s="1"/>
  <c r="K17" i="20"/>
  <c r="G11" i="25" s="1"/>
  <c r="C21" i="18"/>
  <c r="E21" i="18" s="1"/>
  <c r="J24" i="20"/>
  <c r="F18" i="25" s="1"/>
  <c r="C16" i="18"/>
  <c r="D16" i="20"/>
  <c r="K21" i="20"/>
  <c r="G15" i="25" s="1"/>
  <c r="C25" i="18"/>
  <c r="E25" i="18" s="1"/>
  <c r="J20" i="20"/>
  <c r="F14" i="25" s="1"/>
  <c r="C12" i="18"/>
  <c r="K19" i="20"/>
  <c r="G13" i="25" s="1"/>
  <c r="C23" i="18"/>
  <c r="E23" i="18" s="1"/>
  <c r="K15" i="20"/>
  <c r="G9" i="25" s="1"/>
  <c r="C19" i="18"/>
  <c r="E19" i="18" s="1"/>
  <c r="W9" i="17"/>
  <c r="W11" i="17" s="1"/>
  <c r="W13" i="17" s="1"/>
  <c r="U7" i="17" s="1"/>
  <c r="K18" i="20"/>
  <c r="G12" i="25" s="1"/>
  <c r="C22" i="18"/>
  <c r="E22" i="18" s="1"/>
  <c r="K16" i="20"/>
  <c r="G10" i="25" s="1"/>
  <c r="C20" i="18"/>
  <c r="E20" i="18" s="1"/>
  <c r="E24" i="20"/>
  <c r="I24" i="20" s="1"/>
  <c r="J22" i="20"/>
  <c r="F16" i="25" s="1"/>
  <c r="C14" i="18"/>
  <c r="E23" i="20"/>
  <c r="C13" i="20"/>
  <c r="D19" i="20"/>
  <c r="D17" i="20"/>
  <c r="I22" i="20" l="1"/>
  <c r="I20" i="20"/>
  <c r="I15" i="20"/>
  <c r="J15" i="20"/>
  <c r="F9" i="25" s="1"/>
  <c r="C26" i="18"/>
  <c r="E26" i="18" s="1"/>
  <c r="K22" i="20"/>
  <c r="G16" i="25" s="1"/>
  <c r="J16" i="20"/>
  <c r="F10" i="25" s="1"/>
  <c r="C8" i="18"/>
  <c r="I16" i="20"/>
  <c r="J17" i="20"/>
  <c r="F11" i="25" s="1"/>
  <c r="C9" i="18"/>
  <c r="I17" i="20"/>
  <c r="U6" i="17"/>
  <c r="E13" i="20" s="1"/>
  <c r="E14" i="18"/>
  <c r="I23" i="20"/>
  <c r="K23" i="20"/>
  <c r="G17" i="25" s="1"/>
  <c r="C27" i="18"/>
  <c r="E27" i="18" s="1"/>
  <c r="E12" i="18"/>
  <c r="J18" i="20"/>
  <c r="F12" i="25" s="1"/>
  <c r="C10" i="18"/>
  <c r="I18" i="20"/>
  <c r="T22" i="20"/>
  <c r="D14" i="20"/>
  <c r="E14" i="20"/>
  <c r="E16" i="18"/>
  <c r="E7" i="18"/>
  <c r="K20" i="20"/>
  <c r="G14" i="25" s="1"/>
  <c r="C24" i="18"/>
  <c r="E24" i="18" s="1"/>
  <c r="J21" i="20"/>
  <c r="F15" i="25" s="1"/>
  <c r="C13" i="18"/>
  <c r="I21" i="20"/>
  <c r="J19" i="20"/>
  <c r="F13" i="25" s="1"/>
  <c r="C11" i="18"/>
  <c r="I19" i="20"/>
  <c r="K24" i="20"/>
  <c r="G18" i="25" s="1"/>
  <c r="C28" i="18"/>
  <c r="E28" i="18" s="1"/>
  <c r="E15" i="18"/>
  <c r="E10" i="20"/>
  <c r="E8" i="19"/>
  <c r="D13" i="20" l="1"/>
  <c r="C5" i="18" s="1"/>
  <c r="K10" i="20"/>
  <c r="E13" i="18"/>
  <c r="E9" i="18"/>
  <c r="K14" i="20"/>
  <c r="G8" i="25" s="1"/>
  <c r="C18" i="18"/>
  <c r="E18" i="18" s="1"/>
  <c r="E10" i="18"/>
  <c r="E8" i="18"/>
  <c r="E11" i="18"/>
  <c r="J14" i="20"/>
  <c r="F8" i="25" s="1"/>
  <c r="C6" i="18"/>
  <c r="I14" i="20"/>
  <c r="K13" i="20"/>
  <c r="G7" i="25" s="1"/>
  <c r="C17" i="18"/>
  <c r="E17" i="18" s="1"/>
  <c r="U22" i="20"/>
  <c r="D10" i="20"/>
  <c r="D8" i="19"/>
  <c r="G8" i="19"/>
  <c r="J13" i="20" l="1"/>
  <c r="F7" i="25" s="1"/>
  <c r="I13" i="20"/>
  <c r="S22" i="20"/>
  <c r="K8" i="19"/>
  <c r="J10" i="20"/>
  <c r="C10" i="20"/>
  <c r="C33" i="18" s="1"/>
  <c r="E33" i="18" s="1"/>
  <c r="I10" i="20"/>
  <c r="G32" i="19" s="1"/>
  <c r="E32" i="19" s="1"/>
  <c r="C46" i="18"/>
  <c r="E46" i="18" s="1"/>
  <c r="E5" i="18"/>
  <c r="C40" i="18"/>
  <c r="C49" i="18"/>
  <c r="E49" i="18" s="1"/>
  <c r="C50" i="18"/>
  <c r="E50" i="18" s="1"/>
  <c r="C51" i="18"/>
  <c r="E51" i="18" s="1"/>
  <c r="C44" i="18"/>
  <c r="E44" i="18" s="1"/>
  <c r="C43" i="18"/>
  <c r="E43" i="18" s="1"/>
  <c r="C45" i="18"/>
  <c r="E45" i="18" s="1"/>
  <c r="C48" i="18"/>
  <c r="E48" i="18" s="1"/>
  <c r="C42" i="18"/>
  <c r="E42" i="18" s="1"/>
  <c r="E6" i="18"/>
  <c r="C41" i="18"/>
  <c r="E41" i="18" s="1"/>
  <c r="C47" i="18"/>
  <c r="E47" i="18" s="1"/>
  <c r="V7" i="25"/>
  <c r="D32" i="19" l="1"/>
  <c r="E40" i="18"/>
  <c r="C36" i="18"/>
  <c r="E36" i="18" l="1"/>
  <c r="E38" i="18" s="1"/>
  <c r="C38" i="18"/>
  <c r="C32" i="18"/>
  <c r="C34" i="18" l="1"/>
  <c r="E32" i="18"/>
  <c r="E34" i="18" s="1"/>
  <c r="I8" i="19" l="1"/>
  <c r="I32" i="19" s="1"/>
  <c r="I9" i="19" l="1"/>
  <c r="I10" i="19" l="1"/>
  <c r="I11" i="19" l="1"/>
  <c r="I12" i="19" l="1"/>
  <c r="I13" i="19" l="1"/>
  <c r="I14" i="19" l="1"/>
  <c r="I15" i="19" l="1"/>
  <c r="I16" i="19" l="1"/>
  <c r="I17" i="19" l="1"/>
</calcChain>
</file>

<file path=xl/sharedStrings.xml><?xml version="1.0" encoding="utf-8"?>
<sst xmlns="http://schemas.openxmlformats.org/spreadsheetml/2006/main" count="427" uniqueCount="108">
  <si>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</si>
  <si>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</si>
  <si>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</si>
  <si>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</si>
  <si>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</si>
  <si>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</si>
  <si>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</si>
  <si>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</si>
  <si>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</si>
  <si>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</si>
  <si>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</si>
  <si>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</si>
  <si>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</si>
  <si>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</si>
  <si>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</si>
  <si>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</si>
  <si>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</si>
  <si>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</si>
  <si>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</si>
  <si>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</si>
  <si>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</si>
  <si>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</si>
  <si>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</si>
  <si>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</si>
  <si>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</si>
  <si>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</si>
  <si>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</si>
  <si>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</si>
  <si>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</si>
  <si>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</si>
  <si>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</si>
  <si>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</si>
  <si>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</si>
  <si>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</si>
  <si>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</si>
  <si>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</si>
  <si>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</si>
  <si>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</si>
  <si>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</si>
  <si>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</si>
  <si>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</si>
  <si>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</si>
  <si>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</si>
  <si>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</si>
  <si>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</si>
  <si>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</si>
  <si>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</si>
  <si>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</si>
  <si>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</si>
  <si>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</si>
  <si>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</si>
  <si>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</si>
  <si>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Energy Payment ($/MWH)</t>
  </si>
  <si>
    <t>Illustrative Avoided Cost Prices</t>
  </si>
  <si>
    <t>Energy Payment Only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</si>
  <si>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</si>
  <si>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</si>
  <si>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</si>
  <si>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</si>
  <si>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</si>
  <si>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</si>
  <si>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</si>
  <si>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</si>
  <si>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</si>
  <si>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</si>
  <si>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</si>
  <si>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</si>
  <si>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</si>
  <si>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</si>
  <si>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</si>
  <si>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</si>
  <si>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</si>
  <si>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</si>
  <si>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</si>
  <si>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</si>
  <si>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</si>
  <si>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</si>
  <si>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</si>
  <si>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</si>
  <si>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</si>
  <si>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</si>
  <si>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</si>
  <si>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</si>
  <si>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</si>
  <si>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</si>
  <si>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</si>
  <si>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</si>
  <si>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</si>
  <si>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</si>
  <si>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</si>
  <si>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</si>
  <si>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</si>
  <si>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</si>
  <si>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</si>
  <si>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>&lt;--- Profile already includes degradation</t>
  </si>
  <si>
    <t>Output</t>
  </si>
  <si>
    <t>Curtailed %</t>
  </si>
  <si>
    <t>Illustrative Monthly HLH/LLH Avoided Cost Prices</t>
  </si>
  <si>
    <t>Yes</t>
  </si>
  <si>
    <t>15 Year Starting 2018</t>
  </si>
  <si>
    <t>15 Year Starting 2019</t>
  </si>
  <si>
    <t>20 Year Starting 2019</t>
  </si>
  <si>
    <t>Winter</t>
  </si>
  <si>
    <t>Summer</t>
  </si>
  <si>
    <t>15 year</t>
  </si>
  <si>
    <t>Sale</t>
  </si>
  <si>
    <t xml:space="preserve">1-Year Nominal Levelized Prices at 6.91% Discount Rate </t>
  </si>
  <si>
    <t>QF - 434 - UT -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</si>
</sst>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* #,##0.000_);_(* \(#,##0.000\);_(* &quot;-&quot;??_);_(@_)"/>
    <numFmt numFmtId="179" formatCode="0.000%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9" fontId="1" fillId="0" borderId="0" applyFont="0" applyFill="0" applyBorder="0" applyAlignment="0" applyProtection="0"/>
  </cellStyleXfs>
  <cellXfs count="229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18" fillId="0" borderId="3" xfId="9" applyNumberFormat="1" applyFont="1" applyFill="1" applyBorder="1" applyAlignment="1">
      <alignment horizontal="centerContinuous" vertical="center" wrapText="1"/>
    </xf>
    <xf numFmtId="168" fontId="18" fillId="0" borderId="5" xfId="9" applyFont="1" applyFill="1" applyBorder="1" applyAlignment="1">
      <alignment horizontal="centerContinuous" vertical="center" wrapText="1"/>
    </xf>
    <xf numFmtId="41" fontId="18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19" fillId="0" borderId="0" xfId="9" applyFont="1" applyFill="1" applyAlignment="1">
      <alignment horizontal="centerContinuous"/>
    </xf>
    <xf numFmtId="168" fontId="18" fillId="0" borderId="0" xfId="9" applyFont="1" applyFill="1" applyAlignment="1">
      <alignment horizontal="centerContinuous"/>
    </xf>
    <xf numFmtId="168" fontId="9" fillId="0" borderId="0" xfId="6" applyFont="1" applyFill="1"/>
    <xf numFmtId="168" fontId="19" fillId="0" borderId="0" xfId="9" applyFont="1" applyFill="1"/>
    <xf numFmtId="168" fontId="15" fillId="0" borderId="6" xfId="9" applyFont="1" applyFill="1" applyBorder="1"/>
    <xf numFmtId="168" fontId="18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18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18" fillId="0" borderId="0" xfId="9" applyNumberFormat="1" applyFont="1" applyFill="1" applyAlignment="1">
      <alignment horizontal="center"/>
    </xf>
    <xf numFmtId="7" fontId="19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0" fillId="0" borderId="0" xfId="9" applyFont="1" applyFill="1"/>
    <xf numFmtId="168" fontId="9" fillId="0" borderId="0" xfId="9" applyFont="1" applyFill="1" applyBorder="1"/>
    <xf numFmtId="168" fontId="21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79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78" fontId="12" fillId="0" borderId="3" xfId="1" applyNumberFormat="1" applyFont="1" applyFill="1" applyBorder="1"/>
    <xf numFmtId="178" fontId="12" fillId="0" borderId="4" xfId="1" applyNumberFormat="1" applyFont="1" applyFill="1" applyBorder="1"/>
    <xf numFmtId="178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7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center"/>
    </xf>
  </cellXfs>
  <cellStyles count="20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Password" xfId="15"/>
    <cellStyle name="Percent" xfId="5" builtinId="5"/>
    <cellStyle name="Percent 2" xfId="19"/>
    <cellStyle name="Unprot" xfId="16"/>
    <cellStyle name="Unprot$" xfId="17"/>
    <cellStyle name="Unprotect" xfId="18"/>
  </cellStyles>
  <dxfs count="11"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337_338%20-%20Kennecott%20-%20UT%20-%202018%20Sep\DR\338%20-%20Kennecott%20Refinery%20-%201---%20Avoided%20Cost%20Study%20_2018%2009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8\337_338%20-%20Kennecott%20-%20UT%20-%202018%20Sep\DR\338%20-%20Kennecott%20Refinery%20-%201a%20-%20GRID%20AC%20Study%20CONF%20_2018%200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Table 1"/>
      <sheetName val="Table 4"/>
      <sheetName val="Table 5"/>
      <sheetName val="Table 3 TransCost D2 "/>
      <sheetName val="Table 3 UT Wind 2030"/>
      <sheetName val="Table 3 DJ Wind 2030"/>
      <sheetName val="Table 3 ID Wind 2030"/>
      <sheetName val="Table 3 ID Wind 2033"/>
      <sheetName val="Table 3 UT Wind 2036"/>
      <sheetName val="Table 3 WW Wind 2035"/>
      <sheetName val="Table 3 YK Wind 2035"/>
      <sheetName val="Table 3 OR Wind 2035"/>
      <sheetName val="Table 3 YK Solar 2030"/>
      <sheetName val="Table 3 YK Solar 2032"/>
      <sheetName val="Table 3 YK Solar 2033"/>
      <sheetName val="Table 3 UT Solar 2033 ST"/>
      <sheetName val="Table 3 UT Solar 2035 ST"/>
      <sheetName val="Table 3 UT Solar 2035 FT"/>
      <sheetName val="Table 3 OR Solar 2030"/>
      <sheetName val="Table 3 OR Solar 2031"/>
      <sheetName val="Table 3 OR Solar 2032"/>
      <sheetName val="Table 3 OR Solar 2033"/>
      <sheetName val="Table 3 EV2020 Wind_2020"/>
      <sheetName val="Table 3 EV2020 Wind_2021"/>
      <sheetName val="338 - Kennecott Refinery - 1---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6">
          <cell r="M6">
            <v>1</v>
          </cell>
        </row>
        <row r="7">
          <cell r="M7">
            <v>1</v>
          </cell>
        </row>
        <row r="39">
          <cell r="I39" t="str">
            <v>Laren Hale</v>
          </cell>
        </row>
      </sheetData>
      <sheetData sheetId="1">
        <row r="5">
          <cell r="B5" t="str">
            <v>Kennecott Refinery Non Firm - 6.2 MW and 85.0% CF</v>
          </cell>
        </row>
        <row r="9">
          <cell r="G9">
            <v>0.84999999999999987</v>
          </cell>
        </row>
        <row r="13">
          <cell r="B13">
            <v>2019</v>
          </cell>
          <cell r="C13">
            <v>0</v>
          </cell>
          <cell r="G13">
            <v>17.408537147788831</v>
          </cell>
        </row>
        <row r="14">
          <cell r="B14">
            <v>2020</v>
          </cell>
          <cell r="C14">
            <v>0</v>
          </cell>
          <cell r="G14" t="e">
            <v>#DIV/0!</v>
          </cell>
        </row>
        <row r="15">
          <cell r="B15">
            <v>2021</v>
          </cell>
          <cell r="C15">
            <v>0</v>
          </cell>
          <cell r="G15" t="e">
            <v>#DIV/0!</v>
          </cell>
        </row>
        <row r="16">
          <cell r="B16">
            <v>2022</v>
          </cell>
          <cell r="C16">
            <v>0</v>
          </cell>
          <cell r="G16" t="e">
            <v>#DIV/0!</v>
          </cell>
        </row>
        <row r="17">
          <cell r="B17">
            <v>2023</v>
          </cell>
          <cell r="C17">
            <v>0</v>
          </cell>
          <cell r="G17" t="e">
            <v>#DIV/0!</v>
          </cell>
        </row>
        <row r="18">
          <cell r="B18">
            <v>2024</v>
          </cell>
          <cell r="C18">
            <v>0</v>
          </cell>
          <cell r="G18" t="e">
            <v>#DIV/0!</v>
          </cell>
        </row>
        <row r="19">
          <cell r="B19">
            <v>2025</v>
          </cell>
          <cell r="C19">
            <v>0</v>
          </cell>
          <cell r="G19" t="e">
            <v>#DIV/0!</v>
          </cell>
        </row>
        <row r="20">
          <cell r="B20">
            <v>2026</v>
          </cell>
          <cell r="C20">
            <v>0</v>
          </cell>
          <cell r="G20" t="e">
            <v>#DIV/0!</v>
          </cell>
        </row>
        <row r="21">
          <cell r="B21">
            <v>2027</v>
          </cell>
          <cell r="C21">
            <v>0</v>
          </cell>
          <cell r="G21" t="e">
            <v>#DIV/0!</v>
          </cell>
        </row>
        <row r="22">
          <cell r="B22">
            <v>2028</v>
          </cell>
          <cell r="C22">
            <v>0</v>
          </cell>
          <cell r="G22" t="e">
            <v>#DIV/0!</v>
          </cell>
        </row>
        <row r="23">
          <cell r="B23">
            <v>2029</v>
          </cell>
          <cell r="C23">
            <v>0</v>
          </cell>
          <cell r="G23" t="e">
            <v>#DIV/0!</v>
          </cell>
        </row>
        <row r="24">
          <cell r="B24">
            <v>2030</v>
          </cell>
          <cell r="C24">
            <v>0</v>
          </cell>
          <cell r="G24" t="e">
            <v>#DIV/0!</v>
          </cell>
        </row>
        <row r="25">
          <cell r="B25">
            <v>2031</v>
          </cell>
          <cell r="C25">
            <v>0</v>
          </cell>
          <cell r="G25" t="e">
            <v>#DIV/0!</v>
          </cell>
        </row>
        <row r="26">
          <cell r="B26">
            <v>2032</v>
          </cell>
          <cell r="C26">
            <v>0</v>
          </cell>
          <cell r="G26" t="e">
            <v>#DIV/0!</v>
          </cell>
        </row>
        <row r="27">
          <cell r="B27">
            <v>2033</v>
          </cell>
          <cell r="C27">
            <v>0</v>
          </cell>
          <cell r="G27" t="e">
            <v>#DIV/0!</v>
          </cell>
        </row>
        <row r="28">
          <cell r="B28">
            <v>2034</v>
          </cell>
          <cell r="C28">
            <v>0</v>
          </cell>
          <cell r="G28" t="e">
            <v>#DIV/0!</v>
          </cell>
        </row>
        <row r="29">
          <cell r="B29">
            <v>2035</v>
          </cell>
          <cell r="C29">
            <v>0</v>
          </cell>
          <cell r="G29" t="e">
            <v>#DIV/0!</v>
          </cell>
        </row>
        <row r="30">
          <cell r="B30">
            <v>2036</v>
          </cell>
          <cell r="C30">
            <v>0</v>
          </cell>
          <cell r="G30" t="e">
            <v>#DIV/0!</v>
          </cell>
        </row>
        <row r="31">
          <cell r="B31">
            <v>2037</v>
          </cell>
          <cell r="C31">
            <v>0</v>
          </cell>
          <cell r="G31" t="e">
            <v>#DIV/0!</v>
          </cell>
        </row>
        <row r="32">
          <cell r="B32">
            <v>2038</v>
          </cell>
          <cell r="C32">
            <v>0</v>
          </cell>
          <cell r="G32" t="e">
            <v>#DIV/0!</v>
          </cell>
        </row>
        <row r="33">
          <cell r="G33" t="e">
            <v>#DIV/0!</v>
          </cell>
        </row>
        <row r="39">
          <cell r="I39">
            <v>6.9099999999999995E-2</v>
          </cell>
        </row>
      </sheetData>
      <sheetData sheetId="2">
        <row r="39">
          <cell r="I39">
            <v>2.7910689165539582</v>
          </cell>
        </row>
      </sheetData>
      <sheetData sheetId="3">
        <row r="4">
          <cell r="M4" t="str">
            <v>Kennecott Refinery Non Firm</v>
          </cell>
        </row>
        <row r="6">
          <cell r="M6">
            <v>6.2</v>
          </cell>
        </row>
        <row r="7">
          <cell r="M7">
            <v>0.84999999999999987</v>
          </cell>
        </row>
        <row r="9">
          <cell r="E9">
            <v>775519.3291829474</v>
          </cell>
          <cell r="F9">
            <v>44525.98697098031</v>
          </cell>
        </row>
        <row r="13">
          <cell r="B13">
            <v>43466</v>
          </cell>
          <cell r="E13">
            <v>75655.521877661347</v>
          </cell>
          <cell r="F13">
            <v>3920.88</v>
          </cell>
        </row>
        <row r="14">
          <cell r="E14">
            <v>65941.218911111355</v>
          </cell>
          <cell r="F14">
            <v>3541.44</v>
          </cell>
        </row>
        <row r="15">
          <cell r="E15">
            <v>63320.040522038937</v>
          </cell>
          <cell r="F15">
            <v>3920.88</v>
          </cell>
        </row>
        <row r="16">
          <cell r="E16">
            <v>51776.3138974756</v>
          </cell>
          <cell r="F16">
            <v>3794.4</v>
          </cell>
          <cell r="L16">
            <v>2019</v>
          </cell>
          <cell r="M16">
            <v>803668.59913510084</v>
          </cell>
          <cell r="N16">
            <v>0</v>
          </cell>
        </row>
        <row r="17">
          <cell r="E17">
            <v>55160.775804638863</v>
          </cell>
          <cell r="F17">
            <v>3920.88</v>
          </cell>
          <cell r="L17">
            <v>2020</v>
          </cell>
          <cell r="M17">
            <v>0</v>
          </cell>
          <cell r="N17">
            <v>0</v>
          </cell>
        </row>
        <row r="18">
          <cell r="E18">
            <v>56183.465162247419</v>
          </cell>
          <cell r="F18">
            <v>3794.4</v>
          </cell>
          <cell r="L18">
            <v>2021</v>
          </cell>
          <cell r="M18">
            <v>0</v>
          </cell>
          <cell r="N18">
            <v>0</v>
          </cell>
        </row>
        <row r="19">
          <cell r="E19">
            <v>91333.981063604355</v>
          </cell>
          <cell r="F19">
            <v>3920.88</v>
          </cell>
          <cell r="L19">
            <v>2022</v>
          </cell>
          <cell r="M19">
            <v>0</v>
          </cell>
          <cell r="N19">
            <v>0</v>
          </cell>
        </row>
        <row r="20">
          <cell r="E20">
            <v>100709.87890937924</v>
          </cell>
          <cell r="F20">
            <v>3920.88</v>
          </cell>
          <cell r="L20">
            <v>2023</v>
          </cell>
          <cell r="M20">
            <v>0</v>
          </cell>
          <cell r="N20">
            <v>0</v>
          </cell>
        </row>
        <row r="21">
          <cell r="E21">
            <v>76448.585611909628</v>
          </cell>
          <cell r="F21">
            <v>3794.4</v>
          </cell>
          <cell r="L21">
            <v>2024</v>
          </cell>
          <cell r="M21">
            <v>0</v>
          </cell>
          <cell r="N21">
            <v>0</v>
          </cell>
        </row>
        <row r="22">
          <cell r="E22">
            <v>63394.11498439312</v>
          </cell>
          <cell r="F22">
            <v>3920.88</v>
          </cell>
          <cell r="L22">
            <v>2025</v>
          </cell>
          <cell r="M22">
            <v>0</v>
          </cell>
          <cell r="N22">
            <v>0</v>
          </cell>
        </row>
        <row r="23">
          <cell r="E23">
            <v>58488.135047376156</v>
          </cell>
          <cell r="F23">
            <v>3794.4</v>
          </cell>
          <cell r="L23">
            <v>2026</v>
          </cell>
          <cell r="M23">
            <v>0</v>
          </cell>
          <cell r="N23">
            <v>0</v>
          </cell>
        </row>
        <row r="24">
          <cell r="E24">
            <v>45256.567343264818</v>
          </cell>
          <cell r="F24">
            <v>3920.88</v>
          </cell>
          <cell r="L24">
            <v>2027</v>
          </cell>
          <cell r="M24">
            <v>0</v>
          </cell>
          <cell r="N24">
            <v>0</v>
          </cell>
        </row>
        <row r="25">
          <cell r="E25">
            <v>0</v>
          </cell>
          <cell r="F25">
            <v>0</v>
          </cell>
          <cell r="L25">
            <v>2028</v>
          </cell>
          <cell r="M25">
            <v>0</v>
          </cell>
          <cell r="N25">
            <v>0</v>
          </cell>
        </row>
        <row r="26">
          <cell r="E26">
            <v>0</v>
          </cell>
          <cell r="F26">
            <v>0</v>
          </cell>
          <cell r="L26">
            <v>2029</v>
          </cell>
          <cell r="M26">
            <v>0</v>
          </cell>
          <cell r="N26">
            <v>0</v>
          </cell>
        </row>
        <row r="27">
          <cell r="E27">
            <v>0</v>
          </cell>
          <cell r="F27">
            <v>0</v>
          </cell>
          <cell r="L27">
            <v>2030</v>
          </cell>
          <cell r="M27">
            <v>0</v>
          </cell>
          <cell r="N27">
            <v>0</v>
          </cell>
        </row>
        <row r="28">
          <cell r="E28">
            <v>0</v>
          </cell>
          <cell r="F28">
            <v>0</v>
          </cell>
          <cell r="L28">
            <v>2031</v>
          </cell>
          <cell r="M28">
            <v>0</v>
          </cell>
          <cell r="N28">
            <v>0</v>
          </cell>
        </row>
        <row r="29">
          <cell r="E29">
            <v>0</v>
          </cell>
          <cell r="F29">
            <v>0</v>
          </cell>
          <cell r="L29">
            <v>2032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L30">
            <v>2033</v>
          </cell>
          <cell r="M30">
            <v>0</v>
          </cell>
          <cell r="N30">
            <v>0</v>
          </cell>
        </row>
        <row r="31">
          <cell r="E31">
            <v>0</v>
          </cell>
          <cell r="F31">
            <v>0</v>
          </cell>
          <cell r="L31">
            <v>2034</v>
          </cell>
          <cell r="M31">
            <v>0</v>
          </cell>
          <cell r="N31">
            <v>0</v>
          </cell>
        </row>
        <row r="32">
          <cell r="E32">
            <v>0</v>
          </cell>
          <cell r="F32">
            <v>0</v>
          </cell>
          <cell r="L32">
            <v>2035</v>
          </cell>
          <cell r="M32">
            <v>0</v>
          </cell>
          <cell r="N32">
            <v>0</v>
          </cell>
        </row>
        <row r="33">
          <cell r="E33">
            <v>0</v>
          </cell>
          <cell r="F33">
            <v>0</v>
          </cell>
          <cell r="L33">
            <v>2036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L34">
            <v>2037</v>
          </cell>
          <cell r="M34">
            <v>0</v>
          </cell>
          <cell r="N34">
            <v>0</v>
          </cell>
        </row>
        <row r="35">
          <cell r="E35">
            <v>0</v>
          </cell>
          <cell r="F35">
            <v>0</v>
          </cell>
          <cell r="L35">
            <v>2038</v>
          </cell>
          <cell r="M35">
            <v>0</v>
          </cell>
          <cell r="N35">
            <v>0</v>
          </cell>
        </row>
        <row r="36">
          <cell r="E36">
            <v>0</v>
          </cell>
          <cell r="F36">
            <v>0</v>
          </cell>
          <cell r="L36">
            <v>2039</v>
          </cell>
          <cell r="M36">
            <v>0</v>
          </cell>
          <cell r="N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  <cell r="I39">
            <v>29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8">
          <cell r="E48">
            <v>0</v>
          </cell>
          <cell r="F48">
            <v>0</v>
          </cell>
        </row>
        <row r="49">
          <cell r="E49">
            <v>0</v>
          </cell>
          <cell r="F49">
            <v>0</v>
          </cell>
        </row>
        <row r="50">
          <cell r="E50">
            <v>0</v>
          </cell>
          <cell r="F50">
            <v>0</v>
          </cell>
        </row>
        <row r="51">
          <cell r="E51">
            <v>0</v>
          </cell>
          <cell r="F51">
            <v>0</v>
          </cell>
        </row>
        <row r="52">
          <cell r="E52">
            <v>0</v>
          </cell>
          <cell r="F52">
            <v>0</v>
          </cell>
        </row>
        <row r="53">
          <cell r="E53">
            <v>0</v>
          </cell>
          <cell r="F53">
            <v>0</v>
          </cell>
        </row>
        <row r="54">
          <cell r="E54">
            <v>0</v>
          </cell>
          <cell r="F54">
            <v>0</v>
          </cell>
        </row>
        <row r="55">
          <cell r="E55">
            <v>0</v>
          </cell>
          <cell r="F55">
            <v>0</v>
          </cell>
        </row>
        <row r="56">
          <cell r="E56">
            <v>0</v>
          </cell>
          <cell r="F56">
            <v>0</v>
          </cell>
        </row>
        <row r="57">
          <cell r="E57">
            <v>0</v>
          </cell>
          <cell r="F57">
            <v>0</v>
          </cell>
        </row>
        <row r="58">
          <cell r="E58">
            <v>0</v>
          </cell>
          <cell r="F58">
            <v>0</v>
          </cell>
        </row>
        <row r="59">
          <cell r="E59">
            <v>0</v>
          </cell>
          <cell r="F59">
            <v>0</v>
          </cell>
        </row>
        <row r="60">
          <cell r="E60">
            <v>0</v>
          </cell>
          <cell r="F60">
            <v>0</v>
          </cell>
        </row>
        <row r="61">
          <cell r="E61">
            <v>0</v>
          </cell>
          <cell r="F61">
            <v>0</v>
          </cell>
        </row>
        <row r="62">
          <cell r="E62">
            <v>0</v>
          </cell>
          <cell r="F62">
            <v>0</v>
          </cell>
        </row>
        <row r="63">
          <cell r="E63">
            <v>0</v>
          </cell>
          <cell r="F63">
            <v>0</v>
          </cell>
        </row>
        <row r="64">
          <cell r="E64">
            <v>0</v>
          </cell>
          <cell r="F64">
            <v>0</v>
          </cell>
        </row>
        <row r="65">
          <cell r="E65">
            <v>0</v>
          </cell>
          <cell r="F65">
            <v>0</v>
          </cell>
        </row>
        <row r="66">
          <cell r="E66">
            <v>0</v>
          </cell>
          <cell r="F66">
            <v>0</v>
          </cell>
        </row>
        <row r="67">
          <cell r="E67">
            <v>0</v>
          </cell>
          <cell r="F67">
            <v>0</v>
          </cell>
        </row>
        <row r="68">
          <cell r="E68">
            <v>0</v>
          </cell>
          <cell r="F68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1">
          <cell r="E71">
            <v>0</v>
          </cell>
          <cell r="F71">
            <v>0</v>
          </cell>
        </row>
        <row r="72">
          <cell r="E72">
            <v>0</v>
          </cell>
          <cell r="F72">
            <v>0</v>
          </cell>
        </row>
        <row r="73">
          <cell r="E73">
            <v>0</v>
          </cell>
          <cell r="F73">
            <v>0</v>
          </cell>
        </row>
        <row r="74">
          <cell r="E74">
            <v>0</v>
          </cell>
          <cell r="F74">
            <v>0</v>
          </cell>
        </row>
        <row r="75">
          <cell r="E75">
            <v>0</v>
          </cell>
          <cell r="F75">
            <v>0</v>
          </cell>
        </row>
        <row r="76">
          <cell r="E76">
            <v>0</v>
          </cell>
          <cell r="F76">
            <v>0</v>
          </cell>
        </row>
        <row r="77">
          <cell r="E77">
            <v>0</v>
          </cell>
          <cell r="F77">
            <v>0</v>
          </cell>
        </row>
        <row r="78">
          <cell r="E78">
            <v>0</v>
          </cell>
          <cell r="F78">
            <v>0</v>
          </cell>
        </row>
        <row r="79">
          <cell r="E79">
            <v>0</v>
          </cell>
          <cell r="F79">
            <v>0</v>
          </cell>
        </row>
        <row r="80">
          <cell r="E80">
            <v>0</v>
          </cell>
          <cell r="F80">
            <v>0</v>
          </cell>
        </row>
        <row r="81">
          <cell r="E81">
            <v>0</v>
          </cell>
          <cell r="F81">
            <v>0</v>
          </cell>
        </row>
        <row r="82">
          <cell r="E82">
            <v>0</v>
          </cell>
          <cell r="F82">
            <v>0</v>
          </cell>
        </row>
        <row r="83">
          <cell r="E83">
            <v>0</v>
          </cell>
          <cell r="F83">
            <v>0</v>
          </cell>
        </row>
        <row r="84">
          <cell r="E84">
            <v>0</v>
          </cell>
          <cell r="F84">
            <v>0</v>
          </cell>
        </row>
        <row r="85">
          <cell r="E85">
            <v>0</v>
          </cell>
          <cell r="F85">
            <v>0</v>
          </cell>
        </row>
        <row r="86">
          <cell r="E86">
            <v>0</v>
          </cell>
          <cell r="F86">
            <v>0</v>
          </cell>
        </row>
        <row r="87">
          <cell r="E87">
            <v>0</v>
          </cell>
          <cell r="F87">
            <v>0</v>
          </cell>
        </row>
        <row r="88">
          <cell r="E88">
            <v>0</v>
          </cell>
          <cell r="F88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2">
          <cell r="E92">
            <v>0</v>
          </cell>
          <cell r="F92">
            <v>0</v>
          </cell>
        </row>
        <row r="93">
          <cell r="E93">
            <v>0</v>
          </cell>
          <cell r="F93">
            <v>0</v>
          </cell>
        </row>
        <row r="94">
          <cell r="E94">
            <v>0</v>
          </cell>
          <cell r="F94">
            <v>0</v>
          </cell>
        </row>
        <row r="95">
          <cell r="E95">
            <v>0</v>
          </cell>
          <cell r="F95">
            <v>0</v>
          </cell>
        </row>
        <row r="96">
          <cell r="E96">
            <v>0</v>
          </cell>
          <cell r="F96">
            <v>0</v>
          </cell>
        </row>
        <row r="97">
          <cell r="E97">
            <v>0</v>
          </cell>
          <cell r="F97">
            <v>0</v>
          </cell>
        </row>
        <row r="98">
          <cell r="E98">
            <v>0</v>
          </cell>
          <cell r="F98">
            <v>0</v>
          </cell>
        </row>
        <row r="99">
          <cell r="E99">
            <v>0</v>
          </cell>
          <cell r="F99">
            <v>0</v>
          </cell>
        </row>
        <row r="100">
          <cell r="E100">
            <v>0</v>
          </cell>
          <cell r="F100">
            <v>0</v>
          </cell>
        </row>
        <row r="101">
          <cell r="E101">
            <v>0</v>
          </cell>
          <cell r="F101">
            <v>0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0</v>
          </cell>
        </row>
        <row r="104">
          <cell r="E104">
            <v>0</v>
          </cell>
          <cell r="F104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08">
          <cell r="E108">
            <v>0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0</v>
          </cell>
          <cell r="F111">
            <v>0</v>
          </cell>
        </row>
        <row r="112">
          <cell r="E112">
            <v>0</v>
          </cell>
          <cell r="F112">
            <v>0</v>
          </cell>
        </row>
        <row r="113">
          <cell r="E113">
            <v>0</v>
          </cell>
          <cell r="F113">
            <v>0</v>
          </cell>
        </row>
        <row r="114">
          <cell r="E114">
            <v>0</v>
          </cell>
          <cell r="F114">
            <v>0</v>
          </cell>
        </row>
        <row r="115">
          <cell r="E115">
            <v>0</v>
          </cell>
          <cell r="F115">
            <v>0</v>
          </cell>
        </row>
        <row r="116">
          <cell r="E116">
            <v>0</v>
          </cell>
          <cell r="F116">
            <v>0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</v>
          </cell>
        </row>
        <row r="121">
          <cell r="E121">
            <v>0</v>
          </cell>
          <cell r="F121">
            <v>0</v>
          </cell>
        </row>
        <row r="122">
          <cell r="E122">
            <v>0</v>
          </cell>
          <cell r="F122">
            <v>0</v>
          </cell>
        </row>
        <row r="123">
          <cell r="E123">
            <v>0</v>
          </cell>
          <cell r="F123">
            <v>0</v>
          </cell>
        </row>
        <row r="124">
          <cell r="E124">
            <v>0</v>
          </cell>
          <cell r="F124">
            <v>0</v>
          </cell>
        </row>
        <row r="125">
          <cell r="E125">
            <v>0</v>
          </cell>
          <cell r="F125">
            <v>0</v>
          </cell>
        </row>
        <row r="126">
          <cell r="E126">
            <v>0</v>
          </cell>
          <cell r="F126">
            <v>0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29">
          <cell r="E129">
            <v>0</v>
          </cell>
          <cell r="F129">
            <v>0</v>
          </cell>
        </row>
        <row r="130">
          <cell r="E130">
            <v>0</v>
          </cell>
          <cell r="F130">
            <v>0</v>
          </cell>
        </row>
        <row r="131">
          <cell r="E131">
            <v>0</v>
          </cell>
          <cell r="F131">
            <v>0</v>
          </cell>
        </row>
        <row r="132">
          <cell r="E132">
            <v>0</v>
          </cell>
          <cell r="F13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E3">
            <v>2019</v>
          </cell>
          <cell r="F3">
            <v>43466</v>
          </cell>
          <cell r="G3">
            <v>43497</v>
          </cell>
          <cell r="H3">
            <v>43525</v>
          </cell>
          <cell r="I3">
            <v>43556</v>
          </cell>
          <cell r="J3">
            <v>43586</v>
          </cell>
          <cell r="K3">
            <v>43617</v>
          </cell>
          <cell r="L3">
            <v>43647</v>
          </cell>
          <cell r="M3">
            <v>43678</v>
          </cell>
          <cell r="N3">
            <v>43709</v>
          </cell>
          <cell r="O3">
            <v>43739</v>
          </cell>
          <cell r="P3">
            <v>43770</v>
          </cell>
          <cell r="Q3">
            <v>43800</v>
          </cell>
          <cell r="R3">
            <v>2020</v>
          </cell>
          <cell r="S3">
            <v>43831</v>
          </cell>
          <cell r="T3">
            <v>43862</v>
          </cell>
          <cell r="U3">
            <v>43891</v>
          </cell>
          <cell r="V3">
            <v>43922</v>
          </cell>
          <cell r="W3">
            <v>43952</v>
          </cell>
          <cell r="X3">
            <v>43983</v>
          </cell>
          <cell r="Y3">
            <v>44013</v>
          </cell>
          <cell r="Z3">
            <v>44044</v>
          </cell>
          <cell r="AA3">
            <v>44075</v>
          </cell>
          <cell r="AB3">
            <v>44105</v>
          </cell>
          <cell r="AC3">
            <v>44136</v>
          </cell>
          <cell r="AD3">
            <v>44166</v>
          </cell>
          <cell r="AE3">
            <v>2021</v>
          </cell>
          <cell r="AF3">
            <v>44197</v>
          </cell>
          <cell r="AG3">
            <v>44228</v>
          </cell>
          <cell r="AH3">
            <v>44256</v>
          </cell>
          <cell r="AI3">
            <v>44287</v>
          </cell>
          <cell r="AJ3">
            <v>44317</v>
          </cell>
          <cell r="AK3">
            <v>44348</v>
          </cell>
          <cell r="AL3">
            <v>44378</v>
          </cell>
          <cell r="AM3">
            <v>44409</v>
          </cell>
          <cell r="AN3">
            <v>44440</v>
          </cell>
          <cell r="AO3">
            <v>44470</v>
          </cell>
          <cell r="AP3">
            <v>44501</v>
          </cell>
          <cell r="AQ3">
            <v>44531</v>
          </cell>
          <cell r="AR3">
            <v>2022</v>
          </cell>
          <cell r="AS3">
            <v>44562</v>
          </cell>
          <cell r="AT3">
            <v>44593</v>
          </cell>
          <cell r="AU3">
            <v>44621</v>
          </cell>
          <cell r="AV3">
            <v>44652</v>
          </cell>
          <cell r="AW3">
            <v>44682</v>
          </cell>
          <cell r="AX3">
            <v>44713</v>
          </cell>
          <cell r="AY3">
            <v>44743</v>
          </cell>
          <cell r="AZ3">
            <v>44774</v>
          </cell>
          <cell r="BA3">
            <v>44805</v>
          </cell>
          <cell r="BB3">
            <v>44835</v>
          </cell>
          <cell r="BC3">
            <v>44866</v>
          </cell>
          <cell r="BD3">
            <v>44896</v>
          </cell>
          <cell r="BE3">
            <v>2023</v>
          </cell>
          <cell r="BF3">
            <v>44927</v>
          </cell>
          <cell r="BG3">
            <v>44958</v>
          </cell>
          <cell r="BH3">
            <v>44986</v>
          </cell>
          <cell r="BI3">
            <v>45017</v>
          </cell>
          <cell r="BJ3">
            <v>45047</v>
          </cell>
          <cell r="BK3">
            <v>45078</v>
          </cell>
          <cell r="BL3">
            <v>45108</v>
          </cell>
          <cell r="BM3">
            <v>45139</v>
          </cell>
          <cell r="BN3">
            <v>45170</v>
          </cell>
          <cell r="BO3">
            <v>45200</v>
          </cell>
          <cell r="BP3">
            <v>45231</v>
          </cell>
          <cell r="BQ3">
            <v>45261</v>
          </cell>
          <cell r="BR3">
            <v>2024</v>
          </cell>
          <cell r="BS3">
            <v>45292</v>
          </cell>
          <cell r="BT3">
            <v>45323</v>
          </cell>
          <cell r="BU3">
            <v>45352</v>
          </cell>
          <cell r="BV3">
            <v>45383</v>
          </cell>
          <cell r="BW3">
            <v>45413</v>
          </cell>
          <cell r="BX3">
            <v>45444</v>
          </cell>
          <cell r="BY3">
            <v>45474</v>
          </cell>
          <cell r="BZ3">
            <v>45505</v>
          </cell>
          <cell r="CA3">
            <v>45536</v>
          </cell>
          <cell r="CB3">
            <v>45566</v>
          </cell>
          <cell r="CC3">
            <v>45597</v>
          </cell>
          <cell r="CD3">
            <v>45627</v>
          </cell>
          <cell r="CE3">
            <v>2025</v>
          </cell>
          <cell r="CF3">
            <v>45658</v>
          </cell>
          <cell r="CG3">
            <v>45689</v>
          </cell>
          <cell r="CH3">
            <v>45717</v>
          </cell>
          <cell r="CI3">
            <v>45748</v>
          </cell>
          <cell r="CJ3">
            <v>45778</v>
          </cell>
          <cell r="CK3">
            <v>45809</v>
          </cell>
          <cell r="CL3">
            <v>45839</v>
          </cell>
          <cell r="CM3">
            <v>45870</v>
          </cell>
          <cell r="CN3">
            <v>45901</v>
          </cell>
          <cell r="CO3">
            <v>45931</v>
          </cell>
          <cell r="CP3">
            <v>45962</v>
          </cell>
          <cell r="CQ3">
            <v>45992</v>
          </cell>
          <cell r="CR3">
            <v>2026</v>
          </cell>
          <cell r="CS3">
            <v>46023</v>
          </cell>
          <cell r="CT3">
            <v>46054</v>
          </cell>
          <cell r="CU3">
            <v>46082</v>
          </cell>
          <cell r="CV3">
            <v>46113</v>
          </cell>
          <cell r="CW3">
            <v>46143</v>
          </cell>
          <cell r="CX3">
            <v>46174</v>
          </cell>
          <cell r="CY3">
            <v>46204</v>
          </cell>
          <cell r="CZ3">
            <v>46235</v>
          </cell>
          <cell r="DA3">
            <v>46266</v>
          </cell>
          <cell r="DB3">
            <v>46296</v>
          </cell>
          <cell r="DC3">
            <v>46327</v>
          </cell>
          <cell r="DD3">
            <v>46357</v>
          </cell>
          <cell r="DE3">
            <v>2027</v>
          </cell>
          <cell r="DF3">
            <v>46388</v>
          </cell>
          <cell r="DG3">
            <v>46419</v>
          </cell>
          <cell r="DH3">
            <v>46447</v>
          </cell>
          <cell r="DI3">
            <v>46478</v>
          </cell>
          <cell r="DJ3">
            <v>46508</v>
          </cell>
          <cell r="DK3">
            <v>46539</v>
          </cell>
          <cell r="DL3">
            <v>46569</v>
          </cell>
          <cell r="DM3">
            <v>46600</v>
          </cell>
          <cell r="DN3">
            <v>46631</v>
          </cell>
          <cell r="DO3">
            <v>46661</v>
          </cell>
          <cell r="DP3">
            <v>46692</v>
          </cell>
          <cell r="DQ3">
            <v>46722</v>
          </cell>
          <cell r="DR3">
            <v>2028</v>
          </cell>
          <cell r="DS3">
            <v>46753</v>
          </cell>
          <cell r="DT3">
            <v>46784</v>
          </cell>
          <cell r="DU3">
            <v>46813</v>
          </cell>
          <cell r="DV3">
            <v>46844</v>
          </cell>
          <cell r="DW3">
            <v>46874</v>
          </cell>
          <cell r="DX3">
            <v>46905</v>
          </cell>
          <cell r="DY3">
            <v>46935</v>
          </cell>
          <cell r="DZ3">
            <v>46966</v>
          </cell>
          <cell r="EA3">
            <v>46997</v>
          </cell>
          <cell r="EB3">
            <v>47027</v>
          </cell>
          <cell r="EC3">
            <v>47058</v>
          </cell>
          <cell r="ED3">
            <v>47088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0</v>
          </cell>
          <cell r="CS350">
            <v>0</v>
          </cell>
          <cell r="CT350">
            <v>0</v>
          </cell>
          <cell r="CU350">
            <v>0</v>
          </cell>
          <cell r="CV350">
            <v>0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0</v>
          </cell>
          <cell r="DF350">
            <v>0</v>
          </cell>
          <cell r="DG350">
            <v>0</v>
          </cell>
          <cell r="DH350">
            <v>0</v>
          </cell>
          <cell r="DI350">
            <v>0</v>
          </cell>
          <cell r="DJ350">
            <v>0</v>
          </cell>
          <cell r="DK350">
            <v>0</v>
          </cell>
          <cell r="DL350">
            <v>0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zoomScale="70" zoomScaleNormal="70" workbookViewId="0">
      <pane xSplit="2" ySplit="3" topLeftCell="C4" activePane="bottomRight" state="frozen"/>
      <selection activeCell="D37" sqref="D37"/>
      <selection pane="topRight" activeCell="D37" sqref="D37"/>
      <selection pane="bottomLeft" activeCell="D37" sqref="D37"/>
      <selection pane="bottomRight" activeCell="E52" sqref="E52"/>
    </sheetView>
  </sheetViews>
  <sheetFormatPr defaultColWidth="9.140625" defaultRowHeight="15" x14ac:dyDescent="0.25"/>
  <cols>
    <col min="1" max="1" width="8.42578125" style="200" customWidth="1"/>
    <col min="2" max="2" width="10.85546875" style="200" customWidth="1"/>
    <col min="3" max="3" width="1.42578125" style="200" customWidth="1"/>
    <col min="4" max="5" width="17.28515625" style="200" customWidth="1"/>
    <col min="6" max="6" width="1.5703125" style="200" customWidth="1"/>
    <col min="7" max="7" width="17.42578125" style="200" customWidth="1"/>
    <col min="8" max="8" width="0.7109375" style="114" customWidth="1"/>
    <col min="9" max="9" width="13" style="114" hidden="1" customWidth="1"/>
    <col min="10" max="10" width="9.140625" style="198" customWidth="1"/>
    <col min="11" max="11" width="14.5703125" style="198" customWidth="1"/>
    <col min="12" max="12" width="12.7109375" style="198" customWidth="1"/>
    <col min="13" max="13" width="10.5703125" style="198" bestFit="1" customWidth="1"/>
    <col min="14" max="14" width="9.140625" style="198"/>
    <col min="15" max="15" width="31" style="198" customWidth="1"/>
    <col min="16" max="16384" width="9.140625" style="198"/>
  </cols>
  <sheetData>
    <row r="1" spans="2:14" x14ac:dyDescent="0.25">
      <c r="B1" s="201" t="str">
        <f>'[1]Table 5'!$M$4</f>
        <v>Kennecott Refinery Non Firm</v>
      </c>
      <c r="C1" s="201"/>
      <c r="D1" s="201"/>
      <c r="E1" s="201"/>
      <c r="F1" s="201"/>
      <c r="G1" s="201"/>
      <c r="H1" s="116"/>
      <c r="I1" s="115"/>
      <c r="K1" s="198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198" t="s">
        <v>7</v>
      </c>
      <c r="N1" s="134">
        <f>SourceEnergy!N6</f>
        <v>13</v>
      </c>
    </row>
    <row r="2" spans="2:14" x14ac:dyDescent="0.25">
      <c r="B2" s="201" t="str">
        <f>TEXT([1]!Study_MW,"#.0")&amp;" MW and "&amp;TEXT([1]!Study_CF,"#.0%")&amp;" CF"</f>
        <v>6.2 MW and 85.0% CF</v>
      </c>
      <c r="C2" s="201"/>
      <c r="D2" s="201"/>
      <c r="E2" s="201"/>
      <c r="F2" s="201"/>
      <c r="G2" s="201"/>
      <c r="H2" s="116"/>
      <c r="I2" s="115"/>
      <c r="K2" s="198" t="str">
        <f>IF(Shape_Annually="Yes","HLH/LLH Shaped Annually","HLH/LLH Shaped Monthly")</f>
        <v>HLH/LLH Shaped Annually</v>
      </c>
      <c r="M2" s="198" t="s">
        <v>8</v>
      </c>
      <c r="N2" s="158">
        <f>SourceEnergy!N10</f>
        <v>24</v>
      </c>
    </row>
    <row r="3" spans="2:14" x14ac:dyDescent="0.25">
      <c r="B3" s="201" t="s">
        <v>53</v>
      </c>
      <c r="C3" s="201"/>
      <c r="D3" s="201"/>
      <c r="E3" s="201"/>
      <c r="F3" s="201"/>
      <c r="G3" s="201"/>
      <c r="H3" s="116"/>
      <c r="I3" s="115"/>
      <c r="N3" s="158"/>
    </row>
    <row r="4" spans="2:14" x14ac:dyDescent="0.25">
      <c r="N4" s="158"/>
    </row>
    <row r="5" spans="2:14" x14ac:dyDescent="0.25">
      <c r="B5" s="202"/>
      <c r="D5" s="1" t="s">
        <v>52</v>
      </c>
      <c r="E5" s="2"/>
      <c r="G5" s="3" t="s">
        <v>69</v>
      </c>
      <c r="I5" s="203" t="s">
        <v>95</v>
      </c>
    </row>
    <row r="6" spans="2:14" x14ac:dyDescent="0.25">
      <c r="B6" s="204" t="s">
        <v>0</v>
      </c>
      <c r="D6" s="4" t="s">
        <v>9</v>
      </c>
      <c r="E6" s="4" t="s">
        <v>10</v>
      </c>
      <c r="G6" s="5" t="str">
        <f>"at "&amp;TEXT('[1]Table 1'!$G$9,"00.0%")&amp; " CF  (1)"</f>
        <v>at 85.0% CF  (1)</v>
      </c>
      <c r="I6" s="205" t="s">
        <v>96</v>
      </c>
      <c r="K6" s="198" t="s">
        <v>50</v>
      </c>
    </row>
    <row r="7" spans="2:14" ht="4.5" customHeight="1" x14ac:dyDescent="0.25"/>
    <row r="8" spans="2:14" x14ac:dyDescent="0.25">
      <c r="B8" s="211">
        <f>YEAR(SourceEnergy!B13)</f>
        <v>2019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19.645588635197864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14.552924646189775</v>
      </c>
      <c r="G8" s="6">
        <f t="shared" ref="G8:G26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17.408537147788831</v>
      </c>
      <c r="I8" s="207" t="e">
        <f>-INDEX([2]Delta!$E$350:$EE$350,MATCH(B8,[2]Delta!$E$3:$EE$3,0))/INDEX([2]Delta!$E$349:$EE$349,MATCH(B8,[2]Delta!$E$3:$EE$3,0))</f>
        <v>#DIV/0!</v>
      </c>
      <c r="K8" s="208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hidden="1" x14ac:dyDescent="0.25">
      <c r="B9" s="206">
        <f t="shared" ref="B9:B28" si="3">B8+1</f>
        <v>2020</v>
      </c>
      <c r="D9" s="6">
        <f t="shared" ca="1" si="0"/>
        <v>0</v>
      </c>
      <c r="E9" s="6">
        <f t="shared" ca="1" si="1"/>
        <v>0</v>
      </c>
      <c r="G9" s="6">
        <f t="shared" ca="1" si="2"/>
        <v>0</v>
      </c>
      <c r="I9" s="207" t="e">
        <f>-INDEX([2]Delta!$E$350:$EE$350,MATCH(B9,[2]Delta!$E$3:$EE$3,0))/INDEX([2]Delta!$E$349:$EE$349,MATCH(B9,[2]Delta!$E$3:$EE$3,0))</f>
        <v>#DIV/0!</v>
      </c>
      <c r="K9" s="208" t="e">
        <f ca="1">IF(AND(YEAR(SourceEnergy!$N$2)=B9,MONTH(SourceEnergy!$N$2)&lt;&gt;12),"Partial Year - OK",IF(ROUND(G9-'[1]Table 1'!$G14,2)&lt;&gt;0,"Error - Priced off "," - "))</f>
        <v>#DIV/0!</v>
      </c>
    </row>
    <row r="10" spans="2:14" hidden="1" x14ac:dyDescent="0.25">
      <c r="B10" s="206">
        <f t="shared" si="3"/>
        <v>2021</v>
      </c>
      <c r="D10" s="6">
        <f t="shared" ca="1" si="0"/>
        <v>0</v>
      </c>
      <c r="E10" s="6">
        <f t="shared" ca="1" si="1"/>
        <v>0</v>
      </c>
      <c r="G10" s="6">
        <f t="shared" ca="1" si="2"/>
        <v>0</v>
      </c>
      <c r="I10" s="207" t="e">
        <f>-INDEX([2]Delta!$E$350:$EE$350,MATCH(B10,[2]Delta!$E$3:$EE$3,0))/INDEX([2]Delta!$E$349:$EE$349,MATCH(B10,[2]Delta!$E$3:$EE$3,0))</f>
        <v>#DIV/0!</v>
      </c>
      <c r="K10" s="208" t="e">
        <f ca="1">IF(AND(YEAR(SourceEnergy!$N$2)=B10,MONTH(SourceEnergy!$N$2)&lt;&gt;12),"Partial Year - OK",IF(ROUND(G10-'[1]Table 1'!$G15,2)&lt;&gt;0,"Error - Priced off "," - "))</f>
        <v>#DIV/0!</v>
      </c>
    </row>
    <row r="11" spans="2:14" hidden="1" x14ac:dyDescent="0.25">
      <c r="B11" s="206">
        <f t="shared" si="3"/>
        <v>2022</v>
      </c>
      <c r="D11" s="6">
        <f t="shared" ca="1" si="0"/>
        <v>0</v>
      </c>
      <c r="E11" s="6">
        <f t="shared" ca="1" si="1"/>
        <v>0</v>
      </c>
      <c r="G11" s="6">
        <f t="shared" ca="1" si="2"/>
        <v>0</v>
      </c>
      <c r="I11" s="207" t="e">
        <f>-INDEX([2]Delta!$E$350:$EE$350,MATCH(B11,[2]Delta!$E$3:$EE$3,0))/INDEX([2]Delta!$E$349:$EE$349,MATCH(B11,[2]Delta!$E$3:$EE$3,0))</f>
        <v>#DIV/0!</v>
      </c>
      <c r="K11" s="208" t="e">
        <f ca="1">IF(AND(YEAR(SourceEnergy!$N$2)=B11,MONTH(SourceEnergy!$N$2)&lt;&gt;12),"Partial Year - OK",IF(ROUND(G11-'[1]Table 1'!$G16,2)&lt;&gt;0,"Error - Priced off "," - "))</f>
        <v>#DIV/0!</v>
      </c>
    </row>
    <row r="12" spans="2:14" hidden="1" x14ac:dyDescent="0.25">
      <c r="B12" s="206">
        <f t="shared" si="3"/>
        <v>2023</v>
      </c>
      <c r="D12" s="6">
        <f t="shared" ca="1" si="0"/>
        <v>0</v>
      </c>
      <c r="E12" s="6">
        <f t="shared" ca="1" si="1"/>
        <v>0</v>
      </c>
      <c r="G12" s="6">
        <f t="shared" ca="1" si="2"/>
        <v>0</v>
      </c>
      <c r="I12" s="207" t="e">
        <f>-INDEX([2]Delta!$E$350:$EE$350,MATCH(B12,[2]Delta!$E$3:$EE$3,0))/INDEX([2]Delta!$E$349:$EE$349,MATCH(B12,[2]Delta!$E$3:$EE$3,0))</f>
        <v>#DIV/0!</v>
      </c>
      <c r="K12" s="208" t="e">
        <f ca="1">IF(AND(YEAR(SourceEnergy!$N$2)=B12,MONTH(SourceEnergy!$N$2)&lt;&gt;12),"Partial Year - OK",IF(ROUND(G12-'[1]Table 1'!$G17,2)&lt;&gt;0,"Error - Priced off "," - "))</f>
        <v>#DIV/0!</v>
      </c>
    </row>
    <row r="13" spans="2:14" hidden="1" x14ac:dyDescent="0.25">
      <c r="B13" s="206">
        <f t="shared" si="3"/>
        <v>2024</v>
      </c>
      <c r="D13" s="6">
        <f t="shared" ca="1" si="0"/>
        <v>0</v>
      </c>
      <c r="E13" s="6">
        <f t="shared" ca="1" si="1"/>
        <v>0</v>
      </c>
      <c r="G13" s="6">
        <f t="shared" ca="1" si="2"/>
        <v>0</v>
      </c>
      <c r="I13" s="207" t="e">
        <f>-INDEX([2]Delta!$E$350:$EE$350,MATCH(B13,[2]Delta!$E$3:$EE$3,0))/INDEX([2]Delta!$E$349:$EE$349,MATCH(B13,[2]Delta!$E$3:$EE$3,0))</f>
        <v>#DIV/0!</v>
      </c>
      <c r="K13" s="208" t="e">
        <f ca="1">IF(AND(YEAR(SourceEnergy!$N$2)=B13,MONTH(SourceEnergy!$N$2)&lt;&gt;12),"Partial Year - OK",IF(ROUND(G13-'[1]Table 1'!$G18,2)&lt;&gt;0,"Error - Priced off "," - "))</f>
        <v>#DIV/0!</v>
      </c>
    </row>
    <row r="14" spans="2:14" hidden="1" x14ac:dyDescent="0.25">
      <c r="B14" s="206">
        <f t="shared" si="3"/>
        <v>2025</v>
      </c>
      <c r="D14" s="6">
        <f t="shared" ca="1" si="0"/>
        <v>0</v>
      </c>
      <c r="E14" s="6">
        <f t="shared" ca="1" si="1"/>
        <v>0</v>
      </c>
      <c r="G14" s="6">
        <f t="shared" ca="1" si="2"/>
        <v>0</v>
      </c>
      <c r="I14" s="207" t="e">
        <f>-INDEX([2]Delta!$E$350:$EE$350,MATCH(B14,[2]Delta!$E$3:$EE$3,0))/INDEX([2]Delta!$E$349:$EE$349,MATCH(B14,[2]Delta!$E$3:$EE$3,0))</f>
        <v>#DIV/0!</v>
      </c>
      <c r="K14" s="208" t="e">
        <f ca="1">IF(AND(YEAR(SourceEnergy!$N$2)=B14,MONTH(SourceEnergy!$N$2)&lt;&gt;12),"Partial Year - OK",IF(ROUND(G14-'[1]Table 1'!$G19,2)&lt;&gt;0,"Error - Priced off "," - "))</f>
        <v>#DIV/0!</v>
      </c>
    </row>
    <row r="15" spans="2:14" hidden="1" x14ac:dyDescent="0.25">
      <c r="B15" s="206">
        <f t="shared" si="3"/>
        <v>2026</v>
      </c>
      <c r="D15" s="6">
        <f t="shared" ca="1" si="0"/>
        <v>0</v>
      </c>
      <c r="E15" s="6">
        <f t="shared" ca="1" si="1"/>
        <v>0</v>
      </c>
      <c r="G15" s="6">
        <f t="shared" ca="1" si="2"/>
        <v>0</v>
      </c>
      <c r="I15" s="207" t="e">
        <f>-INDEX([2]Delta!$E$350:$EE$350,MATCH(B15,[2]Delta!$E$3:$EE$3,0))/INDEX([2]Delta!$E$349:$EE$349,MATCH(B15,[2]Delta!$E$3:$EE$3,0))</f>
        <v>#DIV/0!</v>
      </c>
      <c r="J15" s="209"/>
      <c r="K15" s="208" t="e">
        <f ca="1">IF(AND(YEAR(SourceEnergy!$N$2)=B15,MONTH(SourceEnergy!$N$2)&lt;&gt;12),"Partial Year - OK",IF(ROUND(G15-'[1]Table 1'!$G20,2)&lt;&gt;0,"Error - Priced off "," - "))</f>
        <v>#DIV/0!</v>
      </c>
    </row>
    <row r="16" spans="2:14" hidden="1" x14ac:dyDescent="0.25">
      <c r="B16" s="206">
        <f t="shared" si="3"/>
        <v>2027</v>
      </c>
      <c r="D16" s="6">
        <f t="shared" ca="1" si="0"/>
        <v>0</v>
      </c>
      <c r="E16" s="6">
        <f t="shared" ca="1" si="1"/>
        <v>0</v>
      </c>
      <c r="G16" s="6">
        <f t="shared" ca="1" si="2"/>
        <v>0</v>
      </c>
      <c r="I16" s="207" t="e">
        <f>-INDEX([2]Delta!$E$350:$EE$350,MATCH(B16,[2]Delta!$E$3:$EE$3,0))/INDEX([2]Delta!$E$349:$EE$349,MATCH(B16,[2]Delta!$E$3:$EE$3,0))</f>
        <v>#DIV/0!</v>
      </c>
      <c r="J16" s="209"/>
      <c r="K16" s="208" t="e">
        <f ca="1">IF(AND(YEAR(SourceEnergy!$N$2)=B16,MONTH(SourceEnergy!$N$2)&lt;&gt;12),"Partial Year - OK",IF(ROUND(G16-'[1]Table 1'!$G21,2)&lt;&gt;0,"Error - Priced off "," - "))</f>
        <v>#DIV/0!</v>
      </c>
    </row>
    <row r="17" spans="1:12" hidden="1" x14ac:dyDescent="0.25">
      <c r="B17" s="206">
        <f t="shared" si="3"/>
        <v>2028</v>
      </c>
      <c r="D17" s="6">
        <f t="shared" ca="1" si="0"/>
        <v>0</v>
      </c>
      <c r="E17" s="6">
        <f t="shared" ca="1" si="1"/>
        <v>0</v>
      </c>
      <c r="G17" s="6">
        <f t="shared" ca="1" si="2"/>
        <v>0</v>
      </c>
      <c r="I17" s="207" t="e">
        <f>-INDEX([2]Delta!$E$350:$EE$350,MATCH(B17,[2]Delta!$E$3:$EE$3,0))/INDEX([2]Delta!$E$349:$EE$349,MATCH(B17,[2]Delta!$E$3:$EE$3,0))</f>
        <v>#DIV/0!</v>
      </c>
      <c r="J17" s="209"/>
      <c r="K17" s="208" t="e">
        <f ca="1">IF(AND(YEAR(SourceEnergy!$N$2)=B17,MONTH(SourceEnergy!$N$2)&lt;&gt;12),"Partial Year - OK",IF(ROUND(G17-'[1]Table 1'!$G22,2)&lt;&gt;0,"Error - Priced off "," - "))</f>
        <v>#DIV/0!</v>
      </c>
    </row>
    <row r="18" spans="1:12" hidden="1" x14ac:dyDescent="0.25">
      <c r="B18" s="206">
        <f t="shared" si="3"/>
        <v>2029</v>
      </c>
      <c r="D18" s="6">
        <f t="shared" ca="1" si="0"/>
        <v>0</v>
      </c>
      <c r="E18" s="6">
        <f t="shared" ca="1" si="1"/>
        <v>0</v>
      </c>
      <c r="G18" s="6">
        <f t="shared" ca="1" si="2"/>
        <v>0</v>
      </c>
      <c r="I18" s="207" t="e">
        <v>#DIV/0!</v>
      </c>
      <c r="K18" s="208" t="e">
        <f ca="1">IF(AND(YEAR(SourceEnergy!$N$2)=B18,MONTH(SourceEnergy!$N$2)&lt;&gt;12),"Partial Year - OK",IF(ROUND(G18-'[1]Table 1'!$G23,2)&lt;&gt;0,"Error - Priced off "," - "))</f>
        <v>#DIV/0!</v>
      </c>
    </row>
    <row r="19" spans="1:12" hidden="1" x14ac:dyDescent="0.25">
      <c r="B19" s="206">
        <f t="shared" si="3"/>
        <v>2030</v>
      </c>
      <c r="D19" s="6">
        <f t="shared" ca="1" si="0"/>
        <v>0</v>
      </c>
      <c r="E19" s="6">
        <f t="shared" ca="1" si="1"/>
        <v>0</v>
      </c>
      <c r="G19" s="6">
        <f t="shared" ca="1" si="2"/>
        <v>0</v>
      </c>
      <c r="I19" s="207" t="e">
        <v>#DIV/0!</v>
      </c>
      <c r="K19" s="208" t="e">
        <f ca="1">IF(AND(YEAR(SourceEnergy!$N$2)=B19,MONTH(SourceEnergy!$N$2)&lt;&gt;12),"Partial Year - OK",IF(ROUND(G19-'[1]Table 1'!$G24,2)&lt;&gt;0,"Error - Priced off "," - "))</f>
        <v>#DIV/0!</v>
      </c>
    </row>
    <row r="20" spans="1:12" hidden="1" x14ac:dyDescent="0.25">
      <c r="B20" s="206">
        <f t="shared" si="3"/>
        <v>2031</v>
      </c>
      <c r="D20" s="6">
        <f t="shared" ca="1" si="0"/>
        <v>0</v>
      </c>
      <c r="E20" s="6">
        <f t="shared" ca="1" si="1"/>
        <v>0</v>
      </c>
      <c r="G20" s="6">
        <f t="shared" ca="1" si="2"/>
        <v>0</v>
      </c>
      <c r="I20" s="207" t="e">
        <v>#DIV/0!</v>
      </c>
      <c r="K20" s="208" t="e">
        <f ca="1">IF(AND(YEAR(SourceEnergy!$N$2)=B20,MONTH(SourceEnergy!$N$2)&lt;&gt;12),"Partial Year - OK",IF(ROUND(G20-'[1]Table 1'!$G25,2)&lt;&gt;0,"Error - Priced off "," - "))</f>
        <v>#DIV/0!</v>
      </c>
    </row>
    <row r="21" spans="1:12" hidden="1" x14ac:dyDescent="0.25">
      <c r="B21" s="206">
        <f t="shared" si="3"/>
        <v>2032</v>
      </c>
      <c r="D21" s="6">
        <f t="shared" ca="1" si="0"/>
        <v>0</v>
      </c>
      <c r="E21" s="6">
        <f t="shared" ca="1" si="1"/>
        <v>0</v>
      </c>
      <c r="G21" s="6">
        <f t="shared" ca="1" si="2"/>
        <v>0</v>
      </c>
      <c r="I21" s="207" t="e">
        <v>#DIV/0!</v>
      </c>
      <c r="K21" s="208" t="e">
        <f ca="1">IF(AND(YEAR(SourceEnergy!$N$2)=B21,MONTH(SourceEnergy!$N$2)&lt;&gt;12),"Partial Year - OK",IF(ROUND(G21-'[1]Table 1'!$G26,2)&lt;&gt;0,"Error - Priced off "," - "))</f>
        <v>#DIV/0!</v>
      </c>
    </row>
    <row r="22" spans="1:12" hidden="1" x14ac:dyDescent="0.25">
      <c r="B22" s="206">
        <f t="shared" si="3"/>
        <v>2033</v>
      </c>
      <c r="D22" s="6">
        <f t="shared" ca="1" si="0"/>
        <v>0</v>
      </c>
      <c r="E22" s="6">
        <f t="shared" ca="1" si="1"/>
        <v>0</v>
      </c>
      <c r="G22" s="6">
        <f t="shared" ca="1" si="2"/>
        <v>0</v>
      </c>
      <c r="I22" s="207" t="e">
        <v>#DIV/0!</v>
      </c>
      <c r="K22" s="208" t="e">
        <f ca="1">IF(AND(YEAR(SourceEnergy!$N$2)=B22,MONTH(SourceEnergy!$N$2)&lt;&gt;12),"Partial Year - OK",IF(ROUND(G22-'[1]Table 1'!$G27,2)&lt;&gt;0,"Error - Priced off "," - "))</f>
        <v>#DIV/0!</v>
      </c>
    </row>
    <row r="23" spans="1:12" hidden="1" x14ac:dyDescent="0.25">
      <c r="B23" s="206">
        <f t="shared" si="3"/>
        <v>2034</v>
      </c>
      <c r="D23" s="6">
        <f t="shared" ca="1" si="0"/>
        <v>0</v>
      </c>
      <c r="E23" s="6">
        <f t="shared" ca="1" si="1"/>
        <v>0</v>
      </c>
      <c r="G23" s="6">
        <f t="shared" ca="1" si="2"/>
        <v>0</v>
      </c>
      <c r="I23" s="207" t="e">
        <v>#DIV/0!</v>
      </c>
      <c r="K23" s="208" t="e">
        <f ca="1">IF(AND(YEAR(SourceEnergy!$N$2)=B23,MONTH(SourceEnergy!$N$2)&lt;&gt;12),"Partial Year - OK",IF(ROUND(G23-'[1]Table 1'!$G28,2)&lt;&gt;0,"Error - Priced off "," - "))</f>
        <v>#DIV/0!</v>
      </c>
    </row>
    <row r="24" spans="1:12" hidden="1" x14ac:dyDescent="0.25">
      <c r="B24" s="206">
        <f t="shared" si="3"/>
        <v>2035</v>
      </c>
      <c r="D24" s="6">
        <f t="shared" ca="1" si="0"/>
        <v>0</v>
      </c>
      <c r="E24" s="6">
        <f t="shared" ca="1" si="1"/>
        <v>0</v>
      </c>
      <c r="G24" s="6">
        <f t="shared" ca="1" si="2"/>
        <v>0</v>
      </c>
      <c r="I24" s="207" t="e">
        <v>#DIV/0!</v>
      </c>
      <c r="J24" s="210"/>
      <c r="K24" s="208" t="e">
        <f ca="1">IF(AND(YEAR(SourceEnergy!$N$2)=B24,MONTH(SourceEnergy!$N$2)&lt;&gt;12),"Partial Year - OK",IF(ROUND(G24-'[1]Table 1'!$G29,2)&lt;&gt;0,"Error - Priced off "," - "))</f>
        <v>#DIV/0!</v>
      </c>
    </row>
    <row r="25" spans="1:12" hidden="1" x14ac:dyDescent="0.25">
      <c r="B25" s="206">
        <f t="shared" si="3"/>
        <v>2036</v>
      </c>
      <c r="D25" s="6">
        <f t="shared" ca="1" si="0"/>
        <v>0</v>
      </c>
      <c r="E25" s="6">
        <f t="shared" ca="1" si="1"/>
        <v>0</v>
      </c>
      <c r="G25" s="6">
        <f t="shared" ca="1" si="2"/>
        <v>0</v>
      </c>
      <c r="I25" s="207" t="e">
        <v>#DIV/0!</v>
      </c>
      <c r="J25" s="210"/>
      <c r="K25" s="208" t="e">
        <f ca="1">IF(AND(YEAR(SourceEnergy!$N$2)=B25,MONTH(SourceEnergy!$N$2)&lt;&gt;12),"Partial Year - OK",IF(ROUND(G25-'[1]Table 1'!$G30,2)&lt;&gt;0,"Error - Priced off "," - "))</f>
        <v>#DIV/0!</v>
      </c>
    </row>
    <row r="26" spans="1:12" hidden="1" x14ac:dyDescent="0.25">
      <c r="B26" s="206">
        <f t="shared" si="3"/>
        <v>2037</v>
      </c>
      <c r="D26" s="6">
        <f t="shared" ca="1" si="0"/>
        <v>0</v>
      </c>
      <c r="E26" s="6">
        <f t="shared" ca="1" si="1"/>
        <v>0</v>
      </c>
      <c r="G26" s="6">
        <f t="shared" ca="1" si="2"/>
        <v>0</v>
      </c>
      <c r="I26" s="207" t="e">
        <v>#DIV/0!</v>
      </c>
      <c r="J26" s="210"/>
      <c r="K26" s="208" t="e">
        <f ca="1">IF(AND(YEAR(SourceEnergy!$N$2)=B26,MONTH(SourceEnergy!$N$2)&lt;&gt;12),"Partial Year - OK",IF(ROUND(G26-'[1]Table 1'!$G31,2)&lt;&gt;0,"Error - Priced off "," - "))</f>
        <v>#DIV/0!</v>
      </c>
    </row>
    <row r="27" spans="1:12" hidden="1" x14ac:dyDescent="0.25">
      <c r="B27" s="206">
        <f t="shared" si="3"/>
        <v>2038</v>
      </c>
      <c r="D27" s="6">
        <f t="shared" ca="1" si="0"/>
        <v>0</v>
      </c>
      <c r="E27" s="6">
        <f t="shared" ca="1" si="1"/>
        <v>0</v>
      </c>
      <c r="G27" s="6">
        <f ca="1">IFERROR((SUMIF(INDIRECT("SourceEnergy!$m$"&amp;$N$1&amp;":$M$"&amp;$N$2),B27,INDIRECT("SourceEnergy!$d$"&amp;$N$1&amp;":$d$"&amp;$N$2))+SUMIF(INDIRECT("SourceEnergy!$m$"&amp;$N$1&amp;":$M$"&amp;$N$2),B27,INDIRECT("SourceEnergy!$e$"&amp;$N$1&amp;":$e$"&amp;$N$2)))/(SUMIF(INDIRECT("SourceEnergy!$m$"&amp;$N$1&amp;":$M$"&amp;$N$2),B27,INDIRECT("SourceEnergy!$g$"&amp;$N$1&amp;":$G$"&amp;$N$2))+SUMIF(INDIRECT("SourceEnergy!$m$"&amp;$N$1&amp;":$M$"&amp;$N$2),B27,INDIRECT("SourceEnergy!$h$"&amp;$N$1&amp;":$h$"&amp;$N$2))),0)</f>
        <v>0</v>
      </c>
      <c r="I27" s="207" t="e">
        <v>#N/A</v>
      </c>
      <c r="J27" s="210"/>
      <c r="K27" s="208" t="e">
        <f ca="1">IF(AND(YEAR(SourceEnergy!$N$2)=B27,MONTH(SourceEnergy!$N$2)&lt;&gt;12),"Partial Year - OK",IF(ROUND(G27-'[1]Table 1'!$G32,2)&lt;&gt;0,"Error - Priced off "," - "))</f>
        <v>#DIV/0!</v>
      </c>
    </row>
    <row r="28" spans="1:12" hidden="1" x14ac:dyDescent="0.25">
      <c r="B28" s="211">
        <f t="shared" si="3"/>
        <v>2039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ca="1">IFERROR((SUMIF(INDIRECT("SourceEnergy!$m$"&amp;$N$1&amp;":$M$"&amp;$N$2),B28,INDIRECT("SourceEnergy!$d$"&amp;$N$1&amp;":$d$"&amp;$N$2))+SUMIF(INDIRECT("SourceEnergy!$m$"&amp;$N$1&amp;":$M$"&amp;$N$2),B28,INDIRECT("SourceEnergy!$e$"&amp;$N$1&amp;":$e$"&amp;$N$2)))/(SUMIF(INDIRECT("SourceEnergy!$m$"&amp;$N$1&amp;":$M$"&amp;$N$2),B28,INDIRECT("SourceEnergy!$g$"&amp;$N$1&amp;":$G$"&amp;$N$2))+SUMIF(INDIRECT("SourceEnergy!$m$"&amp;$N$1&amp;":$M$"&amp;$N$2),B28,INDIRECT("SourceEnergy!$h$"&amp;$N$1&amp;":$h$"&amp;$N$2))),0)</f>
        <v>0</v>
      </c>
      <c r="I28" s="207" t="e">
        <v>#N/A</v>
      </c>
      <c r="J28" s="210"/>
      <c r="K28" s="208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25">
      <c r="B29" s="211"/>
      <c r="D29" s="6"/>
      <c r="E29" s="6"/>
      <c r="G29" s="6"/>
      <c r="I29" s="207"/>
      <c r="J29" s="210"/>
      <c r="K29" s="208"/>
    </row>
    <row r="30" spans="1:12" ht="21.75" customHeight="1" x14ac:dyDescent="0.25">
      <c r="A30" s="212"/>
      <c r="B30" s="212"/>
      <c r="C30" s="213"/>
      <c r="D30" s="213"/>
      <c r="I30" s="207"/>
    </row>
    <row r="31" spans="1:12" ht="16.5" customHeight="1" x14ac:dyDescent="0.25">
      <c r="A31" s="214"/>
      <c r="B31" s="7" t="s">
        <v>106</v>
      </c>
      <c r="K31" s="215"/>
    </row>
    <row r="32" spans="1:12" x14ac:dyDescent="0.25">
      <c r="B32" s="206" t="s">
        <v>51</v>
      </c>
      <c r="D32" s="227">
        <f ca="1">SourceEnergy!J10*$G$32/SourceEnergy!$I$10</f>
        <v>19.648569474458935</v>
      </c>
      <c r="E32" s="227">
        <f ca="1">SourceEnergy!K10*$G$32/SourceEnergy!$I$10</f>
        <v>14.567915618265241</v>
      </c>
      <c r="G32" s="216">
        <f ca="1">SourceEnergy!$I$10</f>
        <v>17.41722939658564</v>
      </c>
      <c r="I32" s="84" t="e">
        <f>PMT(Discount_Rate,COUNT(B8:B28),-NPV(Discount_Rate,I8:I28))</f>
        <v>#DIV/0!</v>
      </c>
      <c r="K32" s="217"/>
      <c r="L32" s="9"/>
    </row>
    <row r="33" spans="1:12" ht="15" customHeight="1" x14ac:dyDescent="0.25">
      <c r="D33" s="6"/>
      <c r="E33" s="6"/>
      <c r="I33" s="218"/>
      <c r="J33" s="219"/>
      <c r="K33" s="217"/>
    </row>
    <row r="34" spans="1:12" ht="21.75" customHeight="1" x14ac:dyDescent="0.25">
      <c r="A34" s="212"/>
      <c r="B34" s="220"/>
      <c r="C34" s="220"/>
      <c r="D34" s="213"/>
      <c r="I34" s="207"/>
    </row>
    <row r="35" spans="1:12" ht="11.25" customHeight="1" x14ac:dyDescent="0.25">
      <c r="A35" s="214"/>
      <c r="B35" s="7"/>
      <c r="K35" s="215"/>
    </row>
    <row r="36" spans="1:12" x14ac:dyDescent="0.25">
      <c r="B36" s="206"/>
      <c r="D36" s="8"/>
      <c r="E36" s="8"/>
      <c r="G36" s="216"/>
      <c r="I36" s="84"/>
      <c r="K36" s="217"/>
      <c r="L36" s="9"/>
    </row>
    <row r="37" spans="1:12" ht="9" customHeight="1" x14ac:dyDescent="0.25">
      <c r="B37" s="206"/>
      <c r="D37" s="8"/>
      <c r="E37" s="8"/>
      <c r="G37" s="216"/>
      <c r="I37" s="84"/>
      <c r="K37" s="217"/>
      <c r="L37" s="9"/>
    </row>
    <row r="38" spans="1:12" ht="21.75" customHeight="1" x14ac:dyDescent="0.25">
      <c r="A38" s="212"/>
      <c r="B38" s="220"/>
      <c r="C38" s="220"/>
      <c r="D38" s="213"/>
      <c r="I38" s="207"/>
    </row>
    <row r="39" spans="1:12" ht="11.25" customHeight="1" x14ac:dyDescent="0.25">
      <c r="A39" s="214"/>
      <c r="B39" s="7"/>
      <c r="K39" s="215"/>
    </row>
    <row r="40" spans="1:12" x14ac:dyDescent="0.25">
      <c r="B40" s="206"/>
      <c r="D40" s="8"/>
      <c r="E40" s="8"/>
      <c r="G40" s="216"/>
      <c r="I40" s="84"/>
      <c r="K40" s="217"/>
      <c r="L40" s="9"/>
    </row>
    <row r="41" spans="1:12" s="111" customFormat="1" ht="12.75" x14ac:dyDescent="0.2">
      <c r="A41" s="114"/>
      <c r="B41" s="221" t="s">
        <v>77</v>
      </c>
      <c r="C41" s="114"/>
      <c r="D41" s="11"/>
      <c r="E41" s="11"/>
      <c r="F41" s="114"/>
      <c r="G41" s="114"/>
      <c r="H41" s="114"/>
      <c r="I41" s="114"/>
      <c r="K41" s="222"/>
    </row>
    <row r="42" spans="1:12" s="111" customFormat="1" ht="12.75" x14ac:dyDescent="0.2">
      <c r="A42" s="114"/>
      <c r="B42" s="221" t="s">
        <v>67</v>
      </c>
      <c r="C42" s="114"/>
      <c r="D42" s="114"/>
      <c r="E42" s="114"/>
      <c r="F42" s="114"/>
      <c r="G42" s="114"/>
      <c r="H42" s="114"/>
      <c r="I42" s="114"/>
      <c r="K42" s="13"/>
    </row>
    <row r="43" spans="1:12" s="111" customFormat="1" ht="12.75" hidden="1" x14ac:dyDescent="0.2">
      <c r="A43" s="114"/>
      <c r="B43" s="221" t="s">
        <v>68</v>
      </c>
      <c r="C43" s="114"/>
      <c r="D43" s="114"/>
      <c r="E43" s="114"/>
      <c r="F43" s="114"/>
      <c r="G43" s="114"/>
      <c r="H43" s="114"/>
      <c r="I43" s="114"/>
      <c r="K43" s="13"/>
    </row>
    <row r="44" spans="1:12" s="111" customFormat="1" x14ac:dyDescent="0.25">
      <c r="A44" s="114"/>
      <c r="B44" s="200"/>
      <c r="C44" s="200"/>
      <c r="D44" s="200"/>
      <c r="E44" s="200"/>
      <c r="F44" s="200"/>
      <c r="G44" s="200"/>
      <c r="H44" s="114"/>
      <c r="I44" s="114"/>
      <c r="K44" s="228"/>
    </row>
    <row r="45" spans="1:12" s="111" customFormat="1" x14ac:dyDescent="0.25">
      <c r="A45" s="114"/>
      <c r="B45" s="200"/>
      <c r="C45" s="200"/>
      <c r="D45" s="200"/>
      <c r="E45" s="200"/>
      <c r="F45" s="200"/>
      <c r="G45" s="200"/>
      <c r="H45" s="114"/>
      <c r="I45" s="114"/>
    </row>
    <row r="46" spans="1:12" s="111" customFormat="1" x14ac:dyDescent="0.25">
      <c r="A46" s="114"/>
      <c r="B46" s="200"/>
      <c r="C46" s="200"/>
      <c r="D46" s="200"/>
      <c r="E46" s="200"/>
      <c r="F46" s="200"/>
      <c r="G46" s="200"/>
      <c r="H46" s="114"/>
      <c r="I46" s="114"/>
    </row>
  </sheetData>
  <printOptions horizontalCentered="1"/>
  <pageMargins left="0.3" right="0.3" top="0.8" bottom="0.4" header="0.5" footer="0.2"/>
  <pageSetup scale="89"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0"/>
  <sheetViews>
    <sheetView zoomScale="80" zoomScaleNormal="80" zoomScaleSheetLayoutView="85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D13" sqref="D13"/>
    </sheetView>
  </sheetViews>
  <sheetFormatPr defaultColWidth="9.140625" defaultRowHeight="15" outlineLevelRow="1" x14ac:dyDescent="0.25"/>
  <cols>
    <col min="1" max="1" width="1.5703125" style="133" customWidth="1"/>
    <col min="2" max="2" width="13.42578125" style="133" customWidth="1"/>
    <col min="3" max="3" width="11.85546875" style="133" customWidth="1"/>
    <col min="4" max="4" width="11.28515625" style="133" customWidth="1"/>
    <col min="5" max="5" width="11.7109375" style="133" customWidth="1"/>
    <col min="6" max="8" width="10.85546875" style="133" customWidth="1"/>
    <col min="9" max="11" width="10.140625" style="133" customWidth="1"/>
    <col min="12" max="12" width="4.140625" style="133" customWidth="1"/>
    <col min="13" max="13" width="8.5703125" style="133" customWidth="1"/>
    <col min="14" max="14" width="12.42578125" style="133" customWidth="1"/>
    <col min="15" max="15" width="2.28515625" style="133" customWidth="1"/>
    <col min="16" max="16" width="16" style="133" customWidth="1"/>
    <col min="17" max="17" width="20.140625" style="133" customWidth="1"/>
    <col min="18" max="18" width="19.7109375" style="133" customWidth="1"/>
    <col min="19" max="19" width="9.140625" style="133"/>
    <col min="20" max="21" width="10.5703125" style="133" bestFit="1" customWidth="1"/>
    <col min="22" max="16384" width="9.140625" style="133"/>
  </cols>
  <sheetData>
    <row r="1" spans="2:22" x14ac:dyDescent="0.25">
      <c r="B1" s="132" t="str">
        <f>'Summary (Energy PMT)'!B1</f>
        <v>Kennecott Refinery Non Firm</v>
      </c>
      <c r="C1" s="132"/>
      <c r="D1" s="132"/>
      <c r="E1" s="132"/>
      <c r="F1" s="132"/>
      <c r="G1" s="132"/>
      <c r="H1" s="132"/>
      <c r="I1" s="132"/>
      <c r="J1" s="132"/>
      <c r="K1" s="132"/>
      <c r="M1" s="134" t="s">
        <v>7</v>
      </c>
      <c r="N1" s="135">
        <f>MIN(N13:N24)</f>
        <v>43466</v>
      </c>
      <c r="P1" s="136"/>
    </row>
    <row r="2" spans="2:22" x14ac:dyDescent="0.25">
      <c r="B2" s="132" t="str">
        <f>'Summary (Energy PMT)'!B2</f>
        <v>6.2 MW and 85.0% CF</v>
      </c>
      <c r="C2" s="132"/>
      <c r="D2" s="132"/>
      <c r="E2" s="132"/>
      <c r="F2" s="132"/>
      <c r="G2" s="132"/>
      <c r="H2" s="132"/>
      <c r="I2" s="132"/>
      <c r="J2" s="132"/>
      <c r="K2" s="132"/>
      <c r="M2" s="134" t="s">
        <v>8</v>
      </c>
      <c r="N2" s="135">
        <f>EDATE($N$1,11)</f>
        <v>43800</v>
      </c>
      <c r="P2" s="136"/>
    </row>
    <row r="3" spans="2:22" x14ac:dyDescent="0.25">
      <c r="B3" s="132" t="str">
        <f>TEXT($N$1,"MMMM YYYY")&amp;"  through  "&amp;TEXT($N$2,"MMMM YYYY")</f>
        <v>January 2019  through  December 2019</v>
      </c>
      <c r="C3" s="132"/>
      <c r="D3" s="132"/>
      <c r="E3" s="132"/>
      <c r="F3" s="132"/>
      <c r="G3" s="132"/>
      <c r="H3" s="132"/>
      <c r="I3" s="132"/>
      <c r="J3" s="132"/>
      <c r="K3" s="132"/>
      <c r="M3" s="137">
        <f>'[1]Table 1'!$I$34</f>
        <v>0</v>
      </c>
      <c r="N3" s="138"/>
    </row>
    <row r="4" spans="2:22" x14ac:dyDescent="0.25">
      <c r="B4" s="132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132"/>
      <c r="D4" s="132"/>
      <c r="E4" s="132"/>
      <c r="F4" s="132"/>
      <c r="G4" s="132"/>
      <c r="H4" s="132"/>
      <c r="I4" s="132"/>
      <c r="J4" s="132"/>
      <c r="K4" s="132"/>
      <c r="M4" s="139">
        <f>[1]!Discount_Rate</f>
        <v>6.9099999999999995E-2</v>
      </c>
      <c r="N4" s="140">
        <f>((1+Discount_Rate)^(1/12))-1</f>
        <v>5.5836284214501042E-3</v>
      </c>
    </row>
    <row r="5" spans="2:22" ht="29.25" customHeight="1" x14ac:dyDescent="0.25">
      <c r="B5" s="141"/>
      <c r="C5" s="142"/>
      <c r="D5" s="143"/>
      <c r="E5" s="144"/>
      <c r="F5" s="145"/>
      <c r="G5" s="146"/>
      <c r="H5" s="147"/>
      <c r="I5" s="148"/>
      <c r="J5" s="149"/>
      <c r="K5" s="150"/>
      <c r="N5" s="151"/>
      <c r="Q5" s="151" t="s">
        <v>99</v>
      </c>
      <c r="R5" s="151" t="s">
        <v>100</v>
      </c>
      <c r="S5" s="151" t="s">
        <v>101</v>
      </c>
    </row>
    <row r="6" spans="2:22" x14ac:dyDescent="0.25">
      <c r="C6" s="152" t="str">
        <f>"Nominal NPV at "&amp;TEXT(Discount_Rate,"0.00%")&amp;" Discount Rate (Thousands)"</f>
        <v>Nominal NPV at 6.91% Discount Rate (Thousands)</v>
      </c>
      <c r="D6" s="153"/>
      <c r="E6" s="153"/>
      <c r="F6" s="153"/>
      <c r="G6" s="153"/>
      <c r="H6" s="138"/>
      <c r="I6" s="152" t="s">
        <v>11</v>
      </c>
      <c r="J6" s="153"/>
      <c r="K6" s="138"/>
      <c r="M6" s="134" t="s">
        <v>7</v>
      </c>
      <c r="N6" s="134">
        <f>MATCH(N1,$B$12:$B$264,FALSE)+ROW(B11)</f>
        <v>13</v>
      </c>
      <c r="Q6" s="133">
        <f>N6</f>
        <v>13</v>
      </c>
      <c r="R6" s="133">
        <f>N6+12</f>
        <v>25</v>
      </c>
      <c r="S6" s="133">
        <f>R6</f>
        <v>25</v>
      </c>
    </row>
    <row r="7" spans="2:22" x14ac:dyDescent="0.25">
      <c r="C7" s="142"/>
      <c r="D7" s="143"/>
      <c r="E7" s="144"/>
      <c r="F7" s="154"/>
      <c r="G7" s="155"/>
      <c r="H7" s="156"/>
      <c r="I7" s="157"/>
      <c r="J7" s="149"/>
      <c r="K7" s="150"/>
      <c r="M7" s="134"/>
      <c r="N7" s="158"/>
      <c r="Q7" s="133">
        <f t="shared" ref="Q7:R8" si="0">M7+24</f>
        <v>24</v>
      </c>
      <c r="R7" s="133">
        <f t="shared" si="0"/>
        <v>24</v>
      </c>
    </row>
    <row r="8" spans="2:22" x14ac:dyDescent="0.25">
      <c r="C8" s="142"/>
      <c r="D8" s="143"/>
      <c r="E8" s="144"/>
      <c r="F8" s="154"/>
      <c r="G8" s="155"/>
      <c r="H8" s="156"/>
      <c r="I8" s="157"/>
      <c r="J8" s="149"/>
      <c r="K8" s="150"/>
      <c r="M8" s="134"/>
      <c r="N8" s="158"/>
      <c r="Q8" s="133">
        <f t="shared" si="0"/>
        <v>24</v>
      </c>
      <c r="R8" s="133">
        <f t="shared" si="0"/>
        <v>24</v>
      </c>
    </row>
    <row r="9" spans="2:22" x14ac:dyDescent="0.25">
      <c r="B9" s="141"/>
      <c r="C9" s="142"/>
      <c r="D9" s="143"/>
      <c r="E9" s="144"/>
      <c r="F9" s="145"/>
      <c r="G9" s="146"/>
      <c r="H9" s="147"/>
      <c r="I9" s="148"/>
      <c r="J9" s="149"/>
      <c r="K9" s="150"/>
      <c r="M9" s="134"/>
      <c r="N9" s="158"/>
      <c r="Q9" s="133">
        <f>Q6+179</f>
        <v>192</v>
      </c>
      <c r="R9" s="133">
        <f>R6+179</f>
        <v>204</v>
      </c>
      <c r="S9" s="133">
        <f>S6+239</f>
        <v>264</v>
      </c>
    </row>
    <row r="10" spans="2:22" x14ac:dyDescent="0.25">
      <c r="B10" s="141" t="s">
        <v>104</v>
      </c>
      <c r="C10" s="142">
        <f ca="1">D10+E10</f>
        <v>775.51932918294756</v>
      </c>
      <c r="D10" s="143">
        <f ca="1">NPV(Monthly_Discount_Rate,INDIRECT("d"&amp;$N$6&amp;":d"&amp;$N10))/1000</f>
        <v>490.64249749173268</v>
      </c>
      <c r="E10" s="143">
        <f ca="1">NPV(Monthly_Discount_Rate,INDIRECT("e"&amp;$N$6&amp;":e"&amp;$N10))/1000</f>
        <v>284.87683169121487</v>
      </c>
      <c r="F10" s="145">
        <f ca="1">NPV(Monthly_Discount_Rate,INDIRECT("f"&amp;$N$6&amp;":f"&amp;$N10))/1000</f>
        <v>44.525986970980313</v>
      </c>
      <c r="G10" s="146">
        <f ca="1">NPV(Monthly_Discount_Rate,INDIRECT("g"&amp;$N$6&amp;":g"&amp;$N10))/1000</f>
        <v>24.970901730505933</v>
      </c>
      <c r="H10" s="147">
        <f ca="1">NPV(Monthly_Discount_Rate,INDIRECT("h"&amp;$N$6&amp;":h"&amp;$N10))/1000</f>
        <v>19.555085240474384</v>
      </c>
      <c r="I10" s="148">
        <f ca="1">(D10+E10)/F10</f>
        <v>17.41722939658564</v>
      </c>
      <c r="J10" s="149">
        <f t="shared" ref="J10" ca="1" si="1">D10/G10</f>
        <v>19.648569474458935</v>
      </c>
      <c r="K10" s="150">
        <f t="shared" ref="K10" ca="1" si="2">E10/H10</f>
        <v>14.567915618265241</v>
      </c>
      <c r="M10" s="133" t="str">
        <f>(N10-N6+1)/12&amp;" year"</f>
        <v>1 year</v>
      </c>
      <c r="N10" s="133">
        <f>MATCH(EDATE($N$1,1*12-1),B:B,FALSE)</f>
        <v>24</v>
      </c>
      <c r="P10" s="159" t="s">
        <v>76</v>
      </c>
    </row>
    <row r="11" spans="2:22" x14ac:dyDescent="0.25">
      <c r="B11" s="159"/>
      <c r="C11" s="160" t="str">
        <f>"Avoided Energy Costs "&amp;IF(Shape_Annually="Yes"," (a)","")</f>
        <v>Avoided Energy Costs  (a)</v>
      </c>
      <c r="D11" s="161"/>
      <c r="E11" s="162"/>
      <c r="F11" s="152" t="s">
        <v>3</v>
      </c>
      <c r="G11" s="153"/>
      <c r="H11" s="138"/>
      <c r="I11" s="152" t="s">
        <v>1</v>
      </c>
      <c r="J11" s="153"/>
      <c r="K11" s="138"/>
      <c r="P11" s="163" t="s">
        <v>72</v>
      </c>
      <c r="Q11" s="225"/>
      <c r="R11" s="223"/>
      <c r="S11" s="133" t="s">
        <v>9</v>
      </c>
      <c r="T11" s="133" t="s">
        <v>9</v>
      </c>
      <c r="U11" s="133" t="s">
        <v>10</v>
      </c>
      <c r="V11" s="133" t="s">
        <v>10</v>
      </c>
    </row>
    <row r="12" spans="2:22" x14ac:dyDescent="0.25">
      <c r="B12" s="164" t="s">
        <v>2</v>
      </c>
      <c r="C12" s="165" t="s">
        <v>81</v>
      </c>
      <c r="D12" s="166" t="s">
        <v>9</v>
      </c>
      <c r="E12" s="167" t="s">
        <v>10</v>
      </c>
      <c r="F12" s="165" t="s">
        <v>81</v>
      </c>
      <c r="G12" s="166" t="s">
        <v>9</v>
      </c>
      <c r="H12" s="167" t="s">
        <v>10</v>
      </c>
      <c r="I12" s="165" t="s">
        <v>81</v>
      </c>
      <c r="J12" s="166" t="s">
        <v>9</v>
      </c>
      <c r="K12" s="167" t="s">
        <v>10</v>
      </c>
      <c r="M12" s="152" t="s">
        <v>0</v>
      </c>
      <c r="N12" s="168" t="s">
        <v>6</v>
      </c>
      <c r="P12" s="169" t="s">
        <v>5</v>
      </c>
      <c r="Q12" s="225"/>
      <c r="R12" s="223"/>
      <c r="S12" s="133" t="s">
        <v>102</v>
      </c>
      <c r="T12" s="133" t="s">
        <v>103</v>
      </c>
      <c r="U12" s="133" t="s">
        <v>102</v>
      </c>
      <c r="V12" s="133" t="s">
        <v>103</v>
      </c>
    </row>
    <row r="13" spans="2:22" x14ac:dyDescent="0.25">
      <c r="B13" s="170">
        <f>'[1]Table 5'!$B$13</f>
        <v>43466</v>
      </c>
      <c r="C13" s="191">
        <f>'[1]Table 5'!E13*P13</f>
        <v>75655.521877661347</v>
      </c>
      <c r="D13" s="192">
        <f>IFERROR(G13*IF(AND(C13&lt;0,OR(Shape_Annually="No",AND(Shape_Annually="Yes",Shape_Start&gt;YEAR(B13)))),'MWH-Split'!T6,'MWH-Split'!S6)*'MWH-Split'!U6,"")</f>
        <v>45026.470112437622</v>
      </c>
      <c r="E13" s="193">
        <f>IFERROR(H13*IF(AND(C13&lt;0,OR(Shape_Annually="No",AND(Shape_Annually="Yes",Shape_Start&gt;YEAR(B13)))),'MWH-Split'!S6,'MWH-Split'!T6)*'MWH-Split'!U6,"")</f>
        <v>30629.051765223725</v>
      </c>
      <c r="F13" s="192">
        <f>'[1]Table 5'!F13*P13</f>
        <v>3920.88</v>
      </c>
      <c r="G13" s="192">
        <f>IF('MWH-Split'!N6&lt;&gt;0,'MWH-Split'!N6*P13,"")</f>
        <v>2192.3200000000002</v>
      </c>
      <c r="H13" s="193">
        <f>IF('MWH-Split'!O6&lt;&gt;0,'MWH-Split'!O6*P13,"")</f>
        <v>1728.56</v>
      </c>
      <c r="I13" s="174">
        <f t="shared" ref="I13:I76" si="3">IFERROR(MAX(ROUND(IF(ISNUMBER(F13),SUM(D13:E13)/SUM(G13:H13),""),2),0),"")</f>
        <v>19.3</v>
      </c>
      <c r="J13" s="174">
        <f t="shared" ref="J13:K23" si="4">IF(ISERROR(D13/G13),"",MAX(ROUND(D13/G13,2),0))</f>
        <v>20.54</v>
      </c>
      <c r="K13" s="175">
        <f t="shared" si="4"/>
        <v>17.72</v>
      </c>
      <c r="M13" s="176">
        <f>YEAR(B13)</f>
        <v>2019</v>
      </c>
      <c r="N13" s="177">
        <f>IF(ISNUMBER(F13),B13,"")</f>
        <v>43466</v>
      </c>
      <c r="P13" s="178">
        <v>1</v>
      </c>
      <c r="Q13" s="226" t="str">
        <f>IFERROR(IF(AND(MONTH(N13)&gt;=6,MONTH(N13)&lt;=9),"Summer","Winter"),"-")</f>
        <v>Winter</v>
      </c>
      <c r="R13" s="223"/>
    </row>
    <row r="14" spans="2:22" x14ac:dyDescent="0.25">
      <c r="B14" s="179">
        <f t="shared" ref="B14:B77" si="5">EDATE(B13,1)</f>
        <v>43497</v>
      </c>
      <c r="C14" s="171">
        <f>'[1]Table 5'!E14*P14</f>
        <v>65941.218911111355</v>
      </c>
      <c r="D14" s="172">
        <f>IFERROR(G14*IF(AND(C14&lt;0,OR(Shape_Annually="No",AND(Shape_Annually="Yes",Shape_Start&gt;YEAR(B14)))),'MWH-Split'!T7,'MWH-Split'!S7)*'MWH-Split'!U7,"")</f>
        <v>40531.139668669435</v>
      </c>
      <c r="E14" s="173">
        <f>IFERROR(H14*IF(AND(C14&lt;0,OR(Shape_Annually="No",AND(Shape_Annually="Yes",Shape_Start&gt;YEAR(B14)))),'MWH-Split'!S7,'MWH-Split'!T7)*'MWH-Split'!U7,"")</f>
        <v>25410.079242441931</v>
      </c>
      <c r="F14" s="172">
        <f>'[1]Table 5'!F14*P14</f>
        <v>3541.44</v>
      </c>
      <c r="G14" s="172">
        <f>IF('MWH-Split'!N7&lt;&gt;0,'MWH-Split'!N7*P14,"")</f>
        <v>2023.68</v>
      </c>
      <c r="H14" s="173">
        <f>IF('MWH-Split'!O7&lt;&gt;0,'MWH-Split'!O7*P14,"")</f>
        <v>1517.76</v>
      </c>
      <c r="I14" s="174">
        <f t="shared" si="3"/>
        <v>18.62</v>
      </c>
      <c r="J14" s="174">
        <f t="shared" si="4"/>
        <v>20.03</v>
      </c>
      <c r="K14" s="175">
        <f t="shared" si="4"/>
        <v>16.739999999999998</v>
      </c>
      <c r="M14" s="180">
        <f t="shared" ref="M14:M77" si="6">YEAR(B14)</f>
        <v>2019</v>
      </c>
      <c r="N14" s="177">
        <f t="shared" ref="N14:N24" si="7">IF(ISNUMBER(F14),B14,"")</f>
        <v>43497</v>
      </c>
      <c r="P14" s="178">
        <v>1</v>
      </c>
      <c r="Q14" s="226" t="str">
        <f t="shared" ref="Q14:Q77" si="8">IFERROR(IF(AND(MONTH(N14)&gt;=6,MONTH(N14)&lt;=9),"Summer","Winter"),"-")</f>
        <v>Winter</v>
      </c>
      <c r="R14" s="223"/>
    </row>
    <row r="15" spans="2:22" x14ac:dyDescent="0.25">
      <c r="B15" s="179">
        <f t="shared" si="5"/>
        <v>43525</v>
      </c>
      <c r="C15" s="171">
        <f>'[1]Table 5'!E15*P15</f>
        <v>63320.040522038937</v>
      </c>
      <c r="D15" s="172">
        <f>IFERROR(G15*IF(AND(C15&lt;0,OR(Shape_Annually="No",AND(Shape_Annually="Yes",Shape_Start&gt;YEAR(B15)))),'MWH-Split'!T8,'MWH-Split'!S8)*'MWH-Split'!U8,"")</f>
        <v>37713.998882612999</v>
      </c>
      <c r="E15" s="173">
        <f>IFERROR(H15*IF(AND(C15&lt;0,OR(Shape_Annually="No",AND(Shape_Annually="Yes",Shape_Start&gt;YEAR(B15)))),'MWH-Split'!S8,'MWH-Split'!T8)*'MWH-Split'!U8,"")</f>
        <v>25606.041639425937</v>
      </c>
      <c r="F15" s="172">
        <f>'[1]Table 5'!F15*P15</f>
        <v>3920.88</v>
      </c>
      <c r="G15" s="172">
        <f>IF('MWH-Split'!N8&lt;&gt;0,'MWH-Split'!N8*P15,"")</f>
        <v>2192.3200000000002</v>
      </c>
      <c r="H15" s="173">
        <f>IF('MWH-Split'!O8&lt;&gt;0,'MWH-Split'!O8*P15,"")</f>
        <v>1728.56</v>
      </c>
      <c r="I15" s="174">
        <f t="shared" si="3"/>
        <v>16.149999999999999</v>
      </c>
      <c r="J15" s="174">
        <f t="shared" si="4"/>
        <v>17.2</v>
      </c>
      <c r="K15" s="175">
        <f t="shared" si="4"/>
        <v>14.81</v>
      </c>
      <c r="M15" s="180">
        <f t="shared" si="6"/>
        <v>2019</v>
      </c>
      <c r="N15" s="177">
        <f t="shared" si="7"/>
        <v>43525</v>
      </c>
      <c r="P15" s="178">
        <v>1</v>
      </c>
      <c r="Q15" s="226" t="str">
        <f t="shared" si="8"/>
        <v>Winter</v>
      </c>
      <c r="R15" s="223"/>
    </row>
    <row r="16" spans="2:22" x14ac:dyDescent="0.25">
      <c r="B16" s="179">
        <f t="shared" si="5"/>
        <v>43556</v>
      </c>
      <c r="C16" s="171">
        <f>'[1]Table 5'!E16*P16</f>
        <v>51776.3138974756</v>
      </c>
      <c r="D16" s="172">
        <f>IFERROR(G16*IF(AND(C16&lt;0,OR(Shape_Annually="No",AND(Shape_Annually="Yes",Shape_Start&gt;YEAR(B16)))),'MWH-Split'!T9,'MWH-Split'!S9)*'MWH-Split'!U9,"")</f>
        <v>32271.435389822353</v>
      </c>
      <c r="E16" s="173">
        <f>IFERROR(H16*IF(AND(C16&lt;0,OR(Shape_Annually="No",AND(Shape_Annually="Yes",Shape_Start&gt;YEAR(B16)))),'MWH-Split'!S9,'MWH-Split'!T9)*'MWH-Split'!U9,"")</f>
        <v>19504.87850765324</v>
      </c>
      <c r="F16" s="172">
        <f>'[1]Table 5'!F16*P16</f>
        <v>3794.4</v>
      </c>
      <c r="G16" s="172">
        <f>IF('MWH-Split'!N9&lt;&gt;0,'MWH-Split'!N9*P16,"")</f>
        <v>2192.3200000000002</v>
      </c>
      <c r="H16" s="173">
        <f>IF('MWH-Split'!O9&lt;&gt;0,'MWH-Split'!O9*P16,"")</f>
        <v>1602.08</v>
      </c>
      <c r="I16" s="174">
        <f t="shared" si="3"/>
        <v>13.65</v>
      </c>
      <c r="J16" s="174">
        <f t="shared" si="4"/>
        <v>14.72</v>
      </c>
      <c r="K16" s="175">
        <f t="shared" si="4"/>
        <v>12.17</v>
      </c>
      <c r="M16" s="180">
        <f t="shared" si="6"/>
        <v>2019</v>
      </c>
      <c r="N16" s="177">
        <f t="shared" si="7"/>
        <v>43556</v>
      </c>
      <c r="P16" s="178">
        <v>1</v>
      </c>
      <c r="Q16" s="226" t="str">
        <f t="shared" si="8"/>
        <v>Winter</v>
      </c>
      <c r="R16" s="223"/>
    </row>
    <row r="17" spans="2:22" x14ac:dyDescent="0.25">
      <c r="B17" s="179">
        <f t="shared" si="5"/>
        <v>43586</v>
      </c>
      <c r="C17" s="171">
        <f>'[1]Table 5'!E17*P17</f>
        <v>55160.775804638863</v>
      </c>
      <c r="D17" s="172">
        <f>IFERROR(G17*IF(AND(C17&lt;0,OR(Shape_Annually="No",AND(Shape_Annually="Yes",Shape_Start&gt;YEAR(B17)))),'MWH-Split'!T10,'MWH-Split'!S10)*'MWH-Split'!U10,"")</f>
        <v>33218.038021973007</v>
      </c>
      <c r="E17" s="173">
        <f>IFERROR(H17*IF(AND(C17&lt;0,OR(Shape_Annually="No",AND(Shape_Annually="Yes",Shape_Start&gt;YEAR(B17)))),'MWH-Split'!S10,'MWH-Split'!T10)*'MWH-Split'!U10,"")</f>
        <v>21942.737782665856</v>
      </c>
      <c r="F17" s="172">
        <f>'[1]Table 5'!F17*P17</f>
        <v>3920.88</v>
      </c>
      <c r="G17" s="172">
        <f>IF('MWH-Split'!N10&lt;&gt;0,'MWH-Split'!N10*P17,"")</f>
        <v>2192.3200000000002</v>
      </c>
      <c r="H17" s="173">
        <f>IF('MWH-Split'!O10&lt;&gt;0,'MWH-Split'!O10*P17,"")</f>
        <v>1728.56</v>
      </c>
      <c r="I17" s="174">
        <f t="shared" si="3"/>
        <v>14.07</v>
      </c>
      <c r="J17" s="174">
        <f t="shared" si="4"/>
        <v>15.15</v>
      </c>
      <c r="K17" s="175">
        <f t="shared" si="4"/>
        <v>12.69</v>
      </c>
      <c r="M17" s="180">
        <f t="shared" si="6"/>
        <v>2019</v>
      </c>
      <c r="N17" s="177">
        <f t="shared" si="7"/>
        <v>43586</v>
      </c>
      <c r="P17" s="178">
        <v>1</v>
      </c>
      <c r="Q17" s="226" t="str">
        <f t="shared" si="8"/>
        <v>Winter</v>
      </c>
      <c r="R17" s="223"/>
    </row>
    <row r="18" spans="2:22" x14ac:dyDescent="0.25">
      <c r="B18" s="179">
        <f t="shared" si="5"/>
        <v>43617</v>
      </c>
      <c r="C18" s="171">
        <f>'[1]Table 5'!E18*P18</f>
        <v>56183.465162247419</v>
      </c>
      <c r="D18" s="172">
        <f>IFERROR(G18*IF(AND(C18&lt;0,OR(Shape_Annually="No",AND(Shape_Annually="Yes",Shape_Start&gt;YEAR(B18)))),'MWH-Split'!T11,'MWH-Split'!S11)*'MWH-Split'!U11,"")</f>
        <v>35482.639219855781</v>
      </c>
      <c r="E18" s="173">
        <f>IFERROR(H18*IF(AND(C18&lt;0,OR(Shape_Annually="No",AND(Shape_Annually="Yes",Shape_Start&gt;YEAR(B18)))),'MWH-Split'!S11,'MWH-Split'!T11)*'MWH-Split'!U11,"")</f>
        <v>20700.825942391639</v>
      </c>
      <c r="F18" s="172">
        <f>'[1]Table 5'!F18*P18</f>
        <v>3794.4</v>
      </c>
      <c r="G18" s="172">
        <f>IF('MWH-Split'!N11&lt;&gt;0,'MWH-Split'!N11*P18,"")</f>
        <v>2108</v>
      </c>
      <c r="H18" s="173">
        <f>IF('MWH-Split'!O11&lt;&gt;0,'MWH-Split'!O11*P18,"")</f>
        <v>1686.4</v>
      </c>
      <c r="I18" s="174">
        <f t="shared" si="3"/>
        <v>14.81</v>
      </c>
      <c r="J18" s="174">
        <f t="shared" si="4"/>
        <v>16.829999999999998</v>
      </c>
      <c r="K18" s="175">
        <f t="shared" si="4"/>
        <v>12.28</v>
      </c>
      <c r="M18" s="180">
        <f t="shared" si="6"/>
        <v>2019</v>
      </c>
      <c r="N18" s="177">
        <f t="shared" si="7"/>
        <v>43617</v>
      </c>
      <c r="P18" s="178">
        <v>1</v>
      </c>
      <c r="Q18" s="226" t="str">
        <f t="shared" si="8"/>
        <v>Summer</v>
      </c>
      <c r="R18" s="223"/>
    </row>
    <row r="19" spans="2:22" x14ac:dyDescent="0.25">
      <c r="B19" s="179">
        <f t="shared" si="5"/>
        <v>43647</v>
      </c>
      <c r="C19" s="171">
        <f>'[1]Table 5'!E19*P19</f>
        <v>91333.981063604355</v>
      </c>
      <c r="D19" s="172">
        <f>IFERROR(G19*IF(AND(C19&lt;0,OR(Shape_Annually="No",AND(Shape_Annually="Yes",Shape_Start&gt;YEAR(B19)))),'MWH-Split'!T12,'MWH-Split'!S12)*'MWH-Split'!U12,"")</f>
        <v>64156.175238192729</v>
      </c>
      <c r="E19" s="173">
        <f>IFERROR(H19*IF(AND(C19&lt;0,OR(Shape_Annually="No",AND(Shape_Annually="Yes",Shape_Start&gt;YEAR(B19)))),'MWH-Split'!S12,'MWH-Split'!T12)*'MWH-Split'!U12,"")</f>
        <v>27177.805825411633</v>
      </c>
      <c r="F19" s="172">
        <f>'[1]Table 5'!F19*P19</f>
        <v>3920.88</v>
      </c>
      <c r="G19" s="172">
        <f>IF('MWH-Split'!N12&lt;&gt;0,'MWH-Split'!N12*P19,"")</f>
        <v>2192.3200000000002</v>
      </c>
      <c r="H19" s="173">
        <f>IF('MWH-Split'!O12&lt;&gt;0,'MWH-Split'!O12*P19,"")</f>
        <v>1728.56</v>
      </c>
      <c r="I19" s="174">
        <f t="shared" si="3"/>
        <v>23.29</v>
      </c>
      <c r="J19" s="174">
        <f t="shared" si="4"/>
        <v>29.26</v>
      </c>
      <c r="K19" s="175">
        <f t="shared" si="4"/>
        <v>15.72</v>
      </c>
      <c r="M19" s="180">
        <f t="shared" si="6"/>
        <v>2019</v>
      </c>
      <c r="N19" s="177">
        <f t="shared" si="7"/>
        <v>43647</v>
      </c>
      <c r="P19" s="178">
        <v>1</v>
      </c>
      <c r="Q19" s="226" t="str">
        <f t="shared" si="8"/>
        <v>Summer</v>
      </c>
      <c r="R19" s="223"/>
      <c r="S19" s="224"/>
      <c r="T19" s="224"/>
      <c r="U19" s="224"/>
      <c r="V19" s="224"/>
    </row>
    <row r="20" spans="2:22" x14ac:dyDescent="0.25">
      <c r="B20" s="179">
        <f t="shared" si="5"/>
        <v>43678</v>
      </c>
      <c r="C20" s="171">
        <f>'[1]Table 5'!E20*P20</f>
        <v>100709.87890937924</v>
      </c>
      <c r="D20" s="172">
        <f>IFERROR(G20*IF(AND(C20&lt;0,OR(Shape_Annually="No",AND(Shape_Annually="Yes",Shape_Start&gt;YEAR(B20)))),'MWH-Split'!T13,'MWH-Split'!S13)*'MWH-Split'!U13,"")</f>
        <v>72364.827383837313</v>
      </c>
      <c r="E20" s="173">
        <f>IFERROR(H20*IF(AND(C20&lt;0,OR(Shape_Annually="No",AND(Shape_Annually="Yes",Shape_Start&gt;YEAR(B20)))),'MWH-Split'!S13,'MWH-Split'!T13)*'MWH-Split'!U13,"")</f>
        <v>28345.051525541938</v>
      </c>
      <c r="F20" s="172">
        <f>'[1]Table 5'!F20*P20</f>
        <v>3920.88</v>
      </c>
      <c r="G20" s="172">
        <f>IF('MWH-Split'!N13&lt;&gt;0,'MWH-Split'!N13*P20,"")</f>
        <v>2276.64</v>
      </c>
      <c r="H20" s="173">
        <f>IF('MWH-Split'!O13&lt;&gt;0,'MWH-Split'!O13*P20,"")</f>
        <v>1644.24</v>
      </c>
      <c r="I20" s="174">
        <f t="shared" si="3"/>
        <v>25.69</v>
      </c>
      <c r="J20" s="174">
        <f t="shared" si="4"/>
        <v>31.79</v>
      </c>
      <c r="K20" s="175">
        <f t="shared" si="4"/>
        <v>17.239999999999998</v>
      </c>
      <c r="M20" s="180">
        <f t="shared" si="6"/>
        <v>2019</v>
      </c>
      <c r="N20" s="177">
        <f t="shared" si="7"/>
        <v>43678</v>
      </c>
      <c r="P20" s="178">
        <v>1</v>
      </c>
      <c r="Q20" s="226" t="str">
        <f t="shared" si="8"/>
        <v>Summer</v>
      </c>
      <c r="R20" s="223">
        <v>2017</v>
      </c>
      <c r="S20" s="224">
        <f>IFERROR(SUMIFS(SourceEnergy!$D$13:$D$271,SourceEnergy!$Q$13:$Q$271,S$12,$M$13:$M$271,$R20)/SUMIFS(SourceEnergy!$G$13:$G$271,SourceEnergy!$Q$13:$Q$271,S$12,$M$13:$M$271,$R20),0)</f>
        <v>0</v>
      </c>
      <c r="T20" s="224">
        <f>IFERROR(SUMIFS(SourceEnergy!$D$13:$D$271,SourceEnergy!$Q$13:$Q$271,T$12,$M$13:$M$271,$R20)/SUMIFS(SourceEnergy!$G$13:$G$271,SourceEnergy!$Q$13:$Q$271,T$12,$M$13:$M$271,$R20),0)</f>
        <v>0</v>
      </c>
      <c r="U20" s="224">
        <f>IFERROR(SUMIFS(SourceEnergy!$E$13:$E$271,SourceEnergy!$Q$13:$Q$271,U$12,$M$13:$M$271,$R20)/SUMIFS(SourceEnergy!$H$13:$H$271,SourceEnergy!$Q$13:$Q$271,U$12,$M$13:$M$271,$R20),0)</f>
        <v>0</v>
      </c>
      <c r="V20" s="224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25">
      <c r="B21" s="179">
        <f t="shared" si="5"/>
        <v>43709</v>
      </c>
      <c r="C21" s="171">
        <f>'[1]Table 5'!E21*P21</f>
        <v>76448.585611909628</v>
      </c>
      <c r="D21" s="172">
        <f>IFERROR(G21*IF(AND(C21&lt;0,OR(Shape_Annually="No",AND(Shape_Annually="Yes",Shape_Start&gt;YEAR(B21)))),'MWH-Split'!T14,'MWH-Split'!S14)*'MWH-Split'!U14,"")</f>
        <v>49792.052454803408</v>
      </c>
      <c r="E21" s="173">
        <f>IFERROR(H21*IF(AND(C21&lt;0,OR(Shape_Annually="No",AND(Shape_Annually="Yes",Shape_Start&gt;YEAR(B21)))),'MWH-Split'!S14,'MWH-Split'!T14)*'MWH-Split'!U14,"")</f>
        <v>26656.533157106216</v>
      </c>
      <c r="F21" s="172">
        <f>'[1]Table 5'!F21*P21</f>
        <v>3794.4</v>
      </c>
      <c r="G21" s="172">
        <f>IF('MWH-Split'!N14&lt;&gt;0,'MWH-Split'!N14*P21,"")</f>
        <v>2023.68</v>
      </c>
      <c r="H21" s="173">
        <f>IF('MWH-Split'!O14&lt;&gt;0,'MWH-Split'!O14*P21,"")</f>
        <v>1770.72</v>
      </c>
      <c r="I21" s="174">
        <f t="shared" si="3"/>
        <v>20.149999999999999</v>
      </c>
      <c r="J21" s="174">
        <f t="shared" si="4"/>
        <v>24.6</v>
      </c>
      <c r="K21" s="175">
        <f t="shared" si="4"/>
        <v>15.05</v>
      </c>
      <c r="M21" s="180">
        <f t="shared" si="6"/>
        <v>2019</v>
      </c>
      <c r="N21" s="177">
        <f t="shared" si="7"/>
        <v>43709</v>
      </c>
      <c r="P21" s="178">
        <v>1</v>
      </c>
      <c r="Q21" s="226" t="str">
        <f t="shared" si="8"/>
        <v>Summer</v>
      </c>
      <c r="R21" s="223">
        <f>R20+1</f>
        <v>2018</v>
      </c>
      <c r="S21" s="224">
        <f>IFERROR(SUMIFS(SourceEnergy!$D$13:$D$271,SourceEnergy!$Q$13:$Q$271,S$12,$M$13:$M$271,$R21)/SUMIFS(SourceEnergy!$G$13:$G$271,SourceEnergy!$Q$13:$Q$271,S$12,$M$13:$M$271,$R21),0)</f>
        <v>0</v>
      </c>
      <c r="T21" s="224">
        <f>IFERROR(SUMIFS(SourceEnergy!$D$13:$D$271,SourceEnergy!$Q$13:$Q$271,T$12,$M$13:$M$271,$R21)/SUMIFS(SourceEnergy!$G$13:$G$271,SourceEnergy!$Q$13:$Q$271,T$12,$M$13:$M$271,$R21),0)</f>
        <v>0</v>
      </c>
      <c r="U21" s="224">
        <f>IFERROR(SUMIFS(SourceEnergy!$E$13:$E$271,SourceEnergy!$Q$13:$Q$271,U$12,$M$13:$M$271,$R21)/SUMIFS(SourceEnergy!$H$13:$H$271,SourceEnergy!$Q$13:$Q$271,U$12,$M$13:$M$271,$R21),0)</f>
        <v>0</v>
      </c>
      <c r="V21" s="224">
        <f>IFERROR(SUMIFS(SourceEnergy!$E$13:$E$271,SourceEnergy!$Q$13:$Q$271,V$12,$M$13:$M$271,$R21)/SUMIFS(SourceEnergy!$H$13:$H$271,SourceEnergy!$Q$13:$Q$271,V$12,$M$13:$M$271,$R21),0)</f>
        <v>0</v>
      </c>
    </row>
    <row r="22" spans="2:22" x14ac:dyDescent="0.25">
      <c r="B22" s="179">
        <f t="shared" si="5"/>
        <v>43739</v>
      </c>
      <c r="C22" s="171">
        <f>'[1]Table 5'!E22*P22</f>
        <v>63394.11498439312</v>
      </c>
      <c r="D22" s="172">
        <f>IFERROR(G22*IF(AND(C22&lt;0,OR(Shape_Annually="No",AND(Shape_Annually="Yes",Shape_Start&gt;YEAR(B22)))),'MWH-Split'!T15,'MWH-Split'!S15)*'MWH-Split'!U15,"")</f>
        <v>38275.905169024183</v>
      </c>
      <c r="E22" s="173">
        <f>IFERROR(H22*IF(AND(C22&lt;0,OR(Shape_Annually="No",AND(Shape_Annually="Yes",Shape_Start&gt;YEAR(B22)))),'MWH-Split'!S15,'MWH-Split'!T15)*'MWH-Split'!U15,"")</f>
        <v>25118.209815368929</v>
      </c>
      <c r="F22" s="172">
        <f>'[1]Table 5'!F22*P22</f>
        <v>3920.88</v>
      </c>
      <c r="G22" s="172">
        <f>IF('MWH-Split'!N15&lt;&gt;0,'MWH-Split'!N15*P22,"")</f>
        <v>2276.64</v>
      </c>
      <c r="H22" s="173">
        <f>IF('MWH-Split'!O15&lt;&gt;0,'MWH-Split'!O15*P22,"")</f>
        <v>1644.24</v>
      </c>
      <c r="I22" s="174">
        <f t="shared" si="3"/>
        <v>16.170000000000002</v>
      </c>
      <c r="J22" s="174">
        <f t="shared" si="4"/>
        <v>16.809999999999999</v>
      </c>
      <c r="K22" s="175">
        <f t="shared" si="4"/>
        <v>15.28</v>
      </c>
      <c r="M22" s="180">
        <f t="shared" si="6"/>
        <v>2019</v>
      </c>
      <c r="N22" s="177">
        <f t="shared" si="7"/>
        <v>43739</v>
      </c>
      <c r="P22" s="178">
        <v>1</v>
      </c>
      <c r="Q22" s="226" t="str">
        <f t="shared" si="8"/>
        <v>Winter</v>
      </c>
      <c r="R22" s="223">
        <f t="shared" ref="R22:R40" si="9">R21+1</f>
        <v>2019</v>
      </c>
      <c r="S22" s="224">
        <f>IFERROR(SUMIFS(SourceEnergy!$D$13:$D$271,SourceEnergy!$Q$13:$Q$271,S$12,$M$13:$M$271,$R22)/SUMIFS(SourceEnergy!$G$13:$G$271,SourceEnergy!$Q$13:$Q$271,S$12,$M$13:$M$271,$R22),0)</f>
        <v>16.589226179902063</v>
      </c>
      <c r="T22" s="224">
        <f>IFERROR(SUMIFS(SourceEnergy!$D$13:$D$271,SourceEnergy!$Q$13:$Q$271,T$12,$M$13:$M$271,$R22)/SUMIFS(SourceEnergy!$G$13:$G$271,SourceEnergy!$Q$13:$Q$271,T$12,$M$13:$M$271,$R22),0)</f>
        <v>25.788277883586481</v>
      </c>
      <c r="U22" s="224">
        <f>IFERROR(SUMIFS(SourceEnergy!$E$13:$E$271,SourceEnergy!$Q$13:$Q$271,U$12,$M$13:$M$271,$R22)/SUMIFS(SourceEnergy!$H$13:$H$271,SourceEnergy!$Q$13:$Q$271,U$12,$M$13:$M$271,$R22),0)</f>
        <v>14.293805381844738</v>
      </c>
      <c r="V22" s="224">
        <f>IFERROR(SUMIFS(SourceEnergy!$E$13:$E$271,SourceEnergy!$Q$13:$Q$271,V$12,$M$13:$M$271,$R22)/SUMIFS(SourceEnergy!$H$13:$H$271,SourceEnergy!$Q$13:$Q$271,V$12,$M$13:$M$271,$R22),0)</f>
        <v>15.063165666721048</v>
      </c>
    </row>
    <row r="23" spans="2:22" x14ac:dyDescent="0.25">
      <c r="B23" s="179">
        <f t="shared" si="5"/>
        <v>43770</v>
      </c>
      <c r="C23" s="171">
        <f>'[1]Table 5'!E23*P23</f>
        <v>58488.135047376156</v>
      </c>
      <c r="D23" s="172">
        <f>IFERROR(G23*IF(AND(C23&lt;0,OR(Shape_Annually="No",AND(Shape_Annually="Yes",Shape_Start&gt;YEAR(B23)))),'MWH-Split'!T16,'MWH-Split'!S16)*'MWH-Split'!U16,"")</f>
        <v>33726.794294877494</v>
      </c>
      <c r="E23" s="173">
        <f>IFERROR(H23*IF(AND(C23&lt;0,OR(Shape_Annually="No",AND(Shape_Annually="Yes",Shape_Start&gt;YEAR(B23)))),'MWH-Split'!S16,'MWH-Split'!T16)*'MWH-Split'!U16,"")</f>
        <v>24761.340752498661</v>
      </c>
      <c r="F23" s="172">
        <f>'[1]Table 5'!F23*P23</f>
        <v>3794.4</v>
      </c>
      <c r="G23" s="172">
        <f>IF('MWH-Split'!N16&lt;&gt;0,'MWH-Split'!N16*P23,"")</f>
        <v>2108</v>
      </c>
      <c r="H23" s="173">
        <f>IF('MWH-Split'!O16&lt;&gt;0,'MWH-Split'!O16*P23,"")</f>
        <v>1686.4</v>
      </c>
      <c r="I23" s="174">
        <f t="shared" si="3"/>
        <v>15.41</v>
      </c>
      <c r="J23" s="174">
        <f t="shared" si="4"/>
        <v>16</v>
      </c>
      <c r="K23" s="175">
        <f t="shared" si="4"/>
        <v>14.68</v>
      </c>
      <c r="M23" s="180">
        <f t="shared" si="6"/>
        <v>2019</v>
      </c>
      <c r="N23" s="177">
        <f t="shared" si="7"/>
        <v>43770</v>
      </c>
      <c r="P23" s="178">
        <v>1</v>
      </c>
      <c r="Q23" s="226" t="str">
        <f t="shared" si="8"/>
        <v>Winter</v>
      </c>
      <c r="R23" s="223">
        <f t="shared" si="9"/>
        <v>2020</v>
      </c>
      <c r="S23" s="224">
        <f>IFERROR(SUMIFS(SourceEnergy!$D$13:$D$271,SourceEnergy!$Q$13:$Q$271,S$12,$M$13:$M$271,$R23)/SUMIFS(SourceEnergy!$G$13:$G$271,SourceEnergy!$Q$13:$Q$271,S$12,$M$13:$M$271,$R23),0)</f>
        <v>0</v>
      </c>
      <c r="T23" s="224">
        <f>IFERROR(SUMIFS(SourceEnergy!$D$13:$D$271,SourceEnergy!$Q$13:$Q$271,T$12,$M$13:$M$271,$R23)/SUMIFS(SourceEnergy!$G$13:$G$271,SourceEnergy!$Q$13:$Q$271,T$12,$M$13:$M$271,$R23),0)</f>
        <v>0</v>
      </c>
      <c r="U23" s="224">
        <f>IFERROR(SUMIFS(SourceEnergy!$E$13:$E$271,SourceEnergy!$Q$13:$Q$271,U$12,$M$13:$M$271,$R23)/SUMIFS(SourceEnergy!$H$13:$H$271,SourceEnergy!$Q$13:$Q$271,U$12,$M$13:$M$271,$R23),0)</f>
        <v>0</v>
      </c>
      <c r="V23" s="224">
        <f>IFERROR(SUMIFS(SourceEnergy!$E$13:$E$271,SourceEnergy!$Q$13:$Q$271,V$12,$M$13:$M$271,$R23)/SUMIFS(SourceEnergy!$H$13:$H$271,SourceEnergy!$Q$13:$Q$271,V$12,$M$13:$M$271,$R23),0)</f>
        <v>0</v>
      </c>
    </row>
    <row r="24" spans="2:22" x14ac:dyDescent="0.25">
      <c r="B24" s="181">
        <f t="shared" si="5"/>
        <v>43800</v>
      </c>
      <c r="C24" s="182">
        <f>'[1]Table 5'!E24*P24</f>
        <v>45256.567343264818</v>
      </c>
      <c r="D24" s="183">
        <f>IFERROR(G24*IF(AND(C24&lt;0,OR(Shape_Annually="No",AND(Shape_Annually="Yes",Shape_Start&gt;YEAR(B24)))),'MWH-Split'!T17,'MWH-Split'!S17)*'MWH-Split'!U17,"")</f>
        <v>25990.946515897976</v>
      </c>
      <c r="E24" s="184">
        <f>IFERROR(H24*IF(AND(C24&lt;0,OR(Shape_Annually="No",AND(Shape_Annually="Yes",Shape_Start&gt;YEAR(B24)))),'MWH-Split'!S17,'MWH-Split'!T17)*'MWH-Split'!U17,"")</f>
        <v>19265.620827366842</v>
      </c>
      <c r="F24" s="183">
        <f>'[1]Table 5'!F24*P24</f>
        <v>3920.88</v>
      </c>
      <c r="G24" s="183">
        <f>IF('MWH-Split'!N17&lt;&gt;0,'MWH-Split'!N17*P24,"")</f>
        <v>2108</v>
      </c>
      <c r="H24" s="184">
        <f>IF('MWH-Split'!O17&lt;&gt;0,'MWH-Split'!O17*P24,"")</f>
        <v>1812.88</v>
      </c>
      <c r="I24" s="185">
        <f t="shared" si="3"/>
        <v>11.54</v>
      </c>
      <c r="J24" s="185">
        <f t="shared" ref="J24" si="10">IF(ISERROR(D24/G24),"",MAX(ROUND(D24/G24,2),0))</f>
        <v>12.33</v>
      </c>
      <c r="K24" s="186">
        <f t="shared" ref="K24" si="11">IF(ISERROR(E24/H24),"",MAX(ROUND(E24/H24,2),0))</f>
        <v>10.63</v>
      </c>
      <c r="M24" s="187">
        <f t="shared" si="6"/>
        <v>2019</v>
      </c>
      <c r="N24" s="188">
        <f t="shared" si="7"/>
        <v>43800</v>
      </c>
      <c r="P24" s="189">
        <v>1</v>
      </c>
      <c r="Q24" s="226" t="str">
        <f t="shared" si="8"/>
        <v>Winter</v>
      </c>
      <c r="R24" s="223">
        <f t="shared" si="9"/>
        <v>2021</v>
      </c>
      <c r="S24" s="224">
        <f>IFERROR(SUMIFS(SourceEnergy!$D$13:$D$271,SourceEnergy!$Q$13:$Q$271,S$12,$M$13:$M$271,$R24)/SUMIFS(SourceEnergy!$G$13:$G$271,SourceEnergy!$Q$13:$Q$271,S$12,$M$13:$M$271,$R24),0)</f>
        <v>0</v>
      </c>
      <c r="T24" s="224">
        <f>IFERROR(SUMIFS(SourceEnergy!$D$13:$D$271,SourceEnergy!$Q$13:$Q$271,T$12,$M$13:$M$271,$R24)/SUMIFS(SourceEnergy!$G$13:$G$271,SourceEnergy!$Q$13:$Q$271,T$12,$M$13:$M$271,$R24),0)</f>
        <v>0</v>
      </c>
      <c r="U24" s="224">
        <f>IFERROR(SUMIFS(SourceEnergy!$E$13:$E$271,SourceEnergy!$Q$13:$Q$271,U$12,$M$13:$M$271,$R24)/SUMIFS(SourceEnergy!$H$13:$H$271,SourceEnergy!$Q$13:$Q$271,U$12,$M$13:$M$271,$R24),0)</f>
        <v>0</v>
      </c>
      <c r="V24" s="224">
        <f>IFERROR(SUMIFS(SourceEnergy!$E$13:$E$271,SourceEnergy!$Q$13:$Q$271,V$12,$M$13:$M$271,$R24)/SUMIFS(SourceEnergy!$H$13:$H$271,SourceEnergy!$Q$13:$Q$271,V$12,$M$13:$M$271,$R24),0)</f>
        <v>0</v>
      </c>
    </row>
    <row r="25" spans="2:22" hidden="1" outlineLevel="1" x14ac:dyDescent="0.25">
      <c r="B25" s="190">
        <f t="shared" si="5"/>
        <v>43831</v>
      </c>
      <c r="C25" s="191">
        <f>'[1]Table 5'!E25*P25</f>
        <v>0</v>
      </c>
      <c r="D25" s="192" t="str">
        <f>IFERROR(G25*IF(AND(C25&lt;0,OR(Shape_Annually="No",AND(Shape_Annually="Yes",Shape_Start&gt;YEAR(B25)))),'MWH-Split'!T18,'MWH-Split'!S18)*'MWH-Split'!U18,"")</f>
        <v/>
      </c>
      <c r="E25" s="193" t="str">
        <f>IFERROR(H25*IF(AND(C25&lt;0,OR(Shape_Annually="No",AND(Shape_Annually="Yes",Shape_Start&gt;YEAR(B25)))),'MWH-Split'!S18,'MWH-Split'!T18)*'MWH-Split'!U18,"")</f>
        <v/>
      </c>
      <c r="F25" s="192">
        <f>'[1]Table 5'!F25*P25</f>
        <v>0</v>
      </c>
      <c r="G25" s="192" t="str">
        <f>IF('MWH-Split'!N18&lt;&gt;0,'MWH-Split'!N18*P25,"")</f>
        <v/>
      </c>
      <c r="H25" s="193" t="str">
        <f>IF('MWH-Split'!O18&lt;&gt;0,'MWH-Split'!O18*P25,"")</f>
        <v/>
      </c>
      <c r="I25" s="194" t="str">
        <f t="shared" si="3"/>
        <v/>
      </c>
      <c r="J25" s="194" t="e">
        <f t="shared" ref="J25:K39" si="12">MAX(ROUND(IF(ISNUMBER(G25),D25/G25,""),2),0)</f>
        <v>#VALUE!</v>
      </c>
      <c r="K25" s="195" t="e">
        <f t="shared" si="12"/>
        <v>#VALUE!</v>
      </c>
      <c r="M25" s="176">
        <f t="shared" si="6"/>
        <v>2020</v>
      </c>
      <c r="N25" s="177" t="str">
        <f>IF(ISNUMBER(F25),IF(F25&lt;&gt;0,B25,""),"")</f>
        <v/>
      </c>
      <c r="P25" s="196">
        <f>IF('Monthly Levelized'!$K$5+'Monthly Levelized'!$L$5&lt;&gt;0,IFERROR(VLOOKUP(B25,'Monthly Levelized'!$G$5:$I$25,3,FALSE),P24),1)</f>
        <v>1</v>
      </c>
      <c r="Q25" s="226" t="str">
        <f t="shared" si="8"/>
        <v>-</v>
      </c>
      <c r="R25" s="223">
        <f t="shared" si="9"/>
        <v>2022</v>
      </c>
      <c r="S25" s="224">
        <f>IFERROR(SUMIFS(SourceEnergy!$D$13:$D$271,SourceEnergy!$Q$13:$Q$271,S$12,$M$13:$M$271,$R25)/SUMIFS(SourceEnergy!$G$13:$G$271,SourceEnergy!$Q$13:$Q$271,S$12,$M$13:$M$271,$R25),0)</f>
        <v>0</v>
      </c>
      <c r="T25" s="224">
        <f>IFERROR(SUMIFS(SourceEnergy!$D$13:$D$271,SourceEnergy!$Q$13:$Q$271,T$12,$M$13:$M$271,$R25)/SUMIFS(SourceEnergy!$G$13:$G$271,SourceEnergy!$Q$13:$Q$271,T$12,$M$13:$M$271,$R25),0)</f>
        <v>0</v>
      </c>
      <c r="U25" s="224">
        <f>IFERROR(SUMIFS(SourceEnergy!$E$13:$E$271,SourceEnergy!$Q$13:$Q$271,U$12,$M$13:$M$271,$R25)/SUMIFS(SourceEnergy!$H$13:$H$271,SourceEnergy!$Q$13:$Q$271,U$12,$M$13:$M$271,$R25),0)</f>
        <v>0</v>
      </c>
      <c r="V25" s="224">
        <f>IFERROR(SUMIFS(SourceEnergy!$E$13:$E$271,SourceEnergy!$Q$13:$Q$271,V$12,$M$13:$M$271,$R25)/SUMIFS(SourceEnergy!$H$13:$H$271,SourceEnergy!$Q$13:$Q$271,V$12,$M$13:$M$271,$R25),0)</f>
        <v>0</v>
      </c>
    </row>
    <row r="26" spans="2:22" hidden="1" outlineLevel="1" x14ac:dyDescent="0.25">
      <c r="B26" s="177">
        <f t="shared" si="5"/>
        <v>43862</v>
      </c>
      <c r="C26" s="171">
        <f>'[1]Table 5'!E26*P26</f>
        <v>0</v>
      </c>
      <c r="D26" s="172" t="str">
        <f>IFERROR(G26*IF(AND(C26&lt;0,OR(Shape_Annually="No",AND(Shape_Annually="Yes",Shape_Start&gt;YEAR(B26)))),'MWH-Split'!T19,'MWH-Split'!S19)*'MWH-Split'!U19,"")</f>
        <v/>
      </c>
      <c r="E26" s="173" t="str">
        <f>IFERROR(H26*IF(AND(C26&lt;0,OR(Shape_Annually="No",AND(Shape_Annually="Yes",Shape_Start&gt;YEAR(B26)))),'MWH-Split'!S19,'MWH-Split'!T19)*'MWH-Split'!U19,"")</f>
        <v/>
      </c>
      <c r="F26" s="172">
        <f>'[1]Table 5'!F26*P26</f>
        <v>0</v>
      </c>
      <c r="G26" s="172" t="str">
        <f>IF('MWH-Split'!N19&lt;&gt;0,'MWH-Split'!N19*P26,"")</f>
        <v/>
      </c>
      <c r="H26" s="173" t="str">
        <f>IF('MWH-Split'!O19&lt;&gt;0,'MWH-Split'!O19*P26,"")</f>
        <v/>
      </c>
      <c r="I26" s="174" t="str">
        <f t="shared" si="3"/>
        <v/>
      </c>
      <c r="J26" s="174" t="e">
        <f t="shared" si="12"/>
        <v>#VALUE!</v>
      </c>
      <c r="K26" s="175" t="e">
        <f t="shared" si="12"/>
        <v>#VALUE!</v>
      </c>
      <c r="M26" s="180">
        <f t="shared" si="6"/>
        <v>2020</v>
      </c>
      <c r="N26" s="177" t="str">
        <f t="shared" ref="N26:N89" si="13">IF(ISNUMBER(F26),IF(F26&lt;&gt;0,B26,""),"")</f>
        <v/>
      </c>
      <c r="P26" s="178">
        <f>IF('Monthly Levelized'!$K$5+'Monthly Levelized'!$L$5&lt;&gt;0,IFERROR(VLOOKUP(B26,'Monthly Levelized'!$G$5:$I$25,3,FALSE),P25),1)</f>
        <v>1</v>
      </c>
      <c r="Q26" s="226" t="str">
        <f t="shared" si="8"/>
        <v>-</v>
      </c>
      <c r="R26" s="223">
        <f t="shared" si="9"/>
        <v>2023</v>
      </c>
      <c r="S26" s="224">
        <f>IFERROR(SUMIFS(SourceEnergy!$D$13:$D$271,SourceEnergy!$Q$13:$Q$271,S$12,$M$13:$M$271,$R26)/SUMIFS(SourceEnergy!$G$13:$G$271,SourceEnergy!$Q$13:$Q$271,S$12,$M$13:$M$271,$R26),0)</f>
        <v>0</v>
      </c>
      <c r="T26" s="224">
        <f>IFERROR(SUMIFS(SourceEnergy!$D$13:$D$271,SourceEnergy!$Q$13:$Q$271,T$12,$M$13:$M$271,$R26)/SUMIFS(SourceEnergy!$G$13:$G$271,SourceEnergy!$Q$13:$Q$271,T$12,$M$13:$M$271,$R26),0)</f>
        <v>0</v>
      </c>
      <c r="U26" s="224">
        <f>IFERROR(SUMIFS(SourceEnergy!$E$13:$E$271,SourceEnergy!$Q$13:$Q$271,U$12,$M$13:$M$271,$R26)/SUMIFS(SourceEnergy!$H$13:$H$271,SourceEnergy!$Q$13:$Q$271,U$12,$M$13:$M$271,$R26),0)</f>
        <v>0</v>
      </c>
      <c r="V26" s="224">
        <f>IFERROR(SUMIFS(SourceEnergy!$E$13:$E$271,SourceEnergy!$Q$13:$Q$271,V$12,$M$13:$M$271,$R26)/SUMIFS(SourceEnergy!$H$13:$H$271,SourceEnergy!$Q$13:$Q$271,V$12,$M$13:$M$271,$R26),0)</f>
        <v>0</v>
      </c>
    </row>
    <row r="27" spans="2:22" hidden="1" outlineLevel="1" x14ac:dyDescent="0.25">
      <c r="B27" s="177">
        <f t="shared" si="5"/>
        <v>43891</v>
      </c>
      <c r="C27" s="171">
        <f>'[1]Table 5'!E27*P27</f>
        <v>0</v>
      </c>
      <c r="D27" s="172" t="str">
        <f>IFERROR(G27*IF(AND(C27&lt;0,OR(Shape_Annually="No",AND(Shape_Annually="Yes",Shape_Start&gt;YEAR(B27)))),'MWH-Split'!T20,'MWH-Split'!S20)*'MWH-Split'!U20,"")</f>
        <v/>
      </c>
      <c r="E27" s="173" t="str">
        <f>IFERROR(H27*IF(AND(C27&lt;0,OR(Shape_Annually="No",AND(Shape_Annually="Yes",Shape_Start&gt;YEAR(B27)))),'MWH-Split'!S20,'MWH-Split'!T20)*'MWH-Split'!U20,"")</f>
        <v/>
      </c>
      <c r="F27" s="172">
        <f>'[1]Table 5'!F27*P27</f>
        <v>0</v>
      </c>
      <c r="G27" s="172" t="str">
        <f>IF('MWH-Split'!N20&lt;&gt;0,'MWH-Split'!N20*P27,"")</f>
        <v/>
      </c>
      <c r="H27" s="173" t="str">
        <f>IF('MWH-Split'!O20&lt;&gt;0,'MWH-Split'!O20*P27,"")</f>
        <v/>
      </c>
      <c r="I27" s="174" t="str">
        <f t="shared" si="3"/>
        <v/>
      </c>
      <c r="J27" s="174" t="e">
        <f t="shared" si="12"/>
        <v>#VALUE!</v>
      </c>
      <c r="K27" s="175" t="e">
        <f t="shared" si="12"/>
        <v>#VALUE!</v>
      </c>
      <c r="M27" s="180">
        <f t="shared" si="6"/>
        <v>2020</v>
      </c>
      <c r="N27" s="177" t="str">
        <f t="shared" si="13"/>
        <v/>
      </c>
      <c r="P27" s="178">
        <f>IF('Monthly Levelized'!$K$5+'Monthly Levelized'!$L$5&lt;&gt;0,IFERROR(VLOOKUP(B27,'Monthly Levelized'!$G$5:$I$25,3,FALSE),P26),1)</f>
        <v>1</v>
      </c>
      <c r="Q27" s="226" t="str">
        <f t="shared" si="8"/>
        <v>-</v>
      </c>
      <c r="R27" s="223">
        <f t="shared" si="9"/>
        <v>2024</v>
      </c>
      <c r="S27" s="224">
        <f>IFERROR(SUMIFS(SourceEnergy!$D$13:$D$271,SourceEnergy!$Q$13:$Q$271,S$12,$M$13:$M$271,$R27)/SUMIFS(SourceEnergy!$G$13:$G$271,SourceEnergy!$Q$13:$Q$271,S$12,$M$13:$M$271,$R27),0)</f>
        <v>0</v>
      </c>
      <c r="T27" s="224">
        <f>IFERROR(SUMIFS(SourceEnergy!$D$13:$D$271,SourceEnergy!$Q$13:$Q$271,T$12,$M$13:$M$271,$R27)/SUMIFS(SourceEnergy!$G$13:$G$271,SourceEnergy!$Q$13:$Q$271,T$12,$M$13:$M$271,$R27),0)</f>
        <v>0</v>
      </c>
      <c r="U27" s="224">
        <f>IFERROR(SUMIFS(SourceEnergy!$E$13:$E$271,SourceEnergy!$Q$13:$Q$271,U$12,$M$13:$M$271,$R27)/SUMIFS(SourceEnergy!$H$13:$H$271,SourceEnergy!$Q$13:$Q$271,U$12,$M$13:$M$271,$R27),0)</f>
        <v>0</v>
      </c>
      <c r="V27" s="224">
        <f>IFERROR(SUMIFS(SourceEnergy!$E$13:$E$271,SourceEnergy!$Q$13:$Q$271,V$12,$M$13:$M$271,$R27)/SUMIFS(SourceEnergy!$H$13:$H$271,SourceEnergy!$Q$13:$Q$271,V$12,$M$13:$M$271,$R27),0)</f>
        <v>0</v>
      </c>
    </row>
    <row r="28" spans="2:22" hidden="1" outlineLevel="1" x14ac:dyDescent="0.25">
      <c r="B28" s="177">
        <f t="shared" si="5"/>
        <v>43922</v>
      </c>
      <c r="C28" s="171">
        <f>'[1]Table 5'!E28*P28</f>
        <v>0</v>
      </c>
      <c r="D28" s="172" t="str">
        <f>IFERROR(G28*IF(AND(C28&lt;0,OR(Shape_Annually="No",AND(Shape_Annually="Yes",Shape_Start&gt;YEAR(B28)))),'MWH-Split'!T21,'MWH-Split'!S21)*'MWH-Split'!U21,"")</f>
        <v/>
      </c>
      <c r="E28" s="173" t="str">
        <f>IFERROR(H28*IF(AND(C28&lt;0,OR(Shape_Annually="No",AND(Shape_Annually="Yes",Shape_Start&gt;YEAR(B28)))),'MWH-Split'!S21,'MWH-Split'!T21)*'MWH-Split'!U21,"")</f>
        <v/>
      </c>
      <c r="F28" s="172">
        <f>'[1]Table 5'!F28*P28</f>
        <v>0</v>
      </c>
      <c r="G28" s="172" t="str">
        <f>IF('MWH-Split'!N21&lt;&gt;0,'MWH-Split'!N21*P28,"")</f>
        <v/>
      </c>
      <c r="H28" s="173" t="str">
        <f>IF('MWH-Split'!O21&lt;&gt;0,'MWH-Split'!O21*P28,"")</f>
        <v/>
      </c>
      <c r="I28" s="174" t="str">
        <f t="shared" si="3"/>
        <v/>
      </c>
      <c r="J28" s="174" t="e">
        <f t="shared" si="12"/>
        <v>#VALUE!</v>
      </c>
      <c r="K28" s="175" t="e">
        <f t="shared" si="12"/>
        <v>#VALUE!</v>
      </c>
      <c r="M28" s="180">
        <f t="shared" si="6"/>
        <v>2020</v>
      </c>
      <c r="N28" s="177" t="str">
        <f t="shared" si="13"/>
        <v/>
      </c>
      <c r="P28" s="178">
        <f>IF('Monthly Levelized'!$K$5+'Monthly Levelized'!$L$5&lt;&gt;0,IFERROR(VLOOKUP(B28,'Monthly Levelized'!$G$5:$I$25,3,FALSE),P27),1)</f>
        <v>1</v>
      </c>
      <c r="Q28" s="226" t="str">
        <f t="shared" si="8"/>
        <v>-</v>
      </c>
      <c r="R28" s="223">
        <f t="shared" si="9"/>
        <v>2025</v>
      </c>
      <c r="S28" s="224">
        <f>IFERROR(SUMIFS(SourceEnergy!$D$13:$D$271,SourceEnergy!$Q$13:$Q$271,S$12,$M$13:$M$271,$R28)/SUMIFS(SourceEnergy!$G$13:$G$271,SourceEnergy!$Q$13:$Q$271,S$12,$M$13:$M$271,$R28),0)</f>
        <v>0</v>
      </c>
      <c r="T28" s="224">
        <f>IFERROR(SUMIFS(SourceEnergy!$D$13:$D$271,SourceEnergy!$Q$13:$Q$271,T$12,$M$13:$M$271,$R28)/SUMIFS(SourceEnergy!$G$13:$G$271,SourceEnergy!$Q$13:$Q$271,T$12,$M$13:$M$271,$R28),0)</f>
        <v>0</v>
      </c>
      <c r="U28" s="224">
        <f>IFERROR(SUMIFS(SourceEnergy!$E$13:$E$271,SourceEnergy!$Q$13:$Q$271,U$12,$M$13:$M$271,$R28)/SUMIFS(SourceEnergy!$H$13:$H$271,SourceEnergy!$Q$13:$Q$271,U$12,$M$13:$M$271,$R28),0)</f>
        <v>0</v>
      </c>
      <c r="V28" s="224">
        <f>IFERROR(SUMIFS(SourceEnergy!$E$13:$E$271,SourceEnergy!$Q$13:$Q$271,V$12,$M$13:$M$271,$R28)/SUMIFS(SourceEnergy!$H$13:$H$271,SourceEnergy!$Q$13:$Q$271,V$12,$M$13:$M$271,$R28),0)</f>
        <v>0</v>
      </c>
    </row>
    <row r="29" spans="2:22" hidden="1" outlineLevel="1" x14ac:dyDescent="0.25">
      <c r="B29" s="177">
        <f t="shared" si="5"/>
        <v>43952</v>
      </c>
      <c r="C29" s="171">
        <f>'[1]Table 5'!E29*P29</f>
        <v>0</v>
      </c>
      <c r="D29" s="172" t="str">
        <f>IFERROR(G29*IF(AND(C29&lt;0,OR(Shape_Annually="No",AND(Shape_Annually="Yes",Shape_Start&gt;YEAR(B29)))),'MWH-Split'!T22,'MWH-Split'!S22)*'MWH-Split'!U22,"")</f>
        <v/>
      </c>
      <c r="E29" s="173" t="str">
        <f>IFERROR(H29*IF(AND(C29&lt;0,OR(Shape_Annually="No",AND(Shape_Annually="Yes",Shape_Start&gt;YEAR(B29)))),'MWH-Split'!S22,'MWH-Split'!T22)*'MWH-Split'!U22,"")</f>
        <v/>
      </c>
      <c r="F29" s="172">
        <f>'[1]Table 5'!F29*P29</f>
        <v>0</v>
      </c>
      <c r="G29" s="172" t="str">
        <f>IF('MWH-Split'!N22&lt;&gt;0,'MWH-Split'!N22*P29,"")</f>
        <v/>
      </c>
      <c r="H29" s="173" t="str">
        <f>IF('MWH-Split'!O22&lt;&gt;0,'MWH-Split'!O22*P29,"")</f>
        <v/>
      </c>
      <c r="I29" s="174" t="str">
        <f t="shared" si="3"/>
        <v/>
      </c>
      <c r="J29" s="174" t="e">
        <f t="shared" si="12"/>
        <v>#VALUE!</v>
      </c>
      <c r="K29" s="175" t="e">
        <f t="shared" si="12"/>
        <v>#VALUE!</v>
      </c>
      <c r="M29" s="180">
        <f t="shared" si="6"/>
        <v>2020</v>
      </c>
      <c r="N29" s="177" t="str">
        <f t="shared" si="13"/>
        <v/>
      </c>
      <c r="P29" s="178">
        <f>IF('Monthly Levelized'!$K$5+'Monthly Levelized'!$L$5&lt;&gt;0,IFERROR(VLOOKUP(B29,'Monthly Levelized'!$G$5:$I$25,3,FALSE),P28),1)</f>
        <v>1</v>
      </c>
      <c r="Q29" s="226" t="str">
        <f t="shared" si="8"/>
        <v>-</v>
      </c>
      <c r="R29" s="223">
        <f t="shared" si="9"/>
        <v>2026</v>
      </c>
      <c r="S29" s="224">
        <f>IFERROR(SUMIFS(SourceEnergy!$D$13:$D$271,SourceEnergy!$Q$13:$Q$271,S$12,$M$13:$M$271,$R29)/SUMIFS(SourceEnergy!$G$13:$G$271,SourceEnergy!$Q$13:$Q$271,S$12,$M$13:$M$271,$R29),0)</f>
        <v>0</v>
      </c>
      <c r="T29" s="224">
        <f>IFERROR(SUMIFS(SourceEnergy!$D$13:$D$271,SourceEnergy!$Q$13:$Q$271,T$12,$M$13:$M$271,$R29)/SUMIFS(SourceEnergy!$G$13:$G$271,SourceEnergy!$Q$13:$Q$271,T$12,$M$13:$M$271,$R29),0)</f>
        <v>0</v>
      </c>
      <c r="U29" s="224">
        <f>IFERROR(SUMIFS(SourceEnergy!$E$13:$E$271,SourceEnergy!$Q$13:$Q$271,U$12,$M$13:$M$271,$R29)/SUMIFS(SourceEnergy!$H$13:$H$271,SourceEnergy!$Q$13:$Q$271,U$12,$M$13:$M$271,$R29),0)</f>
        <v>0</v>
      </c>
      <c r="V29" s="224">
        <f>IFERROR(SUMIFS(SourceEnergy!$E$13:$E$271,SourceEnergy!$Q$13:$Q$271,V$12,$M$13:$M$271,$R29)/SUMIFS(SourceEnergy!$H$13:$H$271,SourceEnergy!$Q$13:$Q$271,V$12,$M$13:$M$271,$R29),0)</f>
        <v>0</v>
      </c>
    </row>
    <row r="30" spans="2:22" hidden="1" outlineLevel="1" x14ac:dyDescent="0.25">
      <c r="B30" s="177">
        <f t="shared" si="5"/>
        <v>43983</v>
      </c>
      <c r="C30" s="171">
        <f>'[1]Table 5'!E30*P30</f>
        <v>0</v>
      </c>
      <c r="D30" s="172" t="str">
        <f>IFERROR(G30*IF(AND(C30&lt;0,OR(Shape_Annually="No",AND(Shape_Annually="Yes",Shape_Start&gt;YEAR(B30)))),'MWH-Split'!T23,'MWH-Split'!S23)*'MWH-Split'!U23,"")</f>
        <v/>
      </c>
      <c r="E30" s="173" t="str">
        <f>IFERROR(H30*IF(AND(C30&lt;0,OR(Shape_Annually="No",AND(Shape_Annually="Yes",Shape_Start&gt;YEAR(B30)))),'MWH-Split'!S23,'MWH-Split'!T23)*'MWH-Split'!U23,"")</f>
        <v/>
      </c>
      <c r="F30" s="172">
        <f>'[1]Table 5'!F30*P30</f>
        <v>0</v>
      </c>
      <c r="G30" s="172" t="str">
        <f>IF('MWH-Split'!N23&lt;&gt;0,'MWH-Split'!N23*P30,"")</f>
        <v/>
      </c>
      <c r="H30" s="173" t="str">
        <f>IF('MWH-Split'!O23&lt;&gt;0,'MWH-Split'!O23*P30,"")</f>
        <v/>
      </c>
      <c r="I30" s="174" t="str">
        <f t="shared" si="3"/>
        <v/>
      </c>
      <c r="J30" s="174" t="e">
        <f t="shared" si="12"/>
        <v>#VALUE!</v>
      </c>
      <c r="K30" s="175" t="e">
        <f t="shared" si="12"/>
        <v>#VALUE!</v>
      </c>
      <c r="M30" s="180">
        <f t="shared" si="6"/>
        <v>2020</v>
      </c>
      <c r="N30" s="177" t="str">
        <f t="shared" si="13"/>
        <v/>
      </c>
      <c r="P30" s="178">
        <f>IF('Monthly Levelized'!$K$5+'Monthly Levelized'!$L$5&lt;&gt;0,IFERROR(VLOOKUP(B30,'Monthly Levelized'!$G$5:$I$25,3,FALSE),P29),1)</f>
        <v>1</v>
      </c>
      <c r="Q30" s="226" t="str">
        <f t="shared" si="8"/>
        <v>-</v>
      </c>
      <c r="R30" s="223">
        <f t="shared" si="9"/>
        <v>2027</v>
      </c>
      <c r="S30" s="224">
        <f>IFERROR(SUMIFS(SourceEnergy!$D$13:$D$271,SourceEnergy!$Q$13:$Q$271,S$12,$M$13:$M$271,$R30)/SUMIFS(SourceEnergy!$G$13:$G$271,SourceEnergy!$Q$13:$Q$271,S$12,$M$13:$M$271,$R30),0)</f>
        <v>0</v>
      </c>
      <c r="T30" s="224">
        <f>IFERROR(SUMIFS(SourceEnergy!$D$13:$D$271,SourceEnergy!$Q$13:$Q$271,T$12,$M$13:$M$271,$R30)/SUMIFS(SourceEnergy!$G$13:$G$271,SourceEnergy!$Q$13:$Q$271,T$12,$M$13:$M$271,$R30),0)</f>
        <v>0</v>
      </c>
      <c r="U30" s="224">
        <f>IFERROR(SUMIFS(SourceEnergy!$E$13:$E$271,SourceEnergy!$Q$13:$Q$271,U$12,$M$13:$M$271,$R30)/SUMIFS(SourceEnergy!$H$13:$H$271,SourceEnergy!$Q$13:$Q$271,U$12,$M$13:$M$271,$R30),0)</f>
        <v>0</v>
      </c>
      <c r="V30" s="224">
        <f>IFERROR(SUMIFS(SourceEnergy!$E$13:$E$271,SourceEnergy!$Q$13:$Q$271,V$12,$M$13:$M$271,$R30)/SUMIFS(SourceEnergy!$H$13:$H$271,SourceEnergy!$Q$13:$Q$271,V$12,$M$13:$M$271,$R30),0)</f>
        <v>0</v>
      </c>
    </row>
    <row r="31" spans="2:22" hidden="1" outlineLevel="1" x14ac:dyDescent="0.25">
      <c r="B31" s="177">
        <f t="shared" si="5"/>
        <v>44013</v>
      </c>
      <c r="C31" s="171">
        <f>'[1]Table 5'!E31*P31</f>
        <v>0</v>
      </c>
      <c r="D31" s="172" t="str">
        <f>IFERROR(G31*IF(AND(C31&lt;0,OR(Shape_Annually="No",AND(Shape_Annually="Yes",Shape_Start&gt;YEAR(B31)))),'MWH-Split'!T24,'MWH-Split'!S24)*'MWH-Split'!U24,"")</f>
        <v/>
      </c>
      <c r="E31" s="173" t="str">
        <f>IFERROR(H31*IF(AND(C31&lt;0,OR(Shape_Annually="No",AND(Shape_Annually="Yes",Shape_Start&gt;YEAR(B31)))),'MWH-Split'!S24,'MWH-Split'!T24)*'MWH-Split'!U24,"")</f>
        <v/>
      </c>
      <c r="F31" s="172">
        <f>'[1]Table 5'!F31*P31</f>
        <v>0</v>
      </c>
      <c r="G31" s="172" t="str">
        <f>IF('MWH-Split'!N24&lt;&gt;0,'MWH-Split'!N24*P31,"")</f>
        <v/>
      </c>
      <c r="H31" s="173" t="str">
        <f>IF('MWH-Split'!O24&lt;&gt;0,'MWH-Split'!O24*P31,"")</f>
        <v/>
      </c>
      <c r="I31" s="174" t="str">
        <f t="shared" si="3"/>
        <v/>
      </c>
      <c r="J31" s="174" t="e">
        <f t="shared" si="12"/>
        <v>#VALUE!</v>
      </c>
      <c r="K31" s="175" t="e">
        <f t="shared" si="12"/>
        <v>#VALUE!</v>
      </c>
      <c r="M31" s="180">
        <f t="shared" si="6"/>
        <v>2020</v>
      </c>
      <c r="N31" s="177" t="str">
        <f t="shared" si="13"/>
        <v/>
      </c>
      <c r="P31" s="178">
        <f>IF('Monthly Levelized'!$K$5+'Monthly Levelized'!$L$5&lt;&gt;0,IFERROR(VLOOKUP(B31,'Monthly Levelized'!$G$5:$I$25,3,FALSE),P30),1)</f>
        <v>1</v>
      </c>
      <c r="Q31" s="226" t="str">
        <f t="shared" si="8"/>
        <v>-</v>
      </c>
      <c r="R31" s="223">
        <f t="shared" si="9"/>
        <v>2028</v>
      </c>
      <c r="S31" s="224">
        <f>IFERROR(SUMIFS(SourceEnergy!$D$13:$D$271,SourceEnergy!$Q$13:$Q$271,S$12,$M$13:$M$271,$R31)/SUMIFS(SourceEnergy!$G$13:$G$271,SourceEnergy!$Q$13:$Q$271,S$12,$M$13:$M$271,$R31),0)</f>
        <v>0</v>
      </c>
      <c r="T31" s="224">
        <f>IFERROR(SUMIFS(SourceEnergy!$D$13:$D$271,SourceEnergy!$Q$13:$Q$271,T$12,$M$13:$M$271,$R31)/SUMIFS(SourceEnergy!$G$13:$G$271,SourceEnergy!$Q$13:$Q$271,T$12,$M$13:$M$271,$R31),0)</f>
        <v>0</v>
      </c>
      <c r="U31" s="224">
        <f>IFERROR(SUMIFS(SourceEnergy!$E$13:$E$271,SourceEnergy!$Q$13:$Q$271,U$12,$M$13:$M$271,$R31)/SUMIFS(SourceEnergy!$H$13:$H$271,SourceEnergy!$Q$13:$Q$271,U$12,$M$13:$M$271,$R31),0)</f>
        <v>0</v>
      </c>
      <c r="V31" s="224">
        <f>IFERROR(SUMIFS(SourceEnergy!$E$13:$E$271,SourceEnergy!$Q$13:$Q$271,V$12,$M$13:$M$271,$R31)/SUMIFS(SourceEnergy!$H$13:$H$271,SourceEnergy!$Q$13:$Q$271,V$12,$M$13:$M$271,$R31),0)</f>
        <v>0</v>
      </c>
    </row>
    <row r="32" spans="2:22" hidden="1" outlineLevel="1" x14ac:dyDescent="0.25">
      <c r="B32" s="177">
        <f t="shared" si="5"/>
        <v>44044</v>
      </c>
      <c r="C32" s="171">
        <f>'[1]Table 5'!E32*P32</f>
        <v>0</v>
      </c>
      <c r="D32" s="172" t="str">
        <f>IFERROR(G32*IF(AND(C32&lt;0,OR(Shape_Annually="No",AND(Shape_Annually="Yes",Shape_Start&gt;YEAR(B32)))),'MWH-Split'!T25,'MWH-Split'!S25)*'MWH-Split'!U25,"")</f>
        <v/>
      </c>
      <c r="E32" s="173" t="str">
        <f>IFERROR(H32*IF(AND(C32&lt;0,OR(Shape_Annually="No",AND(Shape_Annually="Yes",Shape_Start&gt;YEAR(B32)))),'MWH-Split'!S25,'MWH-Split'!T25)*'MWH-Split'!U25,"")</f>
        <v/>
      </c>
      <c r="F32" s="172">
        <f>'[1]Table 5'!F32*P32</f>
        <v>0</v>
      </c>
      <c r="G32" s="172" t="str">
        <f>IF('MWH-Split'!N25&lt;&gt;0,'MWH-Split'!N25*P32,"")</f>
        <v/>
      </c>
      <c r="H32" s="173" t="str">
        <f>IF('MWH-Split'!O25&lt;&gt;0,'MWH-Split'!O25*P32,"")</f>
        <v/>
      </c>
      <c r="I32" s="174" t="str">
        <f t="shared" si="3"/>
        <v/>
      </c>
      <c r="J32" s="174" t="e">
        <f t="shared" si="12"/>
        <v>#VALUE!</v>
      </c>
      <c r="K32" s="175" t="e">
        <f t="shared" si="12"/>
        <v>#VALUE!</v>
      </c>
      <c r="M32" s="180">
        <f t="shared" si="6"/>
        <v>2020</v>
      </c>
      <c r="N32" s="177" t="str">
        <f t="shared" si="13"/>
        <v/>
      </c>
      <c r="P32" s="178">
        <f>IF('Monthly Levelized'!$K$5+'Monthly Levelized'!$L$5&lt;&gt;0,IFERROR(VLOOKUP(B32,'Monthly Levelized'!$G$5:$I$25,3,FALSE),P31),1)</f>
        <v>1</v>
      </c>
      <c r="Q32" s="226" t="str">
        <f t="shared" si="8"/>
        <v>-</v>
      </c>
      <c r="R32" s="223">
        <f t="shared" si="9"/>
        <v>2029</v>
      </c>
      <c r="S32" s="224">
        <f>IFERROR(SUMIFS(SourceEnergy!$D$13:$D$271,SourceEnergy!$Q$13:$Q$271,S$12,$M$13:$M$271,$R32)/SUMIFS(SourceEnergy!$G$13:$G$271,SourceEnergy!$Q$13:$Q$271,S$12,$M$13:$M$271,$R32),0)</f>
        <v>0</v>
      </c>
      <c r="T32" s="224">
        <f>IFERROR(SUMIFS(SourceEnergy!$D$13:$D$271,SourceEnergy!$Q$13:$Q$271,T$12,$M$13:$M$271,$R32)/SUMIFS(SourceEnergy!$G$13:$G$271,SourceEnergy!$Q$13:$Q$271,T$12,$M$13:$M$271,$R32),0)</f>
        <v>0</v>
      </c>
      <c r="U32" s="224">
        <f>IFERROR(SUMIFS(SourceEnergy!$E$13:$E$271,SourceEnergy!$Q$13:$Q$271,U$12,$M$13:$M$271,$R32)/SUMIFS(SourceEnergy!$H$13:$H$271,SourceEnergy!$Q$13:$Q$271,U$12,$M$13:$M$271,$R32),0)</f>
        <v>0</v>
      </c>
      <c r="V32" s="224">
        <f>IFERROR(SUMIFS(SourceEnergy!$E$13:$E$271,SourceEnergy!$Q$13:$Q$271,V$12,$M$13:$M$271,$R32)/SUMIFS(SourceEnergy!$H$13:$H$271,SourceEnergy!$Q$13:$Q$271,V$12,$M$13:$M$271,$R32),0)</f>
        <v>0</v>
      </c>
    </row>
    <row r="33" spans="2:22" hidden="1" outlineLevel="1" x14ac:dyDescent="0.25">
      <c r="B33" s="177">
        <f t="shared" si="5"/>
        <v>44075</v>
      </c>
      <c r="C33" s="171">
        <f>'[1]Table 5'!E33*P33</f>
        <v>0</v>
      </c>
      <c r="D33" s="172" t="str">
        <f>IFERROR(G33*IF(AND(C33&lt;0,OR(Shape_Annually="No",AND(Shape_Annually="Yes",Shape_Start&gt;YEAR(B33)))),'MWH-Split'!T26,'MWH-Split'!S26)*'MWH-Split'!U26,"")</f>
        <v/>
      </c>
      <c r="E33" s="173" t="str">
        <f>IFERROR(H33*IF(AND(C33&lt;0,OR(Shape_Annually="No",AND(Shape_Annually="Yes",Shape_Start&gt;YEAR(B33)))),'MWH-Split'!S26,'MWH-Split'!T26)*'MWH-Split'!U26,"")</f>
        <v/>
      </c>
      <c r="F33" s="172">
        <f>'[1]Table 5'!F33*P33</f>
        <v>0</v>
      </c>
      <c r="G33" s="172" t="str">
        <f>IF('MWH-Split'!N26&lt;&gt;0,'MWH-Split'!N26*P33,"")</f>
        <v/>
      </c>
      <c r="H33" s="173" t="str">
        <f>IF('MWH-Split'!O26&lt;&gt;0,'MWH-Split'!O26*P33,"")</f>
        <v/>
      </c>
      <c r="I33" s="174" t="str">
        <f t="shared" si="3"/>
        <v/>
      </c>
      <c r="J33" s="174" t="e">
        <f t="shared" si="12"/>
        <v>#VALUE!</v>
      </c>
      <c r="K33" s="175" t="e">
        <f t="shared" si="12"/>
        <v>#VALUE!</v>
      </c>
      <c r="M33" s="180">
        <f t="shared" si="6"/>
        <v>2020</v>
      </c>
      <c r="N33" s="177" t="str">
        <f t="shared" si="13"/>
        <v/>
      </c>
      <c r="P33" s="178">
        <f>IF('Monthly Levelized'!$K$5+'Monthly Levelized'!$L$5&lt;&gt;0,IFERROR(VLOOKUP(B33,'Monthly Levelized'!$G$5:$I$25,3,FALSE),P32),1)</f>
        <v>1</v>
      </c>
      <c r="Q33" s="226" t="str">
        <f t="shared" si="8"/>
        <v>-</v>
      </c>
      <c r="R33" s="223">
        <f t="shared" si="9"/>
        <v>2030</v>
      </c>
      <c r="S33" s="224">
        <f>IFERROR(SUMIFS(SourceEnergy!$D$13:$D$271,SourceEnergy!$Q$13:$Q$271,S$12,$M$13:$M$271,$R33)/SUMIFS(SourceEnergy!$G$13:$G$271,SourceEnergy!$Q$13:$Q$271,S$12,$M$13:$M$271,$R33),0)</f>
        <v>0</v>
      </c>
      <c r="T33" s="224">
        <f>IFERROR(SUMIFS(SourceEnergy!$D$13:$D$271,SourceEnergy!$Q$13:$Q$271,T$12,$M$13:$M$271,$R33)/SUMIFS(SourceEnergy!$G$13:$G$271,SourceEnergy!$Q$13:$Q$271,T$12,$M$13:$M$271,$R33),0)</f>
        <v>0</v>
      </c>
      <c r="U33" s="224">
        <f>IFERROR(SUMIFS(SourceEnergy!$E$13:$E$271,SourceEnergy!$Q$13:$Q$271,U$12,$M$13:$M$271,$R33)/SUMIFS(SourceEnergy!$H$13:$H$271,SourceEnergy!$Q$13:$Q$271,U$12,$M$13:$M$271,$R33),0)</f>
        <v>0</v>
      </c>
      <c r="V33" s="224">
        <f>IFERROR(SUMIFS(SourceEnergy!$E$13:$E$271,SourceEnergy!$Q$13:$Q$271,V$12,$M$13:$M$271,$R33)/SUMIFS(SourceEnergy!$H$13:$H$271,SourceEnergy!$Q$13:$Q$271,V$12,$M$13:$M$271,$R33),0)</f>
        <v>0</v>
      </c>
    </row>
    <row r="34" spans="2:22" hidden="1" outlineLevel="1" x14ac:dyDescent="0.25">
      <c r="B34" s="177">
        <f t="shared" si="5"/>
        <v>44105</v>
      </c>
      <c r="C34" s="171">
        <f>'[1]Table 5'!E34*P34</f>
        <v>0</v>
      </c>
      <c r="D34" s="172" t="str">
        <f>IFERROR(G34*IF(AND(C34&lt;0,OR(Shape_Annually="No",AND(Shape_Annually="Yes",Shape_Start&gt;YEAR(B34)))),'MWH-Split'!T27,'MWH-Split'!S27)*'MWH-Split'!U27,"")</f>
        <v/>
      </c>
      <c r="E34" s="173" t="str">
        <f>IFERROR(H34*IF(AND(C34&lt;0,OR(Shape_Annually="No",AND(Shape_Annually="Yes",Shape_Start&gt;YEAR(B34)))),'MWH-Split'!S27,'MWH-Split'!T27)*'MWH-Split'!U27,"")</f>
        <v/>
      </c>
      <c r="F34" s="172">
        <f>'[1]Table 5'!F34*P34</f>
        <v>0</v>
      </c>
      <c r="G34" s="172" t="str">
        <f>IF('MWH-Split'!N27&lt;&gt;0,'MWH-Split'!N27*P34,"")</f>
        <v/>
      </c>
      <c r="H34" s="173" t="str">
        <f>IF('MWH-Split'!O27&lt;&gt;0,'MWH-Split'!O27*P34,"")</f>
        <v/>
      </c>
      <c r="I34" s="174" t="str">
        <f t="shared" si="3"/>
        <v/>
      </c>
      <c r="J34" s="174" t="e">
        <f t="shared" si="12"/>
        <v>#VALUE!</v>
      </c>
      <c r="K34" s="175" t="e">
        <f t="shared" si="12"/>
        <v>#VALUE!</v>
      </c>
      <c r="M34" s="180">
        <f t="shared" si="6"/>
        <v>2020</v>
      </c>
      <c r="N34" s="177" t="str">
        <f t="shared" si="13"/>
        <v/>
      </c>
      <c r="P34" s="178">
        <f>IF('Monthly Levelized'!$K$5+'Monthly Levelized'!$L$5&lt;&gt;0,IFERROR(VLOOKUP(B34,'Monthly Levelized'!$G$5:$I$25,3,FALSE),P33),1)</f>
        <v>1</v>
      </c>
      <c r="Q34" s="226" t="str">
        <f t="shared" si="8"/>
        <v>-</v>
      </c>
      <c r="R34" s="223">
        <f t="shared" si="9"/>
        <v>2031</v>
      </c>
      <c r="S34" s="224">
        <f>IFERROR(SUMIFS(SourceEnergy!$D$13:$D$271,SourceEnergy!$Q$13:$Q$271,S$12,$M$13:$M$271,$R34)/SUMIFS(SourceEnergy!$G$13:$G$271,SourceEnergy!$Q$13:$Q$271,S$12,$M$13:$M$271,$R34),0)</f>
        <v>0</v>
      </c>
      <c r="T34" s="224">
        <f>IFERROR(SUMIFS(SourceEnergy!$D$13:$D$271,SourceEnergy!$Q$13:$Q$271,T$12,$M$13:$M$271,$R34)/SUMIFS(SourceEnergy!$G$13:$G$271,SourceEnergy!$Q$13:$Q$271,T$12,$M$13:$M$271,$R34),0)</f>
        <v>0</v>
      </c>
      <c r="U34" s="224">
        <f>IFERROR(SUMIFS(SourceEnergy!$E$13:$E$271,SourceEnergy!$Q$13:$Q$271,U$12,$M$13:$M$271,$R34)/SUMIFS(SourceEnergy!$H$13:$H$271,SourceEnergy!$Q$13:$Q$271,U$12,$M$13:$M$271,$R34),0)</f>
        <v>0</v>
      </c>
      <c r="V34" s="224">
        <f>IFERROR(SUMIFS(SourceEnergy!$E$13:$E$271,SourceEnergy!$Q$13:$Q$271,V$12,$M$13:$M$271,$R34)/SUMIFS(SourceEnergy!$H$13:$H$271,SourceEnergy!$Q$13:$Q$271,V$12,$M$13:$M$271,$R34),0)</f>
        <v>0</v>
      </c>
    </row>
    <row r="35" spans="2:22" hidden="1" outlineLevel="1" x14ac:dyDescent="0.25">
      <c r="B35" s="177">
        <f t="shared" si="5"/>
        <v>44136</v>
      </c>
      <c r="C35" s="171">
        <f>'[1]Table 5'!E35*P35</f>
        <v>0</v>
      </c>
      <c r="D35" s="172" t="str">
        <f>IFERROR(G35*IF(AND(C35&lt;0,OR(Shape_Annually="No",AND(Shape_Annually="Yes",Shape_Start&gt;YEAR(B35)))),'MWH-Split'!T28,'MWH-Split'!S28)*'MWH-Split'!U28,"")</f>
        <v/>
      </c>
      <c r="E35" s="173" t="str">
        <f>IFERROR(H35*IF(AND(C35&lt;0,OR(Shape_Annually="No",AND(Shape_Annually="Yes",Shape_Start&gt;YEAR(B35)))),'MWH-Split'!S28,'MWH-Split'!T28)*'MWH-Split'!U28,"")</f>
        <v/>
      </c>
      <c r="F35" s="172">
        <f>'[1]Table 5'!F35*P35</f>
        <v>0</v>
      </c>
      <c r="G35" s="172" t="str">
        <f>IF('MWH-Split'!N28&lt;&gt;0,'MWH-Split'!N28*P35,"")</f>
        <v/>
      </c>
      <c r="H35" s="173" t="str">
        <f>IF('MWH-Split'!O28&lt;&gt;0,'MWH-Split'!O28*P35,"")</f>
        <v/>
      </c>
      <c r="I35" s="174" t="str">
        <f t="shared" si="3"/>
        <v/>
      </c>
      <c r="J35" s="174" t="e">
        <f t="shared" si="12"/>
        <v>#VALUE!</v>
      </c>
      <c r="K35" s="175" t="e">
        <f t="shared" si="12"/>
        <v>#VALUE!</v>
      </c>
      <c r="M35" s="180">
        <f t="shared" si="6"/>
        <v>2020</v>
      </c>
      <c r="N35" s="177" t="str">
        <f t="shared" si="13"/>
        <v/>
      </c>
      <c r="P35" s="178">
        <f>IF('Monthly Levelized'!$K$5+'Monthly Levelized'!$L$5&lt;&gt;0,IFERROR(VLOOKUP(B35,'Monthly Levelized'!$G$5:$I$25,3,FALSE),P34),1)</f>
        <v>1</v>
      </c>
      <c r="Q35" s="226" t="str">
        <f t="shared" si="8"/>
        <v>-</v>
      </c>
      <c r="R35" s="223">
        <f t="shared" si="9"/>
        <v>2032</v>
      </c>
      <c r="S35" s="224">
        <f>IFERROR(SUMIFS(SourceEnergy!$D$13:$D$271,SourceEnergy!$Q$13:$Q$271,S$12,$M$13:$M$271,$R35)/SUMIFS(SourceEnergy!$G$13:$G$271,SourceEnergy!$Q$13:$Q$271,S$12,$M$13:$M$271,$R35),0)</f>
        <v>0</v>
      </c>
      <c r="T35" s="224">
        <f>IFERROR(SUMIFS(SourceEnergy!$D$13:$D$271,SourceEnergy!$Q$13:$Q$271,T$12,$M$13:$M$271,$R35)/SUMIFS(SourceEnergy!$G$13:$G$271,SourceEnergy!$Q$13:$Q$271,T$12,$M$13:$M$271,$R35),0)</f>
        <v>0</v>
      </c>
      <c r="U35" s="224">
        <f>IFERROR(SUMIFS(SourceEnergy!$E$13:$E$271,SourceEnergy!$Q$13:$Q$271,U$12,$M$13:$M$271,$R35)/SUMIFS(SourceEnergy!$H$13:$H$271,SourceEnergy!$Q$13:$Q$271,U$12,$M$13:$M$271,$R35),0)</f>
        <v>0</v>
      </c>
      <c r="V35" s="224">
        <f>IFERROR(SUMIFS(SourceEnergy!$E$13:$E$271,SourceEnergy!$Q$13:$Q$271,V$12,$M$13:$M$271,$R35)/SUMIFS(SourceEnergy!$H$13:$H$271,SourceEnergy!$Q$13:$Q$271,V$12,$M$13:$M$271,$R35),0)</f>
        <v>0</v>
      </c>
    </row>
    <row r="36" spans="2:22" hidden="1" outlineLevel="1" x14ac:dyDescent="0.25">
      <c r="B36" s="188">
        <f t="shared" si="5"/>
        <v>44166</v>
      </c>
      <c r="C36" s="182">
        <f>'[1]Table 5'!E36*P36</f>
        <v>0</v>
      </c>
      <c r="D36" s="183" t="str">
        <f>IFERROR(G36*IF(AND(C36&lt;0,OR(Shape_Annually="No",AND(Shape_Annually="Yes",Shape_Start&gt;YEAR(B36)))),'MWH-Split'!T29,'MWH-Split'!S29)*'MWH-Split'!U29,"")</f>
        <v/>
      </c>
      <c r="E36" s="184" t="str">
        <f>IFERROR(H36*IF(AND(C36&lt;0,OR(Shape_Annually="No",AND(Shape_Annually="Yes",Shape_Start&gt;YEAR(B36)))),'MWH-Split'!S29,'MWH-Split'!T29)*'MWH-Split'!U29,"")</f>
        <v/>
      </c>
      <c r="F36" s="183">
        <f>'[1]Table 5'!F36*P36</f>
        <v>0</v>
      </c>
      <c r="G36" s="183" t="str">
        <f>IF('MWH-Split'!N29&lt;&gt;0,'MWH-Split'!N29*P36,"")</f>
        <v/>
      </c>
      <c r="H36" s="184" t="str">
        <f>IF('MWH-Split'!O29&lt;&gt;0,'MWH-Split'!O29*P36,"")</f>
        <v/>
      </c>
      <c r="I36" s="185" t="str">
        <f t="shared" si="3"/>
        <v/>
      </c>
      <c r="J36" s="185" t="e">
        <f t="shared" si="12"/>
        <v>#VALUE!</v>
      </c>
      <c r="K36" s="186" t="e">
        <f t="shared" si="12"/>
        <v>#VALUE!</v>
      </c>
      <c r="M36" s="187">
        <f t="shared" si="6"/>
        <v>2020</v>
      </c>
      <c r="N36" s="188" t="str">
        <f t="shared" si="13"/>
        <v/>
      </c>
      <c r="P36" s="189">
        <f>IF('Monthly Levelized'!$K$5+'Monthly Levelized'!$L$5&lt;&gt;0,IFERROR(VLOOKUP(B36,'Monthly Levelized'!$G$5:$I$25,3,FALSE),P35),1)</f>
        <v>1</v>
      </c>
      <c r="Q36" s="226" t="str">
        <f t="shared" si="8"/>
        <v>-</v>
      </c>
      <c r="R36" s="223">
        <f t="shared" si="9"/>
        <v>2033</v>
      </c>
      <c r="S36" s="224">
        <f>IFERROR(SUMIFS(SourceEnergy!$D$13:$D$271,SourceEnergy!$Q$13:$Q$271,S$12,$M$13:$M$271,$R36)/SUMIFS(SourceEnergy!$G$13:$G$271,SourceEnergy!$Q$13:$Q$271,S$12,$M$13:$M$271,$R36),0)</f>
        <v>0</v>
      </c>
      <c r="T36" s="224">
        <f>IFERROR(SUMIFS(SourceEnergy!$D$13:$D$271,SourceEnergy!$Q$13:$Q$271,T$12,$M$13:$M$271,$R36)/SUMIFS(SourceEnergy!$G$13:$G$271,SourceEnergy!$Q$13:$Q$271,T$12,$M$13:$M$271,$R36),0)</f>
        <v>0</v>
      </c>
      <c r="U36" s="224">
        <f>IFERROR(SUMIFS(SourceEnergy!$E$13:$E$271,SourceEnergy!$Q$13:$Q$271,U$12,$M$13:$M$271,$R36)/SUMIFS(SourceEnergy!$H$13:$H$271,SourceEnergy!$Q$13:$Q$271,U$12,$M$13:$M$271,$R36),0)</f>
        <v>0</v>
      </c>
      <c r="V36" s="224">
        <f>IFERROR(SUMIFS(SourceEnergy!$E$13:$E$271,SourceEnergy!$Q$13:$Q$271,V$12,$M$13:$M$271,$R36)/SUMIFS(SourceEnergy!$H$13:$H$271,SourceEnergy!$Q$13:$Q$271,V$12,$M$13:$M$271,$R36),0)</f>
        <v>0</v>
      </c>
    </row>
    <row r="37" spans="2:22" hidden="1" outlineLevel="1" x14ac:dyDescent="0.25">
      <c r="B37" s="190">
        <f t="shared" si="5"/>
        <v>44197</v>
      </c>
      <c r="C37" s="191">
        <f>'[1]Table 5'!E37*P37</f>
        <v>0</v>
      </c>
      <c r="D37" s="192" t="str">
        <f>IFERROR(G37*IF(AND(C37&lt;0,OR(Shape_Annually="No",AND(Shape_Annually="Yes",Shape_Start&gt;YEAR(B37)))),'MWH-Split'!T30,'MWH-Split'!S30)*'MWH-Split'!U30,"")</f>
        <v/>
      </c>
      <c r="E37" s="193" t="str">
        <f>IFERROR(H37*IF(AND(C37&lt;0,OR(Shape_Annually="No",AND(Shape_Annually="Yes",Shape_Start&gt;YEAR(B37)))),'MWH-Split'!S30,'MWH-Split'!T30)*'MWH-Split'!U30,"")</f>
        <v/>
      </c>
      <c r="F37" s="192">
        <f>'[1]Table 5'!F37*P37</f>
        <v>0</v>
      </c>
      <c r="G37" s="192" t="str">
        <f>IF('MWH-Split'!N30&lt;&gt;0,'MWH-Split'!N30*P37,"")</f>
        <v/>
      </c>
      <c r="H37" s="193" t="str">
        <f>IF('MWH-Split'!O30&lt;&gt;0,'MWH-Split'!O30*P37,"")</f>
        <v/>
      </c>
      <c r="I37" s="194" t="str">
        <f t="shared" si="3"/>
        <v/>
      </c>
      <c r="J37" s="194" t="e">
        <f t="shared" ref="J37" si="14">MAX(ROUND(IF(ISNUMBER(G37),D37/G37,""),2),0)</f>
        <v>#VALUE!</v>
      </c>
      <c r="K37" s="195" t="e">
        <f t="shared" ref="K37" si="15">MAX(ROUND(IF(ISNUMBER(H37),E37/H37,""),2),0)</f>
        <v>#VALUE!</v>
      </c>
      <c r="M37" s="176">
        <f t="shared" si="6"/>
        <v>2021</v>
      </c>
      <c r="N37" s="177" t="str">
        <f t="shared" si="13"/>
        <v/>
      </c>
      <c r="P37" s="196">
        <f>IF('Monthly Levelized'!$K$5+'Monthly Levelized'!$L$5&lt;&gt;0,IFERROR(VLOOKUP(B37,'Monthly Levelized'!$G$5:$I$25,3,FALSE),P36),1)</f>
        <v>1</v>
      </c>
      <c r="Q37" s="226" t="str">
        <f t="shared" si="8"/>
        <v>-</v>
      </c>
      <c r="R37" s="223">
        <f t="shared" si="9"/>
        <v>2034</v>
      </c>
      <c r="S37" s="224">
        <f>IFERROR(SUMIFS(SourceEnergy!$D$13:$D$271,SourceEnergy!$Q$13:$Q$271,S$12,$M$13:$M$271,$R37)/SUMIFS(SourceEnergy!$G$13:$G$271,SourceEnergy!$Q$13:$Q$271,S$12,$M$13:$M$271,$R37),0)</f>
        <v>0</v>
      </c>
      <c r="T37" s="224">
        <f>IFERROR(SUMIFS(SourceEnergy!$D$13:$D$271,SourceEnergy!$Q$13:$Q$271,T$12,$M$13:$M$271,$R37)/SUMIFS(SourceEnergy!$G$13:$G$271,SourceEnergy!$Q$13:$Q$271,T$12,$M$13:$M$271,$R37),0)</f>
        <v>0</v>
      </c>
      <c r="U37" s="224">
        <f>IFERROR(SUMIFS(SourceEnergy!$E$13:$E$271,SourceEnergy!$Q$13:$Q$271,U$12,$M$13:$M$271,$R37)/SUMIFS(SourceEnergy!$H$13:$H$271,SourceEnergy!$Q$13:$Q$271,U$12,$M$13:$M$271,$R37),0)</f>
        <v>0</v>
      </c>
      <c r="V37" s="224">
        <f>IFERROR(SUMIFS(SourceEnergy!$E$13:$E$271,SourceEnergy!$Q$13:$Q$271,V$12,$M$13:$M$271,$R37)/SUMIFS(SourceEnergy!$H$13:$H$271,SourceEnergy!$Q$13:$Q$271,V$12,$M$13:$M$271,$R37),0)</f>
        <v>0</v>
      </c>
    </row>
    <row r="38" spans="2:22" hidden="1" outlineLevel="1" x14ac:dyDescent="0.25">
      <c r="B38" s="177">
        <f t="shared" si="5"/>
        <v>44228</v>
      </c>
      <c r="C38" s="171">
        <f>'[1]Table 5'!E38*P38</f>
        <v>0</v>
      </c>
      <c r="D38" s="172" t="str">
        <f>IFERROR(G38*IF(AND(C38&lt;0,OR(Shape_Annually="No",AND(Shape_Annually="Yes",Shape_Start&gt;YEAR(B38)))),'MWH-Split'!T31,'MWH-Split'!S31)*'MWH-Split'!U31,"")</f>
        <v/>
      </c>
      <c r="E38" s="173" t="str">
        <f>IFERROR(H38*IF(AND(C38&lt;0,OR(Shape_Annually="No",AND(Shape_Annually="Yes",Shape_Start&gt;YEAR(B38)))),'MWH-Split'!S31,'MWH-Split'!T31)*'MWH-Split'!U31,"")</f>
        <v/>
      </c>
      <c r="F38" s="172">
        <f>'[1]Table 5'!F38*P38</f>
        <v>0</v>
      </c>
      <c r="G38" s="172" t="str">
        <f>IF('MWH-Split'!N31&lt;&gt;0,'MWH-Split'!N31*P38,"")</f>
        <v/>
      </c>
      <c r="H38" s="173" t="str">
        <f>IF('MWH-Split'!O31&lt;&gt;0,'MWH-Split'!O31*P38,"")</f>
        <v/>
      </c>
      <c r="I38" s="174" t="str">
        <f t="shared" si="3"/>
        <v/>
      </c>
      <c r="J38" s="174" t="e">
        <f t="shared" si="12"/>
        <v>#VALUE!</v>
      </c>
      <c r="K38" s="175" t="e">
        <f t="shared" si="12"/>
        <v>#VALUE!</v>
      </c>
      <c r="M38" s="180">
        <f t="shared" si="6"/>
        <v>2021</v>
      </c>
      <c r="N38" s="177" t="str">
        <f t="shared" si="13"/>
        <v/>
      </c>
      <c r="P38" s="178">
        <f>IF('Monthly Levelized'!$K$5+'Monthly Levelized'!$L$5&lt;&gt;0,IFERROR(VLOOKUP(B38,'Monthly Levelized'!$G$5:$I$25,3,FALSE),P37),1)</f>
        <v>1</v>
      </c>
      <c r="Q38" s="226" t="str">
        <f t="shared" si="8"/>
        <v>-</v>
      </c>
      <c r="R38" s="223">
        <f t="shared" si="9"/>
        <v>2035</v>
      </c>
      <c r="S38" s="224">
        <f>IFERROR(SUMIFS(SourceEnergy!$D$13:$D$271,SourceEnergy!$Q$13:$Q$271,S$12,$M$13:$M$271,$R38)/SUMIFS(SourceEnergy!$G$13:$G$271,SourceEnergy!$Q$13:$Q$271,S$12,$M$13:$M$271,$R38),0)</f>
        <v>0</v>
      </c>
      <c r="T38" s="224">
        <f>IFERROR(SUMIFS(SourceEnergy!$D$13:$D$271,SourceEnergy!$Q$13:$Q$271,T$12,$M$13:$M$271,$R38)/SUMIFS(SourceEnergy!$G$13:$G$271,SourceEnergy!$Q$13:$Q$271,T$12,$M$13:$M$271,$R38),0)</f>
        <v>0</v>
      </c>
      <c r="U38" s="224">
        <f>IFERROR(SUMIFS(SourceEnergy!$E$13:$E$271,SourceEnergy!$Q$13:$Q$271,U$12,$M$13:$M$271,$R38)/SUMIFS(SourceEnergy!$H$13:$H$271,SourceEnergy!$Q$13:$Q$271,U$12,$M$13:$M$271,$R38),0)</f>
        <v>0</v>
      </c>
      <c r="V38" s="224">
        <f>IFERROR(SUMIFS(SourceEnergy!$E$13:$E$271,SourceEnergy!$Q$13:$Q$271,V$12,$M$13:$M$271,$R38)/SUMIFS(SourceEnergy!$H$13:$H$271,SourceEnergy!$Q$13:$Q$271,V$12,$M$13:$M$271,$R38),0)</f>
        <v>0</v>
      </c>
    </row>
    <row r="39" spans="2:22" hidden="1" outlineLevel="1" x14ac:dyDescent="0.25">
      <c r="B39" s="177">
        <f t="shared" si="5"/>
        <v>44256</v>
      </c>
      <c r="C39" s="171">
        <f>'[1]Table 5'!E39*P39</f>
        <v>0</v>
      </c>
      <c r="D39" s="172" t="str">
        <f>IFERROR(G39*IF(AND(C39&lt;0,OR(Shape_Annually="No",AND(Shape_Annually="Yes",Shape_Start&gt;YEAR(B39)))),'MWH-Split'!T32,'MWH-Split'!S32)*'MWH-Split'!U32,"")</f>
        <v/>
      </c>
      <c r="E39" s="173" t="str">
        <f>IFERROR(H39*IF(AND(C39&lt;0,OR(Shape_Annually="No",AND(Shape_Annually="Yes",Shape_Start&gt;YEAR(B39)))),'MWH-Split'!S32,'MWH-Split'!T32)*'MWH-Split'!U32,"")</f>
        <v/>
      </c>
      <c r="F39" s="172">
        <f>'[1]Table 5'!F39*P39</f>
        <v>0</v>
      </c>
      <c r="G39" s="172" t="str">
        <f>IF('MWH-Split'!N32&lt;&gt;0,'MWH-Split'!N32*P39,"")</f>
        <v/>
      </c>
      <c r="H39" s="173" t="str">
        <f>IF('MWH-Split'!O32&lt;&gt;0,'MWH-Split'!O32*P39,"")</f>
        <v/>
      </c>
      <c r="I39" s="174" t="str">
        <f t="shared" si="3"/>
        <v/>
      </c>
      <c r="J39" s="174" t="e">
        <f t="shared" si="12"/>
        <v>#VALUE!</v>
      </c>
      <c r="K39" s="175" t="e">
        <f t="shared" si="12"/>
        <v>#VALUE!</v>
      </c>
      <c r="M39" s="180">
        <f t="shared" si="6"/>
        <v>2021</v>
      </c>
      <c r="N39" s="177" t="str">
        <f t="shared" si="13"/>
        <v/>
      </c>
      <c r="P39" s="178">
        <f>IF('Monthly Levelized'!$K$5+'Monthly Levelized'!$L$5&lt;&gt;0,IFERROR(VLOOKUP(B39,'Monthly Levelized'!$G$5:$I$25,3,FALSE),P38),1)</f>
        <v>1</v>
      </c>
      <c r="Q39" s="226" t="str">
        <f t="shared" si="8"/>
        <v>-</v>
      </c>
      <c r="R39" s="223">
        <f t="shared" si="9"/>
        <v>2036</v>
      </c>
      <c r="S39" s="224">
        <f>IFERROR(SUMIFS(SourceEnergy!$D$13:$D$271,SourceEnergy!$Q$13:$Q$271,S$12,$M$13:$M$271,$R39)/SUMIFS(SourceEnergy!$G$13:$G$271,SourceEnergy!$Q$13:$Q$271,S$12,$M$13:$M$271,$R39),0)</f>
        <v>0</v>
      </c>
      <c r="T39" s="224">
        <f>IFERROR(SUMIFS(SourceEnergy!$D$13:$D$271,SourceEnergy!$Q$13:$Q$271,T$12,$M$13:$M$271,$R39)/SUMIFS(SourceEnergy!$G$13:$G$271,SourceEnergy!$Q$13:$Q$271,T$12,$M$13:$M$271,$R39),0)</f>
        <v>0</v>
      </c>
      <c r="U39" s="224">
        <f>IFERROR(SUMIFS(SourceEnergy!$E$13:$E$271,SourceEnergy!$Q$13:$Q$271,U$12,$M$13:$M$271,$R39)/SUMIFS(SourceEnergy!$H$13:$H$271,SourceEnergy!$Q$13:$Q$271,U$12,$M$13:$M$271,$R39),0)</f>
        <v>0</v>
      </c>
      <c r="V39" s="224">
        <f>IFERROR(SUMIFS(SourceEnergy!$E$13:$E$271,SourceEnergy!$Q$13:$Q$271,V$12,$M$13:$M$271,$R39)/SUMIFS(SourceEnergy!$H$13:$H$271,SourceEnergy!$Q$13:$Q$271,V$12,$M$13:$M$271,$R39),0)</f>
        <v>0</v>
      </c>
    </row>
    <row r="40" spans="2:22" hidden="1" outlineLevel="1" x14ac:dyDescent="0.25">
      <c r="B40" s="177">
        <f t="shared" si="5"/>
        <v>44287</v>
      </c>
      <c r="C40" s="171">
        <f>'[1]Table 5'!E40*P40</f>
        <v>0</v>
      </c>
      <c r="D40" s="172" t="str">
        <f>IFERROR(G40*IF(AND(C40&lt;0,OR(Shape_Annually="No",AND(Shape_Annually="Yes",Shape_Start&gt;YEAR(B40)))),'MWH-Split'!T33,'MWH-Split'!S33)*'MWH-Split'!U33,"")</f>
        <v/>
      </c>
      <c r="E40" s="173" t="str">
        <f>IFERROR(H40*IF(AND(C40&lt;0,OR(Shape_Annually="No",AND(Shape_Annually="Yes",Shape_Start&gt;YEAR(B40)))),'MWH-Split'!S33,'MWH-Split'!T33)*'MWH-Split'!U33,"")</f>
        <v/>
      </c>
      <c r="F40" s="172">
        <f>'[1]Table 5'!F40*P40</f>
        <v>0</v>
      </c>
      <c r="G40" s="172" t="str">
        <f>IF('MWH-Split'!N33&lt;&gt;0,'MWH-Split'!N33*P40,"")</f>
        <v/>
      </c>
      <c r="H40" s="173" t="str">
        <f>IF('MWH-Split'!O33&lt;&gt;0,'MWH-Split'!O33*P40,"")</f>
        <v/>
      </c>
      <c r="I40" s="174" t="str">
        <f t="shared" si="3"/>
        <v/>
      </c>
      <c r="J40" s="174" t="e">
        <f t="shared" ref="J40:K98" si="16">MAX(ROUND(IF(ISNUMBER(G40),D40/G40,""),2),0)</f>
        <v>#VALUE!</v>
      </c>
      <c r="K40" s="175" t="e">
        <f t="shared" si="16"/>
        <v>#VALUE!</v>
      </c>
      <c r="M40" s="180">
        <f t="shared" si="6"/>
        <v>2021</v>
      </c>
      <c r="N40" s="177" t="str">
        <f t="shared" si="13"/>
        <v/>
      </c>
      <c r="P40" s="178">
        <f>IF('Monthly Levelized'!$K$5+'Monthly Levelized'!$L$5&lt;&gt;0,IFERROR(VLOOKUP(B40,'Monthly Levelized'!$G$5:$I$25,3,FALSE),P39),1)</f>
        <v>1</v>
      </c>
      <c r="Q40" s="226" t="str">
        <f t="shared" si="8"/>
        <v>-</v>
      </c>
      <c r="R40" s="223">
        <f t="shared" si="9"/>
        <v>2037</v>
      </c>
      <c r="S40" s="224">
        <f>IFERROR(SUMIFS(SourceEnergy!$D$13:$D$271,SourceEnergy!$Q$13:$Q$271,S$12,$M$13:$M$271,$R40)/SUMIFS(SourceEnergy!$G$13:$G$271,SourceEnergy!$Q$13:$Q$271,S$12,$M$13:$M$271,$R40),0)</f>
        <v>0</v>
      </c>
      <c r="T40" s="224">
        <f>IFERROR(SUMIFS(SourceEnergy!$D$13:$D$271,SourceEnergy!$Q$13:$Q$271,T$12,$M$13:$M$271,$R40)/SUMIFS(SourceEnergy!$G$13:$G$271,SourceEnergy!$Q$13:$Q$271,T$12,$M$13:$M$271,$R40),0)</f>
        <v>0</v>
      </c>
      <c r="U40" s="224">
        <f>IFERROR(SUMIFS(SourceEnergy!$E$13:$E$271,SourceEnergy!$Q$13:$Q$271,U$12,$M$13:$M$271,$R40)/SUMIFS(SourceEnergy!$H$13:$H$271,SourceEnergy!$Q$13:$Q$271,U$12,$M$13:$M$271,$R40),0)</f>
        <v>0</v>
      </c>
      <c r="V40" s="224">
        <f>IFERROR(SUMIFS(SourceEnergy!$E$13:$E$271,SourceEnergy!$Q$13:$Q$271,V$12,$M$13:$M$271,$R40)/SUMIFS(SourceEnergy!$H$13:$H$271,SourceEnergy!$Q$13:$Q$271,V$12,$M$13:$M$271,$R40),0)</f>
        <v>0</v>
      </c>
    </row>
    <row r="41" spans="2:22" hidden="1" outlineLevel="1" x14ac:dyDescent="0.25">
      <c r="B41" s="177">
        <f t="shared" si="5"/>
        <v>44317</v>
      </c>
      <c r="C41" s="171">
        <f>'[1]Table 5'!E41*P41</f>
        <v>0</v>
      </c>
      <c r="D41" s="172" t="str">
        <f>IFERROR(G41*IF(AND(C41&lt;0,OR(Shape_Annually="No",AND(Shape_Annually="Yes",Shape_Start&gt;YEAR(B41)))),'MWH-Split'!T34,'MWH-Split'!S34)*'MWH-Split'!U34,"")</f>
        <v/>
      </c>
      <c r="E41" s="173" t="str">
        <f>IFERROR(H41*IF(AND(C41&lt;0,OR(Shape_Annually="No",AND(Shape_Annually="Yes",Shape_Start&gt;YEAR(B41)))),'MWH-Split'!S34,'MWH-Split'!T34)*'MWH-Split'!U34,"")</f>
        <v/>
      </c>
      <c r="F41" s="172">
        <f>'[1]Table 5'!F41*P41</f>
        <v>0</v>
      </c>
      <c r="G41" s="172" t="str">
        <f>IF('MWH-Split'!N34&lt;&gt;0,'MWH-Split'!N34*P41,"")</f>
        <v/>
      </c>
      <c r="H41" s="173" t="str">
        <f>IF('MWH-Split'!O34&lt;&gt;0,'MWH-Split'!O34*P41,"")</f>
        <v/>
      </c>
      <c r="I41" s="174" t="str">
        <f t="shared" si="3"/>
        <v/>
      </c>
      <c r="J41" s="174" t="e">
        <f t="shared" si="16"/>
        <v>#VALUE!</v>
      </c>
      <c r="K41" s="175" t="e">
        <f t="shared" si="16"/>
        <v>#VALUE!</v>
      </c>
      <c r="M41" s="180">
        <f t="shared" si="6"/>
        <v>2021</v>
      </c>
      <c r="N41" s="177" t="str">
        <f t="shared" si="13"/>
        <v/>
      </c>
      <c r="P41" s="178">
        <f>IF('Monthly Levelized'!$K$5+'Monthly Levelized'!$L$5&lt;&gt;0,IFERROR(VLOOKUP(B41,'Monthly Levelized'!$G$5:$I$25,3,FALSE),P40),1)</f>
        <v>1</v>
      </c>
      <c r="Q41" s="226" t="str">
        <f t="shared" si="8"/>
        <v>-</v>
      </c>
      <c r="R41" s="223"/>
      <c r="S41" s="224"/>
      <c r="T41" s="224"/>
      <c r="U41" s="224"/>
      <c r="V41" s="224"/>
    </row>
    <row r="42" spans="2:22" hidden="1" outlineLevel="1" x14ac:dyDescent="0.25">
      <c r="B42" s="177">
        <f t="shared" si="5"/>
        <v>44348</v>
      </c>
      <c r="C42" s="171">
        <f>'[1]Table 5'!E42*P42</f>
        <v>0</v>
      </c>
      <c r="D42" s="172" t="str">
        <f>IFERROR(G42*IF(AND(C42&lt;0,OR(Shape_Annually="No",AND(Shape_Annually="Yes",Shape_Start&gt;YEAR(B42)))),'MWH-Split'!T35,'MWH-Split'!S35)*'MWH-Split'!U35,"")</f>
        <v/>
      </c>
      <c r="E42" s="173" t="str">
        <f>IFERROR(H42*IF(AND(C42&lt;0,OR(Shape_Annually="No",AND(Shape_Annually="Yes",Shape_Start&gt;YEAR(B42)))),'MWH-Split'!S35,'MWH-Split'!T35)*'MWH-Split'!U35,"")</f>
        <v/>
      </c>
      <c r="F42" s="172">
        <f>'[1]Table 5'!F42*P42</f>
        <v>0</v>
      </c>
      <c r="G42" s="172" t="str">
        <f>IF('MWH-Split'!N35&lt;&gt;0,'MWH-Split'!N35*P42,"")</f>
        <v/>
      </c>
      <c r="H42" s="173" t="str">
        <f>IF('MWH-Split'!O35&lt;&gt;0,'MWH-Split'!O35*P42,"")</f>
        <v/>
      </c>
      <c r="I42" s="174" t="str">
        <f t="shared" si="3"/>
        <v/>
      </c>
      <c r="J42" s="174" t="e">
        <f t="shared" si="16"/>
        <v>#VALUE!</v>
      </c>
      <c r="K42" s="175" t="e">
        <f t="shared" si="16"/>
        <v>#VALUE!</v>
      </c>
      <c r="M42" s="180">
        <f t="shared" si="6"/>
        <v>2021</v>
      </c>
      <c r="N42" s="177" t="str">
        <f t="shared" si="13"/>
        <v/>
      </c>
      <c r="P42" s="178">
        <f>IF('Monthly Levelized'!$K$5+'Monthly Levelized'!$L$5&lt;&gt;0,IFERROR(VLOOKUP(B42,'Monthly Levelized'!$G$5:$I$25,3,FALSE),P41),1)</f>
        <v>1</v>
      </c>
      <c r="Q42" s="226" t="str">
        <f t="shared" si="8"/>
        <v>-</v>
      </c>
      <c r="R42" s="223"/>
      <c r="S42" s="224"/>
      <c r="T42" s="224"/>
      <c r="U42" s="224"/>
      <c r="V42" s="224"/>
    </row>
    <row r="43" spans="2:22" hidden="1" outlineLevel="1" x14ac:dyDescent="0.25">
      <c r="B43" s="177">
        <f t="shared" si="5"/>
        <v>44378</v>
      </c>
      <c r="C43" s="171">
        <f>'[1]Table 5'!E43*P43</f>
        <v>0</v>
      </c>
      <c r="D43" s="172" t="str">
        <f>IFERROR(G43*IF(AND(C43&lt;0,OR(Shape_Annually="No",AND(Shape_Annually="Yes",Shape_Start&gt;YEAR(B43)))),'MWH-Split'!T36,'MWH-Split'!S36)*'MWH-Split'!U36,"")</f>
        <v/>
      </c>
      <c r="E43" s="173" t="str">
        <f>IFERROR(H43*IF(AND(C43&lt;0,OR(Shape_Annually="No",AND(Shape_Annually="Yes",Shape_Start&gt;YEAR(B43)))),'MWH-Split'!S36,'MWH-Split'!T36)*'MWH-Split'!U36,"")</f>
        <v/>
      </c>
      <c r="F43" s="172">
        <f>'[1]Table 5'!F43*P43</f>
        <v>0</v>
      </c>
      <c r="G43" s="172" t="str">
        <f>IF('MWH-Split'!N36&lt;&gt;0,'MWH-Split'!N36*P43,"")</f>
        <v/>
      </c>
      <c r="H43" s="173" t="str">
        <f>IF('MWH-Split'!O36&lt;&gt;0,'MWH-Split'!O36*P43,"")</f>
        <v/>
      </c>
      <c r="I43" s="174" t="str">
        <f t="shared" si="3"/>
        <v/>
      </c>
      <c r="J43" s="174" t="e">
        <f t="shared" si="16"/>
        <v>#VALUE!</v>
      </c>
      <c r="K43" s="175" t="e">
        <f t="shared" si="16"/>
        <v>#VALUE!</v>
      </c>
      <c r="M43" s="180">
        <f t="shared" si="6"/>
        <v>2021</v>
      </c>
      <c r="N43" s="177" t="str">
        <f t="shared" si="13"/>
        <v/>
      </c>
      <c r="P43" s="178">
        <f>IF('Monthly Levelized'!$K$5+'Monthly Levelized'!$L$5&lt;&gt;0,IFERROR(VLOOKUP(B43,'Monthly Levelized'!$G$5:$I$25,3,FALSE),P42),1)</f>
        <v>1</v>
      </c>
      <c r="Q43" s="226" t="str">
        <f t="shared" si="8"/>
        <v>-</v>
      </c>
      <c r="R43" s="223"/>
      <c r="S43" s="224"/>
      <c r="T43" s="224"/>
      <c r="U43" s="224"/>
      <c r="V43" s="224"/>
    </row>
    <row r="44" spans="2:22" hidden="1" outlineLevel="1" x14ac:dyDescent="0.25">
      <c r="B44" s="177">
        <f t="shared" si="5"/>
        <v>44409</v>
      </c>
      <c r="C44" s="171">
        <f>'[1]Table 5'!E44*P44</f>
        <v>0</v>
      </c>
      <c r="D44" s="172" t="str">
        <f>IFERROR(G44*IF(AND(C44&lt;0,OR(Shape_Annually="No",AND(Shape_Annually="Yes",Shape_Start&gt;YEAR(B44)))),'MWH-Split'!T37,'MWH-Split'!S37)*'MWH-Split'!U37,"")</f>
        <v/>
      </c>
      <c r="E44" s="173" t="str">
        <f>IFERROR(H44*IF(AND(C44&lt;0,OR(Shape_Annually="No",AND(Shape_Annually="Yes",Shape_Start&gt;YEAR(B44)))),'MWH-Split'!S37,'MWH-Split'!T37)*'MWH-Split'!U37,"")</f>
        <v/>
      </c>
      <c r="F44" s="172">
        <f>'[1]Table 5'!F44*P44</f>
        <v>0</v>
      </c>
      <c r="G44" s="172" t="str">
        <f>IF('MWH-Split'!N37&lt;&gt;0,'MWH-Split'!N37*P44,"")</f>
        <v/>
      </c>
      <c r="H44" s="173" t="str">
        <f>IF('MWH-Split'!O37&lt;&gt;0,'MWH-Split'!O37*P44,"")</f>
        <v/>
      </c>
      <c r="I44" s="174" t="str">
        <f t="shared" si="3"/>
        <v/>
      </c>
      <c r="J44" s="174" t="e">
        <f t="shared" si="16"/>
        <v>#VALUE!</v>
      </c>
      <c r="K44" s="175" t="e">
        <f t="shared" si="16"/>
        <v>#VALUE!</v>
      </c>
      <c r="M44" s="180">
        <f t="shared" si="6"/>
        <v>2021</v>
      </c>
      <c r="N44" s="177" t="str">
        <f t="shared" si="13"/>
        <v/>
      </c>
      <c r="P44" s="178">
        <f>IF('Monthly Levelized'!$K$5+'Monthly Levelized'!$L$5&lt;&gt;0,IFERROR(VLOOKUP(B44,'Monthly Levelized'!$G$5:$I$25,3,FALSE),P43),1)</f>
        <v>1</v>
      </c>
      <c r="Q44" s="226" t="str">
        <f t="shared" si="8"/>
        <v>-</v>
      </c>
      <c r="R44" s="223"/>
      <c r="S44" s="224"/>
      <c r="T44" s="224"/>
      <c r="U44" s="224"/>
      <c r="V44" s="224"/>
    </row>
    <row r="45" spans="2:22" hidden="1" outlineLevel="1" x14ac:dyDescent="0.25">
      <c r="B45" s="177">
        <f t="shared" si="5"/>
        <v>44440</v>
      </c>
      <c r="C45" s="171">
        <f>'[1]Table 5'!E45*P45</f>
        <v>0</v>
      </c>
      <c r="D45" s="172" t="str">
        <f>IFERROR(G45*IF(AND(C45&lt;0,OR(Shape_Annually="No",AND(Shape_Annually="Yes",Shape_Start&gt;YEAR(B45)))),'MWH-Split'!T38,'MWH-Split'!S38)*'MWH-Split'!U38,"")</f>
        <v/>
      </c>
      <c r="E45" s="173" t="str">
        <f>IFERROR(H45*IF(AND(C45&lt;0,OR(Shape_Annually="No",AND(Shape_Annually="Yes",Shape_Start&gt;YEAR(B45)))),'MWH-Split'!S38,'MWH-Split'!T38)*'MWH-Split'!U38,"")</f>
        <v/>
      </c>
      <c r="F45" s="172">
        <f>'[1]Table 5'!F45*P45</f>
        <v>0</v>
      </c>
      <c r="G45" s="172" t="str">
        <f>IF('MWH-Split'!N38&lt;&gt;0,'MWH-Split'!N38*P45,"")</f>
        <v/>
      </c>
      <c r="H45" s="173" t="str">
        <f>IF('MWH-Split'!O38&lt;&gt;0,'MWH-Split'!O38*P45,"")</f>
        <v/>
      </c>
      <c r="I45" s="174" t="str">
        <f t="shared" si="3"/>
        <v/>
      </c>
      <c r="J45" s="174" t="e">
        <f t="shared" si="16"/>
        <v>#VALUE!</v>
      </c>
      <c r="K45" s="175" t="e">
        <f t="shared" si="16"/>
        <v>#VALUE!</v>
      </c>
      <c r="M45" s="180">
        <f t="shared" si="6"/>
        <v>2021</v>
      </c>
      <c r="N45" s="177" t="str">
        <f t="shared" si="13"/>
        <v/>
      </c>
      <c r="P45" s="178">
        <f>IF('Monthly Levelized'!$K$5+'Monthly Levelized'!$L$5&lt;&gt;0,IFERROR(VLOOKUP(B45,'Monthly Levelized'!$G$5:$I$25,3,FALSE),P44),1)</f>
        <v>1</v>
      </c>
      <c r="Q45" s="226" t="str">
        <f t="shared" si="8"/>
        <v>-</v>
      </c>
      <c r="R45" s="223"/>
      <c r="S45" s="224"/>
      <c r="T45" s="224"/>
      <c r="U45" s="224"/>
      <c r="V45" s="224"/>
    </row>
    <row r="46" spans="2:22" hidden="1" outlineLevel="1" x14ac:dyDescent="0.25">
      <c r="B46" s="177">
        <f t="shared" si="5"/>
        <v>44470</v>
      </c>
      <c r="C46" s="171">
        <f>'[1]Table 5'!E46*P46</f>
        <v>0</v>
      </c>
      <c r="D46" s="172" t="str">
        <f>IFERROR(G46*IF(AND(C46&lt;0,OR(Shape_Annually="No",AND(Shape_Annually="Yes",Shape_Start&gt;YEAR(B46)))),'MWH-Split'!T39,'MWH-Split'!S39)*'MWH-Split'!U39,"")</f>
        <v/>
      </c>
      <c r="E46" s="173" t="str">
        <f>IFERROR(H46*IF(AND(C46&lt;0,OR(Shape_Annually="No",AND(Shape_Annually="Yes",Shape_Start&gt;YEAR(B46)))),'MWH-Split'!S39,'MWH-Split'!T39)*'MWH-Split'!U39,"")</f>
        <v/>
      </c>
      <c r="F46" s="172">
        <f>'[1]Table 5'!F46*P46</f>
        <v>0</v>
      </c>
      <c r="G46" s="172" t="str">
        <f>IF('MWH-Split'!N39&lt;&gt;0,'MWH-Split'!N39*P46,"")</f>
        <v/>
      </c>
      <c r="H46" s="173" t="str">
        <f>IF('MWH-Split'!O39&lt;&gt;0,'MWH-Split'!O39*P46,"")</f>
        <v/>
      </c>
      <c r="I46" s="174" t="str">
        <f t="shared" si="3"/>
        <v/>
      </c>
      <c r="J46" s="174" t="e">
        <f t="shared" si="16"/>
        <v>#VALUE!</v>
      </c>
      <c r="K46" s="175" t="e">
        <f t="shared" si="16"/>
        <v>#VALUE!</v>
      </c>
      <c r="M46" s="180">
        <f t="shared" si="6"/>
        <v>2021</v>
      </c>
      <c r="N46" s="177" t="str">
        <f t="shared" si="13"/>
        <v/>
      </c>
      <c r="P46" s="178">
        <f>IF('Monthly Levelized'!$K$5+'Monthly Levelized'!$L$5&lt;&gt;0,IFERROR(VLOOKUP(B46,'Monthly Levelized'!$G$5:$I$25,3,FALSE),P45),1)</f>
        <v>1</v>
      </c>
      <c r="Q46" s="226" t="str">
        <f t="shared" si="8"/>
        <v>-</v>
      </c>
      <c r="R46" s="223"/>
      <c r="S46" s="224"/>
      <c r="T46" s="224"/>
      <c r="U46" s="224"/>
      <c r="V46" s="224"/>
    </row>
    <row r="47" spans="2:22" hidden="1" outlineLevel="1" x14ac:dyDescent="0.25">
      <c r="B47" s="177">
        <f t="shared" si="5"/>
        <v>44501</v>
      </c>
      <c r="C47" s="171">
        <f>'[1]Table 5'!E47*P47</f>
        <v>0</v>
      </c>
      <c r="D47" s="172" t="str">
        <f>IFERROR(G47*IF(AND(C47&lt;0,OR(Shape_Annually="No",AND(Shape_Annually="Yes",Shape_Start&gt;YEAR(B47)))),'MWH-Split'!T40,'MWH-Split'!S40)*'MWH-Split'!U40,"")</f>
        <v/>
      </c>
      <c r="E47" s="173" t="str">
        <f>IFERROR(H47*IF(AND(C47&lt;0,OR(Shape_Annually="No",AND(Shape_Annually="Yes",Shape_Start&gt;YEAR(B47)))),'MWH-Split'!S40,'MWH-Split'!T40)*'MWH-Split'!U40,"")</f>
        <v/>
      </c>
      <c r="F47" s="172">
        <f>'[1]Table 5'!F47*P47</f>
        <v>0</v>
      </c>
      <c r="G47" s="172" t="str">
        <f>IF('MWH-Split'!N40&lt;&gt;0,'MWH-Split'!N40*P47,"")</f>
        <v/>
      </c>
      <c r="H47" s="173" t="str">
        <f>IF('MWH-Split'!O40&lt;&gt;0,'MWH-Split'!O40*P47,"")</f>
        <v/>
      </c>
      <c r="I47" s="174" t="str">
        <f t="shared" si="3"/>
        <v/>
      </c>
      <c r="J47" s="174" t="e">
        <f t="shared" si="16"/>
        <v>#VALUE!</v>
      </c>
      <c r="K47" s="175" t="e">
        <f t="shared" si="16"/>
        <v>#VALUE!</v>
      </c>
      <c r="M47" s="180">
        <f t="shared" si="6"/>
        <v>2021</v>
      </c>
      <c r="N47" s="177" t="str">
        <f t="shared" si="13"/>
        <v/>
      </c>
      <c r="P47" s="178">
        <f>IF('Monthly Levelized'!$K$5+'Monthly Levelized'!$L$5&lt;&gt;0,IFERROR(VLOOKUP(B47,'Monthly Levelized'!$G$5:$I$25,3,FALSE),P46),1)</f>
        <v>1</v>
      </c>
      <c r="Q47" s="226" t="str">
        <f t="shared" si="8"/>
        <v>-</v>
      </c>
      <c r="R47" s="223"/>
      <c r="S47" s="224"/>
      <c r="T47" s="224"/>
      <c r="U47" s="224"/>
      <c r="V47" s="224"/>
    </row>
    <row r="48" spans="2:22" hidden="1" outlineLevel="1" x14ac:dyDescent="0.25">
      <c r="B48" s="188">
        <f t="shared" si="5"/>
        <v>44531</v>
      </c>
      <c r="C48" s="182">
        <f>'[1]Table 5'!E48*P48</f>
        <v>0</v>
      </c>
      <c r="D48" s="183" t="str">
        <f>IFERROR(G48*IF(AND(C48&lt;0,OR(Shape_Annually="No",AND(Shape_Annually="Yes",Shape_Start&gt;YEAR(B48)))),'MWH-Split'!T41,'MWH-Split'!S41)*'MWH-Split'!U41,"")</f>
        <v/>
      </c>
      <c r="E48" s="184" t="str">
        <f>IFERROR(H48*IF(AND(C48&lt;0,OR(Shape_Annually="No",AND(Shape_Annually="Yes",Shape_Start&gt;YEAR(B48)))),'MWH-Split'!S41,'MWH-Split'!T41)*'MWH-Split'!U41,"")</f>
        <v/>
      </c>
      <c r="F48" s="183">
        <f>'[1]Table 5'!F48*P48</f>
        <v>0</v>
      </c>
      <c r="G48" s="183" t="str">
        <f>IF('MWH-Split'!N41&lt;&gt;0,'MWH-Split'!N41*P48,"")</f>
        <v/>
      </c>
      <c r="H48" s="184" t="str">
        <f>IF('MWH-Split'!O41&lt;&gt;0,'MWH-Split'!O41*P48,"")</f>
        <v/>
      </c>
      <c r="I48" s="185" t="str">
        <f t="shared" si="3"/>
        <v/>
      </c>
      <c r="J48" s="185" t="e">
        <f t="shared" ref="J48:K49" si="17">MAX(ROUND(IF(ISNUMBER(G48),D48/G48,""),2),-99)</f>
        <v>#VALUE!</v>
      </c>
      <c r="K48" s="186" t="e">
        <f t="shared" si="17"/>
        <v>#VALUE!</v>
      </c>
      <c r="M48" s="187">
        <f t="shared" si="6"/>
        <v>2021</v>
      </c>
      <c r="N48" s="188" t="str">
        <f t="shared" si="13"/>
        <v/>
      </c>
      <c r="P48" s="189">
        <f>IF('Monthly Levelized'!$K$5+'Monthly Levelized'!$L$5&lt;&gt;0,IFERROR(VLOOKUP(B48,'Monthly Levelized'!$G$5:$I$25,3,FALSE),P47),1)</f>
        <v>1</v>
      </c>
      <c r="Q48" s="226" t="str">
        <f t="shared" si="8"/>
        <v>-</v>
      </c>
      <c r="R48" s="223"/>
      <c r="S48" s="224"/>
      <c r="T48" s="224"/>
      <c r="U48" s="224"/>
      <c r="V48" s="224"/>
    </row>
    <row r="49" spans="2:22" hidden="1" outlineLevel="1" x14ac:dyDescent="0.25">
      <c r="B49" s="190">
        <f t="shared" si="5"/>
        <v>44562</v>
      </c>
      <c r="C49" s="191">
        <f>'[1]Table 5'!E49*P49</f>
        <v>0</v>
      </c>
      <c r="D49" s="192" t="str">
        <f>IFERROR(G49*IF(AND(C49&lt;0,OR(Shape_Annually="No",AND(Shape_Annually="Yes",Shape_Start&gt;YEAR(B49)))),'MWH-Split'!T42,'MWH-Split'!S42)*'MWH-Split'!U42,"")</f>
        <v/>
      </c>
      <c r="E49" s="193" t="str">
        <f>IFERROR(H49*IF(AND(C49&lt;0,OR(Shape_Annually="No",AND(Shape_Annually="Yes",Shape_Start&gt;YEAR(B49)))),'MWH-Split'!S42,'MWH-Split'!T42)*'MWH-Split'!U42,"")</f>
        <v/>
      </c>
      <c r="F49" s="192">
        <f>'[1]Table 5'!F49*P49</f>
        <v>0</v>
      </c>
      <c r="G49" s="192" t="str">
        <f>IF('MWH-Split'!N42&lt;&gt;0,'MWH-Split'!N42*P49,"")</f>
        <v/>
      </c>
      <c r="H49" s="193" t="str">
        <f>IF('MWH-Split'!O42&lt;&gt;0,'MWH-Split'!O42*P49,"")</f>
        <v/>
      </c>
      <c r="I49" s="194" t="str">
        <f t="shared" si="3"/>
        <v/>
      </c>
      <c r="J49" s="194" t="e">
        <f t="shared" si="17"/>
        <v>#VALUE!</v>
      </c>
      <c r="K49" s="195" t="e">
        <f t="shared" si="17"/>
        <v>#VALUE!</v>
      </c>
      <c r="M49" s="176">
        <f t="shared" si="6"/>
        <v>2022</v>
      </c>
      <c r="N49" s="177" t="str">
        <f t="shared" si="13"/>
        <v/>
      </c>
      <c r="P49" s="196">
        <f>IF('Monthly Levelized'!$K$5+'Monthly Levelized'!$L$5&lt;&gt;0,IFERROR(VLOOKUP(B49,'Monthly Levelized'!$G$5:$I$25,3,FALSE),P48),1)</f>
        <v>1</v>
      </c>
      <c r="Q49" s="226" t="str">
        <f t="shared" si="8"/>
        <v>-</v>
      </c>
      <c r="R49" s="223"/>
      <c r="S49" s="224"/>
      <c r="T49" s="224"/>
      <c r="U49" s="224"/>
      <c r="V49" s="224"/>
    </row>
    <row r="50" spans="2:22" hidden="1" outlineLevel="1" x14ac:dyDescent="0.25">
      <c r="B50" s="177">
        <f t="shared" si="5"/>
        <v>44593</v>
      </c>
      <c r="C50" s="171">
        <f>'[1]Table 5'!E50*P50</f>
        <v>0</v>
      </c>
      <c r="D50" s="172" t="str">
        <f>IFERROR(G50*IF(AND(C50&lt;0,OR(Shape_Annually="No",AND(Shape_Annually="Yes",Shape_Start&gt;YEAR(B50)))),'MWH-Split'!T43,'MWH-Split'!S43)*'MWH-Split'!U43,"")</f>
        <v/>
      </c>
      <c r="E50" s="173" t="str">
        <f>IFERROR(H50*IF(AND(C50&lt;0,OR(Shape_Annually="No",AND(Shape_Annually="Yes",Shape_Start&gt;YEAR(B50)))),'MWH-Split'!S43,'MWH-Split'!T43)*'MWH-Split'!U43,"")</f>
        <v/>
      </c>
      <c r="F50" s="172">
        <f>'[1]Table 5'!F50*P50</f>
        <v>0</v>
      </c>
      <c r="G50" s="172" t="str">
        <f>IF('MWH-Split'!N43&lt;&gt;0,'MWH-Split'!N43*P50,"")</f>
        <v/>
      </c>
      <c r="H50" s="173" t="str">
        <f>IF('MWH-Split'!O43&lt;&gt;0,'MWH-Split'!O43*P50,"")</f>
        <v/>
      </c>
      <c r="I50" s="174" t="str">
        <f t="shared" si="3"/>
        <v/>
      </c>
      <c r="J50" s="174" t="e">
        <f t="shared" si="16"/>
        <v>#VALUE!</v>
      </c>
      <c r="K50" s="175" t="e">
        <f t="shared" si="16"/>
        <v>#VALUE!</v>
      </c>
      <c r="M50" s="180">
        <f t="shared" si="6"/>
        <v>2022</v>
      </c>
      <c r="N50" s="177" t="str">
        <f t="shared" si="13"/>
        <v/>
      </c>
      <c r="P50" s="178">
        <f>IF('Monthly Levelized'!$K$5+'Monthly Levelized'!$L$5&lt;&gt;0,IFERROR(VLOOKUP(B50,'Monthly Levelized'!$G$5:$I$25,3,FALSE),P49),1)</f>
        <v>1</v>
      </c>
      <c r="Q50" s="226" t="str">
        <f t="shared" si="8"/>
        <v>-</v>
      </c>
      <c r="R50" s="223"/>
      <c r="S50" s="224"/>
      <c r="T50" s="224"/>
      <c r="U50" s="224"/>
      <c r="V50" s="224"/>
    </row>
    <row r="51" spans="2:22" hidden="1" outlineLevel="1" x14ac:dyDescent="0.25">
      <c r="B51" s="177">
        <f t="shared" si="5"/>
        <v>44621</v>
      </c>
      <c r="C51" s="171">
        <f>'[1]Table 5'!E51*P51</f>
        <v>0</v>
      </c>
      <c r="D51" s="172" t="str">
        <f>IFERROR(G51*IF(AND(C51&lt;0,OR(Shape_Annually="No",AND(Shape_Annually="Yes",Shape_Start&gt;YEAR(B51)))),'MWH-Split'!T44,'MWH-Split'!S44)*'MWH-Split'!U44,"")</f>
        <v/>
      </c>
      <c r="E51" s="173" t="str">
        <f>IFERROR(H51*IF(AND(C51&lt;0,OR(Shape_Annually="No",AND(Shape_Annually="Yes",Shape_Start&gt;YEAR(B51)))),'MWH-Split'!S44,'MWH-Split'!T44)*'MWH-Split'!U44,"")</f>
        <v/>
      </c>
      <c r="F51" s="172">
        <f>'[1]Table 5'!F51*P51</f>
        <v>0</v>
      </c>
      <c r="G51" s="172" t="str">
        <f>IF('MWH-Split'!N44&lt;&gt;0,'MWH-Split'!N44*P51,"")</f>
        <v/>
      </c>
      <c r="H51" s="173" t="str">
        <f>IF('MWH-Split'!O44&lt;&gt;0,'MWH-Split'!O44*P51,"")</f>
        <v/>
      </c>
      <c r="I51" s="174" t="str">
        <f t="shared" si="3"/>
        <v/>
      </c>
      <c r="J51" s="174" t="e">
        <f t="shared" si="16"/>
        <v>#VALUE!</v>
      </c>
      <c r="K51" s="175" t="e">
        <f t="shared" si="16"/>
        <v>#VALUE!</v>
      </c>
      <c r="M51" s="180">
        <f t="shared" si="6"/>
        <v>2022</v>
      </c>
      <c r="N51" s="177" t="str">
        <f t="shared" si="13"/>
        <v/>
      </c>
      <c r="P51" s="178">
        <f>IF('Monthly Levelized'!$K$5+'Monthly Levelized'!$L$5&lt;&gt;0,IFERROR(VLOOKUP(B51,'Monthly Levelized'!$G$5:$I$25,3,FALSE),P50),1)</f>
        <v>1</v>
      </c>
      <c r="Q51" s="226" t="str">
        <f t="shared" si="8"/>
        <v>-</v>
      </c>
      <c r="R51" s="223"/>
      <c r="S51" s="224"/>
      <c r="T51" s="224"/>
      <c r="U51" s="224"/>
      <c r="V51" s="224"/>
    </row>
    <row r="52" spans="2:22" hidden="1" outlineLevel="1" x14ac:dyDescent="0.25">
      <c r="B52" s="177">
        <f t="shared" si="5"/>
        <v>44652</v>
      </c>
      <c r="C52" s="171">
        <f>'[1]Table 5'!E52*P52</f>
        <v>0</v>
      </c>
      <c r="D52" s="172" t="str">
        <f>IFERROR(G52*IF(AND(C52&lt;0,OR(Shape_Annually="No",AND(Shape_Annually="Yes",Shape_Start&gt;YEAR(B52)))),'MWH-Split'!T45,'MWH-Split'!S45)*'MWH-Split'!U45,"")</f>
        <v/>
      </c>
      <c r="E52" s="173" t="str">
        <f>IFERROR(H52*IF(AND(C52&lt;0,OR(Shape_Annually="No",AND(Shape_Annually="Yes",Shape_Start&gt;YEAR(B52)))),'MWH-Split'!S45,'MWH-Split'!T45)*'MWH-Split'!U45,"")</f>
        <v/>
      </c>
      <c r="F52" s="172">
        <f>'[1]Table 5'!F52*P52</f>
        <v>0</v>
      </c>
      <c r="G52" s="172" t="str">
        <f>IF('MWH-Split'!N45&lt;&gt;0,'MWH-Split'!N45*P52,"")</f>
        <v/>
      </c>
      <c r="H52" s="173" t="str">
        <f>IF('MWH-Split'!O45&lt;&gt;0,'MWH-Split'!O45*P52,"")</f>
        <v/>
      </c>
      <c r="I52" s="174" t="str">
        <f t="shared" si="3"/>
        <v/>
      </c>
      <c r="J52" s="174" t="e">
        <f t="shared" si="16"/>
        <v>#VALUE!</v>
      </c>
      <c r="K52" s="175" t="e">
        <f t="shared" si="16"/>
        <v>#VALUE!</v>
      </c>
      <c r="M52" s="180">
        <f t="shared" si="6"/>
        <v>2022</v>
      </c>
      <c r="N52" s="177" t="str">
        <f t="shared" si="13"/>
        <v/>
      </c>
      <c r="P52" s="178">
        <f>IF('Monthly Levelized'!$K$5+'Monthly Levelized'!$L$5&lt;&gt;0,IFERROR(VLOOKUP(B52,'Monthly Levelized'!$G$5:$I$25,3,FALSE),P51),1)</f>
        <v>1</v>
      </c>
      <c r="Q52" s="226" t="str">
        <f t="shared" si="8"/>
        <v>-</v>
      </c>
      <c r="R52" s="223"/>
      <c r="S52" s="224"/>
      <c r="T52" s="224"/>
      <c r="U52" s="224"/>
      <c r="V52" s="224"/>
    </row>
    <row r="53" spans="2:22" hidden="1" outlineLevel="1" x14ac:dyDescent="0.25">
      <c r="B53" s="177">
        <f t="shared" si="5"/>
        <v>44682</v>
      </c>
      <c r="C53" s="171">
        <f>'[1]Table 5'!E53*P53</f>
        <v>0</v>
      </c>
      <c r="D53" s="172" t="str">
        <f>IFERROR(G53*IF(AND(C53&lt;0,OR(Shape_Annually="No",AND(Shape_Annually="Yes",Shape_Start&gt;YEAR(B53)))),'MWH-Split'!T46,'MWH-Split'!S46)*'MWH-Split'!U46,"")</f>
        <v/>
      </c>
      <c r="E53" s="173" t="str">
        <f>IFERROR(H53*IF(AND(C53&lt;0,OR(Shape_Annually="No",AND(Shape_Annually="Yes",Shape_Start&gt;YEAR(B53)))),'MWH-Split'!S46,'MWH-Split'!T46)*'MWH-Split'!U46,"")</f>
        <v/>
      </c>
      <c r="F53" s="172">
        <f>'[1]Table 5'!F53*P53</f>
        <v>0</v>
      </c>
      <c r="G53" s="172" t="str">
        <f>IF('MWH-Split'!N46&lt;&gt;0,'MWH-Split'!N46*P53,"")</f>
        <v/>
      </c>
      <c r="H53" s="173" t="str">
        <f>IF('MWH-Split'!O46&lt;&gt;0,'MWH-Split'!O46*P53,"")</f>
        <v/>
      </c>
      <c r="I53" s="174" t="str">
        <f t="shared" si="3"/>
        <v/>
      </c>
      <c r="J53" s="174" t="e">
        <f t="shared" si="16"/>
        <v>#VALUE!</v>
      </c>
      <c r="K53" s="175" t="e">
        <f t="shared" si="16"/>
        <v>#VALUE!</v>
      </c>
      <c r="M53" s="180">
        <f t="shared" si="6"/>
        <v>2022</v>
      </c>
      <c r="N53" s="177" t="str">
        <f t="shared" si="13"/>
        <v/>
      </c>
      <c r="P53" s="178">
        <f>IF('Monthly Levelized'!$K$5+'Monthly Levelized'!$L$5&lt;&gt;0,IFERROR(VLOOKUP(B53,'Monthly Levelized'!$G$5:$I$25,3,FALSE),P52),1)</f>
        <v>1</v>
      </c>
      <c r="Q53" s="226" t="str">
        <f t="shared" si="8"/>
        <v>-</v>
      </c>
      <c r="R53" s="223"/>
      <c r="S53" s="224"/>
      <c r="T53" s="224"/>
      <c r="U53" s="224"/>
      <c r="V53" s="224"/>
    </row>
    <row r="54" spans="2:22" hidden="1" outlineLevel="1" x14ac:dyDescent="0.25">
      <c r="B54" s="177">
        <f t="shared" si="5"/>
        <v>44713</v>
      </c>
      <c r="C54" s="171">
        <f>'[1]Table 5'!E54*P54</f>
        <v>0</v>
      </c>
      <c r="D54" s="172" t="str">
        <f>IFERROR(G54*IF(AND(C54&lt;0,OR(Shape_Annually="No",AND(Shape_Annually="Yes",Shape_Start&gt;YEAR(B54)))),'MWH-Split'!T47,'MWH-Split'!S47)*'MWH-Split'!U47,"")</f>
        <v/>
      </c>
      <c r="E54" s="173" t="str">
        <f>IFERROR(H54*IF(AND(C54&lt;0,OR(Shape_Annually="No",AND(Shape_Annually="Yes",Shape_Start&gt;YEAR(B54)))),'MWH-Split'!S47,'MWH-Split'!T47)*'MWH-Split'!U47,"")</f>
        <v/>
      </c>
      <c r="F54" s="172">
        <f>'[1]Table 5'!F54*P54</f>
        <v>0</v>
      </c>
      <c r="G54" s="172" t="str">
        <f>IF('MWH-Split'!N47&lt;&gt;0,'MWH-Split'!N47*P54,"")</f>
        <v/>
      </c>
      <c r="H54" s="173" t="str">
        <f>IF('MWH-Split'!O47&lt;&gt;0,'MWH-Split'!O47*P54,"")</f>
        <v/>
      </c>
      <c r="I54" s="174" t="str">
        <f t="shared" si="3"/>
        <v/>
      </c>
      <c r="J54" s="174" t="e">
        <f t="shared" si="16"/>
        <v>#VALUE!</v>
      </c>
      <c r="K54" s="175" t="e">
        <f t="shared" si="16"/>
        <v>#VALUE!</v>
      </c>
      <c r="M54" s="180">
        <f t="shared" si="6"/>
        <v>2022</v>
      </c>
      <c r="N54" s="177" t="str">
        <f t="shared" si="13"/>
        <v/>
      </c>
      <c r="P54" s="178">
        <f>IF('Monthly Levelized'!$K$5+'Monthly Levelized'!$L$5&lt;&gt;0,IFERROR(VLOOKUP(B54,'Monthly Levelized'!$G$5:$I$25,3,FALSE),P53),1)</f>
        <v>1</v>
      </c>
      <c r="Q54" s="226" t="str">
        <f t="shared" si="8"/>
        <v>-</v>
      </c>
      <c r="R54" s="223"/>
      <c r="S54" s="224"/>
      <c r="T54" s="224"/>
      <c r="U54" s="224"/>
      <c r="V54" s="224"/>
    </row>
    <row r="55" spans="2:22" hidden="1" outlineLevel="1" x14ac:dyDescent="0.25">
      <c r="B55" s="177">
        <f t="shared" si="5"/>
        <v>44743</v>
      </c>
      <c r="C55" s="171">
        <f>'[1]Table 5'!E55*P55</f>
        <v>0</v>
      </c>
      <c r="D55" s="172" t="str">
        <f>IFERROR(G55*IF(AND(C55&lt;0,OR(Shape_Annually="No",AND(Shape_Annually="Yes",Shape_Start&gt;YEAR(B55)))),'MWH-Split'!T48,'MWH-Split'!S48)*'MWH-Split'!U48,"")</f>
        <v/>
      </c>
      <c r="E55" s="173" t="str">
        <f>IFERROR(H55*IF(AND(C55&lt;0,OR(Shape_Annually="No",AND(Shape_Annually="Yes",Shape_Start&gt;YEAR(B55)))),'MWH-Split'!S48,'MWH-Split'!T48)*'MWH-Split'!U48,"")</f>
        <v/>
      </c>
      <c r="F55" s="172">
        <f>'[1]Table 5'!F55*P55</f>
        <v>0</v>
      </c>
      <c r="G55" s="172" t="str">
        <f>IF('MWH-Split'!N48&lt;&gt;0,'MWH-Split'!N48*P55,"")</f>
        <v/>
      </c>
      <c r="H55" s="173" t="str">
        <f>IF('MWH-Split'!O48&lt;&gt;0,'MWH-Split'!O48*P55,"")</f>
        <v/>
      </c>
      <c r="I55" s="174" t="str">
        <f t="shared" si="3"/>
        <v/>
      </c>
      <c r="J55" s="174" t="e">
        <f t="shared" si="16"/>
        <v>#VALUE!</v>
      </c>
      <c r="K55" s="175" t="e">
        <f t="shared" si="16"/>
        <v>#VALUE!</v>
      </c>
      <c r="M55" s="180">
        <f t="shared" si="6"/>
        <v>2022</v>
      </c>
      <c r="N55" s="177" t="str">
        <f t="shared" si="13"/>
        <v/>
      </c>
      <c r="P55" s="178">
        <f>IF('Monthly Levelized'!$K$5+'Monthly Levelized'!$L$5&lt;&gt;0,IFERROR(VLOOKUP(B55,'Monthly Levelized'!$G$5:$I$25,3,FALSE),P54),1)</f>
        <v>1</v>
      </c>
      <c r="Q55" s="226" t="str">
        <f t="shared" si="8"/>
        <v>-</v>
      </c>
      <c r="R55" s="223"/>
      <c r="S55" s="224"/>
      <c r="T55" s="224"/>
      <c r="U55" s="224"/>
      <c r="V55" s="224"/>
    </row>
    <row r="56" spans="2:22" hidden="1" outlineLevel="1" x14ac:dyDescent="0.25">
      <c r="B56" s="177">
        <f t="shared" si="5"/>
        <v>44774</v>
      </c>
      <c r="C56" s="171">
        <f>'[1]Table 5'!E56*P56</f>
        <v>0</v>
      </c>
      <c r="D56" s="172" t="str">
        <f>IFERROR(G56*IF(AND(C56&lt;0,OR(Shape_Annually="No",AND(Shape_Annually="Yes",Shape_Start&gt;YEAR(B56)))),'MWH-Split'!T49,'MWH-Split'!S49)*'MWH-Split'!U49,"")</f>
        <v/>
      </c>
      <c r="E56" s="173" t="str">
        <f>IFERROR(H56*IF(AND(C56&lt;0,OR(Shape_Annually="No",AND(Shape_Annually="Yes",Shape_Start&gt;YEAR(B56)))),'MWH-Split'!S49,'MWH-Split'!T49)*'MWH-Split'!U49,"")</f>
        <v/>
      </c>
      <c r="F56" s="172">
        <f>'[1]Table 5'!F56*P56</f>
        <v>0</v>
      </c>
      <c r="G56" s="172" t="str">
        <f>IF('MWH-Split'!N49&lt;&gt;0,'MWH-Split'!N49*P56,"")</f>
        <v/>
      </c>
      <c r="H56" s="173" t="str">
        <f>IF('MWH-Split'!O49&lt;&gt;0,'MWH-Split'!O49*P56,"")</f>
        <v/>
      </c>
      <c r="I56" s="174" t="str">
        <f t="shared" si="3"/>
        <v/>
      </c>
      <c r="J56" s="174" t="e">
        <f t="shared" si="16"/>
        <v>#VALUE!</v>
      </c>
      <c r="K56" s="175" t="e">
        <f t="shared" si="16"/>
        <v>#VALUE!</v>
      </c>
      <c r="M56" s="180">
        <f t="shared" si="6"/>
        <v>2022</v>
      </c>
      <c r="N56" s="177" t="str">
        <f t="shared" si="13"/>
        <v/>
      </c>
      <c r="P56" s="178">
        <f>IF('Monthly Levelized'!$K$5+'Monthly Levelized'!$L$5&lt;&gt;0,IFERROR(VLOOKUP(B56,'Monthly Levelized'!$G$5:$I$25,3,FALSE),P55),1)</f>
        <v>1</v>
      </c>
      <c r="Q56" s="226" t="str">
        <f t="shared" si="8"/>
        <v>-</v>
      </c>
      <c r="R56" s="223"/>
      <c r="S56" s="224"/>
      <c r="T56" s="224"/>
      <c r="U56" s="224"/>
      <c r="V56" s="224"/>
    </row>
    <row r="57" spans="2:22" hidden="1" outlineLevel="1" x14ac:dyDescent="0.25">
      <c r="B57" s="177">
        <f t="shared" si="5"/>
        <v>44805</v>
      </c>
      <c r="C57" s="171">
        <f>'[1]Table 5'!E57*P57</f>
        <v>0</v>
      </c>
      <c r="D57" s="172" t="str">
        <f>IFERROR(G57*IF(AND(C57&lt;0,OR(Shape_Annually="No",AND(Shape_Annually="Yes",Shape_Start&gt;YEAR(B57)))),'MWH-Split'!T50,'MWH-Split'!S50)*'MWH-Split'!U50,"")</f>
        <v/>
      </c>
      <c r="E57" s="173" t="str">
        <f>IFERROR(H57*IF(AND(C57&lt;0,OR(Shape_Annually="No",AND(Shape_Annually="Yes",Shape_Start&gt;YEAR(B57)))),'MWH-Split'!S50,'MWH-Split'!T50)*'MWH-Split'!U50,"")</f>
        <v/>
      </c>
      <c r="F57" s="172">
        <f>'[1]Table 5'!F57*P57</f>
        <v>0</v>
      </c>
      <c r="G57" s="172" t="str">
        <f>IF('MWH-Split'!N50&lt;&gt;0,'MWH-Split'!N50*P57,"")</f>
        <v/>
      </c>
      <c r="H57" s="173" t="str">
        <f>IF('MWH-Split'!O50&lt;&gt;0,'MWH-Split'!O50*P57,"")</f>
        <v/>
      </c>
      <c r="I57" s="174" t="str">
        <f t="shared" si="3"/>
        <v/>
      </c>
      <c r="J57" s="174" t="e">
        <f t="shared" si="16"/>
        <v>#VALUE!</v>
      </c>
      <c r="K57" s="175" t="e">
        <f t="shared" si="16"/>
        <v>#VALUE!</v>
      </c>
      <c r="M57" s="180">
        <f t="shared" si="6"/>
        <v>2022</v>
      </c>
      <c r="N57" s="177" t="str">
        <f t="shared" si="13"/>
        <v/>
      </c>
      <c r="P57" s="178">
        <f>IF('Monthly Levelized'!$K$5+'Monthly Levelized'!$L$5&lt;&gt;0,IFERROR(VLOOKUP(B57,'Monthly Levelized'!$G$5:$I$25,3,FALSE),P56),1)</f>
        <v>1</v>
      </c>
      <c r="Q57" s="226" t="str">
        <f t="shared" si="8"/>
        <v>-</v>
      </c>
      <c r="R57" s="223"/>
      <c r="S57" s="224"/>
      <c r="T57" s="224"/>
      <c r="U57" s="224"/>
      <c r="V57" s="224"/>
    </row>
    <row r="58" spans="2:22" hidden="1" outlineLevel="1" x14ac:dyDescent="0.25">
      <c r="B58" s="177">
        <f t="shared" si="5"/>
        <v>44835</v>
      </c>
      <c r="C58" s="171">
        <f>'[1]Table 5'!E58*P58</f>
        <v>0</v>
      </c>
      <c r="D58" s="172" t="str">
        <f>IFERROR(G58*IF(AND(C58&lt;0,OR(Shape_Annually="No",AND(Shape_Annually="Yes",Shape_Start&gt;YEAR(B58)))),'MWH-Split'!T51,'MWH-Split'!S51)*'MWH-Split'!U51,"")</f>
        <v/>
      </c>
      <c r="E58" s="173" t="str">
        <f>IFERROR(H58*IF(AND(C58&lt;0,OR(Shape_Annually="No",AND(Shape_Annually="Yes",Shape_Start&gt;YEAR(B58)))),'MWH-Split'!S51,'MWH-Split'!T51)*'MWH-Split'!U51,"")</f>
        <v/>
      </c>
      <c r="F58" s="172">
        <f>'[1]Table 5'!F58*P58</f>
        <v>0</v>
      </c>
      <c r="G58" s="172" t="str">
        <f>IF('MWH-Split'!N51&lt;&gt;0,'MWH-Split'!N51*P58,"")</f>
        <v/>
      </c>
      <c r="H58" s="173" t="str">
        <f>IF('MWH-Split'!O51&lt;&gt;0,'MWH-Split'!O51*P58,"")</f>
        <v/>
      </c>
      <c r="I58" s="174" t="str">
        <f t="shared" si="3"/>
        <v/>
      </c>
      <c r="J58" s="174" t="e">
        <f t="shared" si="16"/>
        <v>#VALUE!</v>
      </c>
      <c r="K58" s="175" t="e">
        <f t="shared" si="16"/>
        <v>#VALUE!</v>
      </c>
      <c r="M58" s="180">
        <f t="shared" si="6"/>
        <v>2022</v>
      </c>
      <c r="N58" s="177" t="str">
        <f t="shared" si="13"/>
        <v/>
      </c>
      <c r="P58" s="178">
        <f>IF('Monthly Levelized'!$K$5+'Monthly Levelized'!$L$5&lt;&gt;0,IFERROR(VLOOKUP(B58,'Monthly Levelized'!$G$5:$I$25,3,FALSE),P57),1)</f>
        <v>1</v>
      </c>
      <c r="Q58" s="226" t="str">
        <f t="shared" si="8"/>
        <v>-</v>
      </c>
      <c r="R58" s="223"/>
      <c r="S58" s="224"/>
      <c r="T58" s="224"/>
      <c r="U58" s="224"/>
      <c r="V58" s="224"/>
    </row>
    <row r="59" spans="2:22" hidden="1" outlineLevel="1" x14ac:dyDescent="0.25">
      <c r="B59" s="177">
        <f t="shared" si="5"/>
        <v>44866</v>
      </c>
      <c r="C59" s="171">
        <f>'[1]Table 5'!E59*P59</f>
        <v>0</v>
      </c>
      <c r="D59" s="172" t="str">
        <f>IFERROR(G59*IF(AND(C59&lt;0,OR(Shape_Annually="No",AND(Shape_Annually="Yes",Shape_Start&gt;YEAR(B59)))),'MWH-Split'!T52,'MWH-Split'!S52)*'MWH-Split'!U52,"")</f>
        <v/>
      </c>
      <c r="E59" s="173" t="str">
        <f>IFERROR(H59*IF(AND(C59&lt;0,OR(Shape_Annually="No",AND(Shape_Annually="Yes",Shape_Start&gt;YEAR(B59)))),'MWH-Split'!S52,'MWH-Split'!T52)*'MWH-Split'!U52,"")</f>
        <v/>
      </c>
      <c r="F59" s="172">
        <f>'[1]Table 5'!F59*P59</f>
        <v>0</v>
      </c>
      <c r="G59" s="172" t="str">
        <f>IF('MWH-Split'!N52&lt;&gt;0,'MWH-Split'!N52*P59,"")</f>
        <v/>
      </c>
      <c r="H59" s="173" t="str">
        <f>IF('MWH-Split'!O52&lt;&gt;0,'MWH-Split'!O52*P59,"")</f>
        <v/>
      </c>
      <c r="I59" s="174" t="str">
        <f t="shared" si="3"/>
        <v/>
      </c>
      <c r="J59" s="174" t="e">
        <f t="shared" si="16"/>
        <v>#VALUE!</v>
      </c>
      <c r="K59" s="175" t="e">
        <f t="shared" si="16"/>
        <v>#VALUE!</v>
      </c>
      <c r="M59" s="180">
        <f t="shared" si="6"/>
        <v>2022</v>
      </c>
      <c r="N59" s="177" t="str">
        <f t="shared" si="13"/>
        <v/>
      </c>
      <c r="P59" s="178">
        <f>IF('Monthly Levelized'!$K$5+'Monthly Levelized'!$L$5&lt;&gt;0,IFERROR(VLOOKUP(B59,'Monthly Levelized'!$G$5:$I$25,3,FALSE),P58),1)</f>
        <v>1</v>
      </c>
      <c r="Q59" s="226" t="str">
        <f t="shared" si="8"/>
        <v>-</v>
      </c>
      <c r="R59" s="223"/>
      <c r="S59" s="224"/>
      <c r="T59" s="224"/>
      <c r="U59" s="224"/>
      <c r="V59" s="224"/>
    </row>
    <row r="60" spans="2:22" hidden="1" outlineLevel="1" x14ac:dyDescent="0.25">
      <c r="B60" s="188">
        <f t="shared" si="5"/>
        <v>44896</v>
      </c>
      <c r="C60" s="182">
        <f>'[1]Table 5'!E60*P60</f>
        <v>0</v>
      </c>
      <c r="D60" s="183" t="str">
        <f>IFERROR(G60*IF(AND(C60&lt;0,OR(Shape_Annually="No",AND(Shape_Annually="Yes",Shape_Start&gt;YEAR(B60)))),'MWH-Split'!T53,'MWH-Split'!S53)*'MWH-Split'!U53,"")</f>
        <v/>
      </c>
      <c r="E60" s="184" t="str">
        <f>IFERROR(H60*IF(AND(C60&lt;0,OR(Shape_Annually="No",AND(Shape_Annually="Yes",Shape_Start&gt;YEAR(B60)))),'MWH-Split'!S53,'MWH-Split'!T53)*'MWH-Split'!U53,"")</f>
        <v/>
      </c>
      <c r="F60" s="183">
        <f>'[1]Table 5'!F60*P60</f>
        <v>0</v>
      </c>
      <c r="G60" s="183" t="str">
        <f>IF('MWH-Split'!N53&lt;&gt;0,'MWH-Split'!N53*P60,"")</f>
        <v/>
      </c>
      <c r="H60" s="184" t="str">
        <f>IF('MWH-Split'!O53&lt;&gt;0,'MWH-Split'!O53*P60,"")</f>
        <v/>
      </c>
      <c r="I60" s="185" t="str">
        <f t="shared" si="3"/>
        <v/>
      </c>
      <c r="J60" s="185" t="e">
        <f t="shared" ref="J60:K61" si="18">MAX(ROUND(IF(ISNUMBER(G60),D60/G60,""),2),-99)</f>
        <v>#VALUE!</v>
      </c>
      <c r="K60" s="186" t="e">
        <f t="shared" si="18"/>
        <v>#VALUE!</v>
      </c>
      <c r="M60" s="187">
        <f t="shared" si="6"/>
        <v>2022</v>
      </c>
      <c r="N60" s="188" t="str">
        <f t="shared" si="13"/>
        <v/>
      </c>
      <c r="P60" s="189">
        <f>IF('Monthly Levelized'!$K$5+'Monthly Levelized'!$L$5&lt;&gt;0,IFERROR(VLOOKUP(B60,'Monthly Levelized'!$G$5:$I$25,3,FALSE),P59),1)</f>
        <v>1</v>
      </c>
      <c r="Q60" s="226" t="str">
        <f t="shared" si="8"/>
        <v>-</v>
      </c>
      <c r="R60" s="223"/>
      <c r="S60" s="224"/>
      <c r="T60" s="224"/>
      <c r="U60" s="224"/>
      <c r="V60" s="224"/>
    </row>
    <row r="61" spans="2:22" hidden="1" outlineLevel="1" x14ac:dyDescent="0.25">
      <c r="B61" s="190">
        <f t="shared" si="5"/>
        <v>44927</v>
      </c>
      <c r="C61" s="191">
        <f>'[1]Table 5'!E61*P61</f>
        <v>0</v>
      </c>
      <c r="D61" s="192" t="str">
        <f>IFERROR(G61*IF(AND(C61&lt;0,OR(Shape_Annually="No",AND(Shape_Annually="Yes",Shape_Start&gt;YEAR(B61)))),'MWH-Split'!T54,'MWH-Split'!S54)*'MWH-Split'!U54,"")</f>
        <v/>
      </c>
      <c r="E61" s="193" t="str">
        <f>IFERROR(H61*IF(AND(C61&lt;0,OR(Shape_Annually="No",AND(Shape_Annually="Yes",Shape_Start&gt;YEAR(B61)))),'MWH-Split'!S54,'MWH-Split'!T54)*'MWH-Split'!U54,"")</f>
        <v/>
      </c>
      <c r="F61" s="192">
        <f>'[1]Table 5'!F61*P61</f>
        <v>0</v>
      </c>
      <c r="G61" s="192" t="str">
        <f>IF('MWH-Split'!N54&lt;&gt;0,'MWH-Split'!N54*P61,"")</f>
        <v/>
      </c>
      <c r="H61" s="193" t="str">
        <f>IF('MWH-Split'!O54&lt;&gt;0,'MWH-Split'!O54*P61,"")</f>
        <v/>
      </c>
      <c r="I61" s="194" t="str">
        <f t="shared" si="3"/>
        <v/>
      </c>
      <c r="J61" s="194" t="e">
        <f t="shared" si="18"/>
        <v>#VALUE!</v>
      </c>
      <c r="K61" s="195" t="e">
        <f t="shared" si="18"/>
        <v>#VALUE!</v>
      </c>
      <c r="M61" s="176">
        <f t="shared" si="6"/>
        <v>2023</v>
      </c>
      <c r="N61" s="177" t="str">
        <f t="shared" si="13"/>
        <v/>
      </c>
      <c r="P61" s="196">
        <f>IF('Monthly Levelized'!$K$5+'Monthly Levelized'!$L$5&lt;&gt;0,IFERROR(VLOOKUP(B61,'Monthly Levelized'!$G$5:$I$25,3,FALSE),P60),1)</f>
        <v>1</v>
      </c>
      <c r="Q61" s="226" t="str">
        <f t="shared" si="8"/>
        <v>-</v>
      </c>
      <c r="R61" s="223"/>
      <c r="S61" s="224"/>
      <c r="T61" s="224"/>
      <c r="U61" s="224"/>
      <c r="V61" s="224"/>
    </row>
    <row r="62" spans="2:22" hidden="1" outlineLevel="1" x14ac:dyDescent="0.25">
      <c r="B62" s="177">
        <f t="shared" si="5"/>
        <v>44958</v>
      </c>
      <c r="C62" s="171">
        <f>'[1]Table 5'!E62*P62</f>
        <v>0</v>
      </c>
      <c r="D62" s="172" t="str">
        <f>IFERROR(G62*IF(AND(C62&lt;0,OR(Shape_Annually="No",AND(Shape_Annually="Yes",Shape_Start&gt;YEAR(B62)))),'MWH-Split'!T55,'MWH-Split'!S55)*'MWH-Split'!U55,"")</f>
        <v/>
      </c>
      <c r="E62" s="173" t="str">
        <f>IFERROR(H62*IF(AND(C62&lt;0,OR(Shape_Annually="No",AND(Shape_Annually="Yes",Shape_Start&gt;YEAR(B62)))),'MWH-Split'!S55,'MWH-Split'!T55)*'MWH-Split'!U55,"")</f>
        <v/>
      </c>
      <c r="F62" s="172">
        <f>'[1]Table 5'!F62*P62</f>
        <v>0</v>
      </c>
      <c r="G62" s="172" t="str">
        <f>IF('MWH-Split'!N55&lt;&gt;0,'MWH-Split'!N55*P62,"")</f>
        <v/>
      </c>
      <c r="H62" s="173" t="str">
        <f>IF('MWH-Split'!O55&lt;&gt;0,'MWH-Split'!O55*P62,"")</f>
        <v/>
      </c>
      <c r="I62" s="174" t="str">
        <f t="shared" si="3"/>
        <v/>
      </c>
      <c r="J62" s="174" t="e">
        <f t="shared" si="16"/>
        <v>#VALUE!</v>
      </c>
      <c r="K62" s="175" t="e">
        <f t="shared" si="16"/>
        <v>#VALUE!</v>
      </c>
      <c r="M62" s="180">
        <f t="shared" si="6"/>
        <v>2023</v>
      </c>
      <c r="N62" s="177" t="str">
        <f t="shared" si="13"/>
        <v/>
      </c>
      <c r="P62" s="178">
        <f>IF('Monthly Levelized'!$K$5+'Monthly Levelized'!$L$5&lt;&gt;0,IFERROR(VLOOKUP(B62,'Monthly Levelized'!$G$5:$I$25,3,FALSE),P61),1)</f>
        <v>1</v>
      </c>
      <c r="Q62" s="226" t="str">
        <f t="shared" si="8"/>
        <v>-</v>
      </c>
      <c r="R62" s="223"/>
      <c r="S62" s="224"/>
      <c r="T62" s="224"/>
      <c r="U62" s="224"/>
      <c r="V62" s="224"/>
    </row>
    <row r="63" spans="2:22" hidden="1" outlineLevel="1" x14ac:dyDescent="0.25">
      <c r="B63" s="177">
        <f t="shared" si="5"/>
        <v>44986</v>
      </c>
      <c r="C63" s="171">
        <f>'[1]Table 5'!E63*P63</f>
        <v>0</v>
      </c>
      <c r="D63" s="172" t="str">
        <f>IFERROR(G63*IF(AND(C63&lt;0,OR(Shape_Annually="No",AND(Shape_Annually="Yes",Shape_Start&gt;YEAR(B63)))),'MWH-Split'!T56,'MWH-Split'!S56)*'MWH-Split'!U56,"")</f>
        <v/>
      </c>
      <c r="E63" s="173" t="str">
        <f>IFERROR(H63*IF(AND(C63&lt;0,OR(Shape_Annually="No",AND(Shape_Annually="Yes",Shape_Start&gt;YEAR(B63)))),'MWH-Split'!S56,'MWH-Split'!T56)*'MWH-Split'!U56,"")</f>
        <v/>
      </c>
      <c r="F63" s="172">
        <f>'[1]Table 5'!F63*P63</f>
        <v>0</v>
      </c>
      <c r="G63" s="172" t="str">
        <f>IF('MWH-Split'!N56&lt;&gt;0,'MWH-Split'!N56*P63,"")</f>
        <v/>
      </c>
      <c r="H63" s="173" t="str">
        <f>IF('MWH-Split'!O56&lt;&gt;0,'MWH-Split'!O56*P63,"")</f>
        <v/>
      </c>
      <c r="I63" s="174" t="str">
        <f t="shared" si="3"/>
        <v/>
      </c>
      <c r="J63" s="174" t="e">
        <f t="shared" si="16"/>
        <v>#VALUE!</v>
      </c>
      <c r="K63" s="175" t="e">
        <f t="shared" si="16"/>
        <v>#VALUE!</v>
      </c>
      <c r="M63" s="180">
        <f t="shared" si="6"/>
        <v>2023</v>
      </c>
      <c r="N63" s="177" t="str">
        <f t="shared" si="13"/>
        <v/>
      </c>
      <c r="P63" s="178">
        <f>IF('Monthly Levelized'!$K$5+'Monthly Levelized'!$L$5&lt;&gt;0,IFERROR(VLOOKUP(B63,'Monthly Levelized'!$G$5:$I$25,3,FALSE),P62),1)</f>
        <v>1</v>
      </c>
      <c r="Q63" s="226" t="str">
        <f t="shared" si="8"/>
        <v>-</v>
      </c>
      <c r="R63" s="223"/>
      <c r="S63" s="224"/>
      <c r="T63" s="224"/>
      <c r="U63" s="224"/>
      <c r="V63" s="224"/>
    </row>
    <row r="64" spans="2:22" hidden="1" outlineLevel="1" x14ac:dyDescent="0.25">
      <c r="B64" s="177">
        <f t="shared" si="5"/>
        <v>45017</v>
      </c>
      <c r="C64" s="171">
        <f>'[1]Table 5'!E64*P64</f>
        <v>0</v>
      </c>
      <c r="D64" s="172" t="str">
        <f>IFERROR(G64*IF(AND(C64&lt;0,OR(Shape_Annually="No",AND(Shape_Annually="Yes",Shape_Start&gt;YEAR(B64)))),'MWH-Split'!T57,'MWH-Split'!S57)*'MWH-Split'!U57,"")</f>
        <v/>
      </c>
      <c r="E64" s="173" t="str">
        <f>IFERROR(H64*IF(AND(C64&lt;0,OR(Shape_Annually="No",AND(Shape_Annually="Yes",Shape_Start&gt;YEAR(B64)))),'MWH-Split'!S57,'MWH-Split'!T57)*'MWH-Split'!U57,"")</f>
        <v/>
      </c>
      <c r="F64" s="172">
        <f>'[1]Table 5'!F64*P64</f>
        <v>0</v>
      </c>
      <c r="G64" s="172" t="str">
        <f>IF('MWH-Split'!N57&lt;&gt;0,'MWH-Split'!N57*P64,"")</f>
        <v/>
      </c>
      <c r="H64" s="173" t="str">
        <f>IF('MWH-Split'!O57&lt;&gt;0,'MWH-Split'!O57*P64,"")</f>
        <v/>
      </c>
      <c r="I64" s="174" t="str">
        <f t="shared" si="3"/>
        <v/>
      </c>
      <c r="J64" s="174" t="e">
        <f t="shared" si="16"/>
        <v>#VALUE!</v>
      </c>
      <c r="K64" s="175" t="e">
        <f t="shared" si="16"/>
        <v>#VALUE!</v>
      </c>
      <c r="M64" s="180">
        <f t="shared" si="6"/>
        <v>2023</v>
      </c>
      <c r="N64" s="177" t="str">
        <f t="shared" si="13"/>
        <v/>
      </c>
      <c r="P64" s="178">
        <f>IF('Monthly Levelized'!$K$5+'Monthly Levelized'!$L$5&lt;&gt;0,IFERROR(VLOOKUP(B64,'Monthly Levelized'!$G$5:$I$25,3,FALSE),P63),1)</f>
        <v>1</v>
      </c>
      <c r="Q64" s="226" t="str">
        <f t="shared" si="8"/>
        <v>-</v>
      </c>
      <c r="R64" s="223"/>
      <c r="S64" s="224"/>
      <c r="T64" s="224"/>
      <c r="U64" s="224"/>
      <c r="V64" s="224"/>
    </row>
    <row r="65" spans="2:22" hidden="1" outlineLevel="1" x14ac:dyDescent="0.25">
      <c r="B65" s="177">
        <f t="shared" si="5"/>
        <v>45047</v>
      </c>
      <c r="C65" s="171">
        <f>'[1]Table 5'!E65*P65</f>
        <v>0</v>
      </c>
      <c r="D65" s="172" t="str">
        <f>IFERROR(G65*IF(AND(C65&lt;0,OR(Shape_Annually="No",AND(Shape_Annually="Yes",Shape_Start&gt;YEAR(B65)))),'MWH-Split'!T58,'MWH-Split'!S58)*'MWH-Split'!U58,"")</f>
        <v/>
      </c>
      <c r="E65" s="173" t="str">
        <f>IFERROR(H65*IF(AND(C65&lt;0,OR(Shape_Annually="No",AND(Shape_Annually="Yes",Shape_Start&gt;YEAR(B65)))),'MWH-Split'!S58,'MWH-Split'!T58)*'MWH-Split'!U58,"")</f>
        <v/>
      </c>
      <c r="F65" s="172">
        <f>'[1]Table 5'!F65*P65</f>
        <v>0</v>
      </c>
      <c r="G65" s="172" t="str">
        <f>IF('MWH-Split'!N58&lt;&gt;0,'MWH-Split'!N58*P65,"")</f>
        <v/>
      </c>
      <c r="H65" s="173" t="str">
        <f>IF('MWH-Split'!O58&lt;&gt;0,'MWH-Split'!O58*P65,"")</f>
        <v/>
      </c>
      <c r="I65" s="174" t="str">
        <f t="shared" si="3"/>
        <v/>
      </c>
      <c r="J65" s="174" t="e">
        <f t="shared" si="16"/>
        <v>#VALUE!</v>
      </c>
      <c r="K65" s="175" t="e">
        <f t="shared" si="16"/>
        <v>#VALUE!</v>
      </c>
      <c r="M65" s="180">
        <f t="shared" si="6"/>
        <v>2023</v>
      </c>
      <c r="N65" s="177" t="str">
        <f t="shared" si="13"/>
        <v/>
      </c>
      <c r="P65" s="178">
        <f>IF('Monthly Levelized'!$K$5+'Monthly Levelized'!$L$5&lt;&gt;0,IFERROR(VLOOKUP(B65,'Monthly Levelized'!$G$5:$I$25,3,FALSE),P64),1)</f>
        <v>1</v>
      </c>
      <c r="Q65" s="226" t="str">
        <f t="shared" si="8"/>
        <v>-</v>
      </c>
      <c r="R65" s="223"/>
      <c r="S65" s="224"/>
      <c r="T65" s="224"/>
      <c r="U65" s="224"/>
      <c r="V65" s="224"/>
    </row>
    <row r="66" spans="2:22" hidden="1" outlineLevel="1" x14ac:dyDescent="0.25">
      <c r="B66" s="177">
        <f t="shared" si="5"/>
        <v>45078</v>
      </c>
      <c r="C66" s="171">
        <f>'[1]Table 5'!E66*P66</f>
        <v>0</v>
      </c>
      <c r="D66" s="172" t="str">
        <f>IFERROR(G66*IF(AND(C66&lt;0,OR(Shape_Annually="No",AND(Shape_Annually="Yes",Shape_Start&gt;YEAR(B66)))),'MWH-Split'!T59,'MWH-Split'!S59)*'MWH-Split'!U59,"")</f>
        <v/>
      </c>
      <c r="E66" s="173" t="str">
        <f>IFERROR(H66*IF(AND(C66&lt;0,OR(Shape_Annually="No",AND(Shape_Annually="Yes",Shape_Start&gt;YEAR(B66)))),'MWH-Split'!S59,'MWH-Split'!T59)*'MWH-Split'!U59,"")</f>
        <v/>
      </c>
      <c r="F66" s="172">
        <f>'[1]Table 5'!F66*P66</f>
        <v>0</v>
      </c>
      <c r="G66" s="172" t="str">
        <f>IF('MWH-Split'!N59&lt;&gt;0,'MWH-Split'!N59*P66,"")</f>
        <v/>
      </c>
      <c r="H66" s="173" t="str">
        <f>IF('MWH-Split'!O59&lt;&gt;0,'MWH-Split'!O59*P66,"")</f>
        <v/>
      </c>
      <c r="I66" s="174" t="str">
        <f t="shared" si="3"/>
        <v/>
      </c>
      <c r="J66" s="174" t="e">
        <f t="shared" si="16"/>
        <v>#VALUE!</v>
      </c>
      <c r="K66" s="175" t="e">
        <f t="shared" si="16"/>
        <v>#VALUE!</v>
      </c>
      <c r="M66" s="180">
        <f t="shared" si="6"/>
        <v>2023</v>
      </c>
      <c r="N66" s="177" t="str">
        <f t="shared" si="13"/>
        <v/>
      </c>
      <c r="P66" s="178">
        <f>IF('Monthly Levelized'!$K$5+'Monthly Levelized'!$L$5&lt;&gt;0,IFERROR(VLOOKUP(B66,'Monthly Levelized'!$G$5:$I$25,3,FALSE),P65),1)</f>
        <v>1</v>
      </c>
      <c r="Q66" s="226" t="str">
        <f t="shared" si="8"/>
        <v>-</v>
      </c>
      <c r="R66" s="223"/>
      <c r="S66" s="224"/>
      <c r="T66" s="224"/>
      <c r="U66" s="224"/>
      <c r="V66" s="224"/>
    </row>
    <row r="67" spans="2:22" hidden="1" outlineLevel="1" x14ac:dyDescent="0.25">
      <c r="B67" s="177">
        <f t="shared" si="5"/>
        <v>45108</v>
      </c>
      <c r="C67" s="171">
        <f>'[1]Table 5'!E67*P67</f>
        <v>0</v>
      </c>
      <c r="D67" s="172" t="str">
        <f>IFERROR(G67*IF(AND(C67&lt;0,OR(Shape_Annually="No",AND(Shape_Annually="Yes",Shape_Start&gt;YEAR(B67)))),'MWH-Split'!T60,'MWH-Split'!S60)*'MWH-Split'!U60,"")</f>
        <v/>
      </c>
      <c r="E67" s="173" t="str">
        <f>IFERROR(H67*IF(AND(C67&lt;0,OR(Shape_Annually="No",AND(Shape_Annually="Yes",Shape_Start&gt;YEAR(B67)))),'MWH-Split'!S60,'MWH-Split'!T60)*'MWH-Split'!U60,"")</f>
        <v/>
      </c>
      <c r="F67" s="172">
        <f>'[1]Table 5'!F67*P67</f>
        <v>0</v>
      </c>
      <c r="G67" s="172" t="str">
        <f>IF('MWH-Split'!N60&lt;&gt;0,'MWH-Split'!N60*P67,"")</f>
        <v/>
      </c>
      <c r="H67" s="173" t="str">
        <f>IF('MWH-Split'!O60&lt;&gt;0,'MWH-Split'!O60*P67,"")</f>
        <v/>
      </c>
      <c r="I67" s="174" t="str">
        <f t="shared" si="3"/>
        <v/>
      </c>
      <c r="J67" s="174" t="e">
        <f t="shared" si="16"/>
        <v>#VALUE!</v>
      </c>
      <c r="K67" s="175" t="e">
        <f t="shared" si="16"/>
        <v>#VALUE!</v>
      </c>
      <c r="M67" s="180">
        <f t="shared" si="6"/>
        <v>2023</v>
      </c>
      <c r="N67" s="177" t="str">
        <f t="shared" si="13"/>
        <v/>
      </c>
      <c r="P67" s="178">
        <f>IF('Monthly Levelized'!$K$5+'Monthly Levelized'!$L$5&lt;&gt;0,IFERROR(VLOOKUP(B67,'Monthly Levelized'!$G$5:$I$25,3,FALSE),P66),1)</f>
        <v>1</v>
      </c>
      <c r="Q67" s="226" t="str">
        <f t="shared" si="8"/>
        <v>-</v>
      </c>
      <c r="R67" s="223"/>
      <c r="S67" s="224"/>
      <c r="T67" s="224"/>
      <c r="U67" s="224"/>
      <c r="V67" s="224"/>
    </row>
    <row r="68" spans="2:22" hidden="1" outlineLevel="1" x14ac:dyDescent="0.25">
      <c r="B68" s="177">
        <f t="shared" si="5"/>
        <v>45139</v>
      </c>
      <c r="C68" s="171">
        <f>'[1]Table 5'!E68*P68</f>
        <v>0</v>
      </c>
      <c r="D68" s="172" t="str">
        <f>IFERROR(G68*IF(AND(C68&lt;0,OR(Shape_Annually="No",AND(Shape_Annually="Yes",Shape_Start&gt;YEAR(B68)))),'MWH-Split'!T61,'MWH-Split'!S61)*'MWH-Split'!U61,"")</f>
        <v/>
      </c>
      <c r="E68" s="173" t="str">
        <f>IFERROR(H68*IF(AND(C68&lt;0,OR(Shape_Annually="No",AND(Shape_Annually="Yes",Shape_Start&gt;YEAR(B68)))),'MWH-Split'!S61,'MWH-Split'!T61)*'MWH-Split'!U61,"")</f>
        <v/>
      </c>
      <c r="F68" s="172">
        <f>'[1]Table 5'!F68*P68</f>
        <v>0</v>
      </c>
      <c r="G68" s="172" t="str">
        <f>IF('MWH-Split'!N61&lt;&gt;0,'MWH-Split'!N61*P68,"")</f>
        <v/>
      </c>
      <c r="H68" s="173" t="str">
        <f>IF('MWH-Split'!O61&lt;&gt;0,'MWH-Split'!O61*P68,"")</f>
        <v/>
      </c>
      <c r="I68" s="174" t="str">
        <f t="shared" si="3"/>
        <v/>
      </c>
      <c r="J68" s="174" t="e">
        <f t="shared" si="16"/>
        <v>#VALUE!</v>
      </c>
      <c r="K68" s="175" t="e">
        <f t="shared" si="16"/>
        <v>#VALUE!</v>
      </c>
      <c r="M68" s="180">
        <f t="shared" si="6"/>
        <v>2023</v>
      </c>
      <c r="N68" s="177" t="str">
        <f t="shared" si="13"/>
        <v/>
      </c>
      <c r="P68" s="178">
        <f>IF('Monthly Levelized'!$K$5+'Monthly Levelized'!$L$5&lt;&gt;0,IFERROR(VLOOKUP(B68,'Monthly Levelized'!$G$5:$I$25,3,FALSE),P67),1)</f>
        <v>1</v>
      </c>
      <c r="Q68" s="226" t="str">
        <f t="shared" si="8"/>
        <v>-</v>
      </c>
      <c r="R68" s="223"/>
      <c r="S68" s="224"/>
      <c r="T68" s="224"/>
      <c r="U68" s="224"/>
      <c r="V68" s="224"/>
    </row>
    <row r="69" spans="2:22" hidden="1" outlineLevel="1" x14ac:dyDescent="0.25">
      <c r="B69" s="177">
        <f t="shared" si="5"/>
        <v>45170</v>
      </c>
      <c r="C69" s="171">
        <f>'[1]Table 5'!E69*P69</f>
        <v>0</v>
      </c>
      <c r="D69" s="172" t="str">
        <f>IFERROR(G69*IF(AND(C69&lt;0,OR(Shape_Annually="No",AND(Shape_Annually="Yes",Shape_Start&gt;YEAR(B69)))),'MWH-Split'!T62,'MWH-Split'!S62)*'MWH-Split'!U62,"")</f>
        <v/>
      </c>
      <c r="E69" s="173" t="str">
        <f>IFERROR(H69*IF(AND(C69&lt;0,OR(Shape_Annually="No",AND(Shape_Annually="Yes",Shape_Start&gt;YEAR(B69)))),'MWH-Split'!S62,'MWH-Split'!T62)*'MWH-Split'!U62,"")</f>
        <v/>
      </c>
      <c r="F69" s="172">
        <f>'[1]Table 5'!F69*P69</f>
        <v>0</v>
      </c>
      <c r="G69" s="172" t="str">
        <f>IF('MWH-Split'!N62&lt;&gt;0,'MWH-Split'!N62*P69,"")</f>
        <v/>
      </c>
      <c r="H69" s="173" t="str">
        <f>IF('MWH-Split'!O62&lt;&gt;0,'MWH-Split'!O62*P69,"")</f>
        <v/>
      </c>
      <c r="I69" s="174" t="str">
        <f t="shared" si="3"/>
        <v/>
      </c>
      <c r="J69" s="174" t="e">
        <f t="shared" si="16"/>
        <v>#VALUE!</v>
      </c>
      <c r="K69" s="175" t="e">
        <f t="shared" si="16"/>
        <v>#VALUE!</v>
      </c>
      <c r="M69" s="180">
        <f t="shared" si="6"/>
        <v>2023</v>
      </c>
      <c r="N69" s="177" t="str">
        <f t="shared" si="13"/>
        <v/>
      </c>
      <c r="P69" s="178">
        <f>IF('Monthly Levelized'!$K$5+'Monthly Levelized'!$L$5&lt;&gt;0,IFERROR(VLOOKUP(B69,'Monthly Levelized'!$G$5:$I$25,3,FALSE),P68),1)</f>
        <v>1</v>
      </c>
      <c r="Q69" s="226" t="str">
        <f t="shared" si="8"/>
        <v>-</v>
      </c>
      <c r="R69" s="223"/>
      <c r="S69" s="224"/>
      <c r="T69" s="224"/>
      <c r="U69" s="224"/>
      <c r="V69" s="224"/>
    </row>
    <row r="70" spans="2:22" hidden="1" outlineLevel="1" x14ac:dyDescent="0.25">
      <c r="B70" s="177">
        <f t="shared" si="5"/>
        <v>45200</v>
      </c>
      <c r="C70" s="171">
        <f>'[1]Table 5'!E70*P70</f>
        <v>0</v>
      </c>
      <c r="D70" s="172" t="str">
        <f>IFERROR(G70*IF(AND(C70&lt;0,OR(Shape_Annually="No",AND(Shape_Annually="Yes",Shape_Start&gt;YEAR(B70)))),'MWH-Split'!T63,'MWH-Split'!S63)*'MWH-Split'!U63,"")</f>
        <v/>
      </c>
      <c r="E70" s="173" t="str">
        <f>IFERROR(H70*IF(AND(C70&lt;0,OR(Shape_Annually="No",AND(Shape_Annually="Yes",Shape_Start&gt;YEAR(B70)))),'MWH-Split'!S63,'MWH-Split'!T63)*'MWH-Split'!U63,"")</f>
        <v/>
      </c>
      <c r="F70" s="172">
        <f>'[1]Table 5'!F70*P70</f>
        <v>0</v>
      </c>
      <c r="G70" s="172" t="str">
        <f>IF('MWH-Split'!N63&lt;&gt;0,'MWH-Split'!N63*P70,"")</f>
        <v/>
      </c>
      <c r="H70" s="173" t="str">
        <f>IF('MWH-Split'!O63&lt;&gt;0,'MWH-Split'!O63*P70,"")</f>
        <v/>
      </c>
      <c r="I70" s="174" t="str">
        <f t="shared" si="3"/>
        <v/>
      </c>
      <c r="J70" s="174" t="e">
        <f t="shared" si="16"/>
        <v>#VALUE!</v>
      </c>
      <c r="K70" s="175" t="e">
        <f t="shared" si="16"/>
        <v>#VALUE!</v>
      </c>
      <c r="M70" s="180">
        <f t="shared" si="6"/>
        <v>2023</v>
      </c>
      <c r="N70" s="177" t="str">
        <f t="shared" si="13"/>
        <v/>
      </c>
      <c r="P70" s="178">
        <f>IF('Monthly Levelized'!$K$5+'Monthly Levelized'!$L$5&lt;&gt;0,IFERROR(VLOOKUP(B70,'Monthly Levelized'!$G$5:$I$25,3,FALSE),P69),1)</f>
        <v>1</v>
      </c>
      <c r="Q70" s="226" t="str">
        <f t="shared" si="8"/>
        <v>-</v>
      </c>
      <c r="R70" s="223"/>
      <c r="S70" s="224"/>
      <c r="T70" s="224"/>
      <c r="U70" s="224"/>
      <c r="V70" s="224"/>
    </row>
    <row r="71" spans="2:22" hidden="1" outlineLevel="1" x14ac:dyDescent="0.25">
      <c r="B71" s="177">
        <f t="shared" si="5"/>
        <v>45231</v>
      </c>
      <c r="C71" s="171">
        <f>'[1]Table 5'!E71*P71</f>
        <v>0</v>
      </c>
      <c r="D71" s="172" t="str">
        <f>IFERROR(G71*IF(AND(C71&lt;0,OR(Shape_Annually="No",AND(Shape_Annually="Yes",Shape_Start&gt;YEAR(B71)))),'MWH-Split'!T64,'MWH-Split'!S64)*'MWH-Split'!U64,"")</f>
        <v/>
      </c>
      <c r="E71" s="173" t="str">
        <f>IFERROR(H71*IF(AND(C71&lt;0,OR(Shape_Annually="No",AND(Shape_Annually="Yes",Shape_Start&gt;YEAR(B71)))),'MWH-Split'!S64,'MWH-Split'!T64)*'MWH-Split'!U64,"")</f>
        <v/>
      </c>
      <c r="F71" s="172">
        <f>'[1]Table 5'!F71*P71</f>
        <v>0</v>
      </c>
      <c r="G71" s="172" t="str">
        <f>IF('MWH-Split'!N64&lt;&gt;0,'MWH-Split'!N64*P71,"")</f>
        <v/>
      </c>
      <c r="H71" s="173" t="str">
        <f>IF('MWH-Split'!O64&lt;&gt;0,'MWH-Split'!O64*P71,"")</f>
        <v/>
      </c>
      <c r="I71" s="174" t="str">
        <f t="shared" si="3"/>
        <v/>
      </c>
      <c r="J71" s="174" t="e">
        <f t="shared" si="16"/>
        <v>#VALUE!</v>
      </c>
      <c r="K71" s="175" t="e">
        <f t="shared" si="16"/>
        <v>#VALUE!</v>
      </c>
      <c r="M71" s="180">
        <f t="shared" si="6"/>
        <v>2023</v>
      </c>
      <c r="N71" s="177" t="str">
        <f t="shared" si="13"/>
        <v/>
      </c>
      <c r="P71" s="178">
        <f>IF('Monthly Levelized'!$K$5+'Monthly Levelized'!$L$5&lt;&gt;0,IFERROR(VLOOKUP(B71,'Monthly Levelized'!$G$5:$I$25,3,FALSE),P70),1)</f>
        <v>1</v>
      </c>
      <c r="Q71" s="226" t="str">
        <f t="shared" si="8"/>
        <v>-</v>
      </c>
      <c r="R71" s="223"/>
      <c r="S71" s="224"/>
      <c r="T71" s="224"/>
      <c r="U71" s="224"/>
      <c r="V71" s="224"/>
    </row>
    <row r="72" spans="2:22" hidden="1" outlineLevel="1" x14ac:dyDescent="0.25">
      <c r="B72" s="188">
        <f t="shared" si="5"/>
        <v>45261</v>
      </c>
      <c r="C72" s="182">
        <f>'[1]Table 5'!E72*P72</f>
        <v>0</v>
      </c>
      <c r="D72" s="183" t="str">
        <f>IFERROR(G72*IF(AND(C72&lt;0,OR(Shape_Annually="No",AND(Shape_Annually="Yes",Shape_Start&gt;YEAR(B72)))),'MWH-Split'!T65,'MWH-Split'!S65)*'MWH-Split'!U65,"")</f>
        <v/>
      </c>
      <c r="E72" s="184" t="str">
        <f>IFERROR(H72*IF(AND(C72&lt;0,OR(Shape_Annually="No",AND(Shape_Annually="Yes",Shape_Start&gt;YEAR(B72)))),'MWH-Split'!S65,'MWH-Split'!T65)*'MWH-Split'!U65,"")</f>
        <v/>
      </c>
      <c r="F72" s="183">
        <f>'[1]Table 5'!F72*P72</f>
        <v>0</v>
      </c>
      <c r="G72" s="183" t="str">
        <f>IF('MWH-Split'!N65&lt;&gt;0,'MWH-Split'!N65*P72,"")</f>
        <v/>
      </c>
      <c r="H72" s="184" t="str">
        <f>IF('MWH-Split'!O65&lt;&gt;0,'MWH-Split'!O65*P72,"")</f>
        <v/>
      </c>
      <c r="I72" s="185" t="str">
        <f t="shared" si="3"/>
        <v/>
      </c>
      <c r="J72" s="185" t="e">
        <f t="shared" ref="J72:K73" si="19">MAX(ROUND(IF(ISNUMBER(G72),D72/G72,""),2),-99)</f>
        <v>#VALUE!</v>
      </c>
      <c r="K72" s="186" t="e">
        <f t="shared" si="19"/>
        <v>#VALUE!</v>
      </c>
      <c r="M72" s="187">
        <f t="shared" si="6"/>
        <v>2023</v>
      </c>
      <c r="N72" s="188" t="str">
        <f t="shared" si="13"/>
        <v/>
      </c>
      <c r="P72" s="189">
        <f>IF('Monthly Levelized'!$K$5+'Monthly Levelized'!$L$5&lt;&gt;0,IFERROR(VLOOKUP(B72,'Monthly Levelized'!$G$5:$I$25,3,FALSE),P71),1)</f>
        <v>1</v>
      </c>
      <c r="Q72" s="226" t="str">
        <f t="shared" si="8"/>
        <v>-</v>
      </c>
      <c r="R72" s="223"/>
      <c r="S72" s="224"/>
      <c r="T72" s="224"/>
      <c r="U72" s="224"/>
      <c r="V72" s="224"/>
    </row>
    <row r="73" spans="2:22" hidden="1" outlineLevel="1" x14ac:dyDescent="0.25">
      <c r="B73" s="190">
        <f t="shared" si="5"/>
        <v>45292</v>
      </c>
      <c r="C73" s="191">
        <f>'[1]Table 5'!E73*P73</f>
        <v>0</v>
      </c>
      <c r="D73" s="192" t="str">
        <f>IFERROR(G73*IF(AND(C73&lt;0,OR(Shape_Annually="No",AND(Shape_Annually="Yes",Shape_Start&gt;YEAR(B73)))),'MWH-Split'!T66,'MWH-Split'!S66)*'MWH-Split'!U66,"")</f>
        <v/>
      </c>
      <c r="E73" s="193" t="str">
        <f>IFERROR(H73*IF(AND(C73&lt;0,OR(Shape_Annually="No",AND(Shape_Annually="Yes",Shape_Start&gt;YEAR(B73)))),'MWH-Split'!S66,'MWH-Split'!T66)*'MWH-Split'!U66,"")</f>
        <v/>
      </c>
      <c r="F73" s="192">
        <f>'[1]Table 5'!F73*P73</f>
        <v>0</v>
      </c>
      <c r="G73" s="192" t="str">
        <f>IF('MWH-Split'!N66&lt;&gt;0,'MWH-Split'!N66*P73,"")</f>
        <v/>
      </c>
      <c r="H73" s="193" t="str">
        <f>IF('MWH-Split'!O66&lt;&gt;0,'MWH-Split'!O66*P73,"")</f>
        <v/>
      </c>
      <c r="I73" s="194" t="str">
        <f t="shared" si="3"/>
        <v/>
      </c>
      <c r="J73" s="194" t="e">
        <f t="shared" si="19"/>
        <v>#VALUE!</v>
      </c>
      <c r="K73" s="195" t="e">
        <f t="shared" si="19"/>
        <v>#VALUE!</v>
      </c>
      <c r="M73" s="176">
        <f t="shared" si="6"/>
        <v>2024</v>
      </c>
      <c r="N73" s="177" t="str">
        <f t="shared" si="13"/>
        <v/>
      </c>
      <c r="P73" s="196">
        <f>IF('Monthly Levelized'!$K$5+'Monthly Levelized'!$L$5&lt;&gt;0,IFERROR(VLOOKUP(B73,'Monthly Levelized'!$G$5:$I$25,3,FALSE),P72),1)</f>
        <v>1</v>
      </c>
      <c r="Q73" s="226" t="str">
        <f t="shared" si="8"/>
        <v>-</v>
      </c>
      <c r="R73" s="223"/>
      <c r="S73" s="224"/>
      <c r="T73" s="224"/>
      <c r="U73" s="224"/>
      <c r="V73" s="224"/>
    </row>
    <row r="74" spans="2:22" hidden="1" outlineLevel="1" x14ac:dyDescent="0.25">
      <c r="B74" s="177">
        <f t="shared" si="5"/>
        <v>45323</v>
      </c>
      <c r="C74" s="171">
        <f>'[1]Table 5'!E74*P74</f>
        <v>0</v>
      </c>
      <c r="D74" s="172" t="str">
        <f>IFERROR(G74*IF(AND(C74&lt;0,OR(Shape_Annually="No",AND(Shape_Annually="Yes",Shape_Start&gt;YEAR(B74)))),'MWH-Split'!T67,'MWH-Split'!S67)*'MWH-Split'!U67,"")</f>
        <v/>
      </c>
      <c r="E74" s="173" t="str">
        <f>IFERROR(H74*IF(AND(C74&lt;0,OR(Shape_Annually="No",AND(Shape_Annually="Yes",Shape_Start&gt;YEAR(B74)))),'MWH-Split'!S67,'MWH-Split'!T67)*'MWH-Split'!U67,"")</f>
        <v/>
      </c>
      <c r="F74" s="172">
        <f>'[1]Table 5'!F74*P74</f>
        <v>0</v>
      </c>
      <c r="G74" s="172" t="str">
        <f>IF('MWH-Split'!N67&lt;&gt;0,'MWH-Split'!N67*P74,"")</f>
        <v/>
      </c>
      <c r="H74" s="173" t="str">
        <f>IF('MWH-Split'!O67&lt;&gt;0,'MWH-Split'!O67*P74,"")</f>
        <v/>
      </c>
      <c r="I74" s="174" t="str">
        <f t="shared" si="3"/>
        <v/>
      </c>
      <c r="J74" s="174" t="e">
        <f t="shared" si="16"/>
        <v>#VALUE!</v>
      </c>
      <c r="K74" s="175" t="e">
        <f t="shared" si="16"/>
        <v>#VALUE!</v>
      </c>
      <c r="M74" s="180">
        <f t="shared" si="6"/>
        <v>2024</v>
      </c>
      <c r="N74" s="177" t="str">
        <f t="shared" si="13"/>
        <v/>
      </c>
      <c r="P74" s="178">
        <f>IF('Monthly Levelized'!$K$5+'Monthly Levelized'!$L$5&lt;&gt;0,IFERROR(VLOOKUP(B74,'Monthly Levelized'!$G$5:$I$25,3,FALSE),P73),1)</f>
        <v>1</v>
      </c>
      <c r="Q74" s="226" t="str">
        <f t="shared" si="8"/>
        <v>-</v>
      </c>
      <c r="R74" s="223"/>
      <c r="S74" s="224"/>
      <c r="T74" s="224"/>
      <c r="U74" s="224"/>
      <c r="V74" s="224"/>
    </row>
    <row r="75" spans="2:22" hidden="1" outlineLevel="1" x14ac:dyDescent="0.25">
      <c r="B75" s="177">
        <f t="shared" si="5"/>
        <v>45352</v>
      </c>
      <c r="C75" s="171">
        <f>'[1]Table 5'!E75*P75</f>
        <v>0</v>
      </c>
      <c r="D75" s="172" t="str">
        <f>IFERROR(G75*IF(AND(C75&lt;0,OR(Shape_Annually="No",AND(Shape_Annually="Yes",Shape_Start&gt;YEAR(B75)))),'MWH-Split'!T68,'MWH-Split'!S68)*'MWH-Split'!U68,"")</f>
        <v/>
      </c>
      <c r="E75" s="173" t="str">
        <f>IFERROR(H75*IF(AND(C75&lt;0,OR(Shape_Annually="No",AND(Shape_Annually="Yes",Shape_Start&gt;YEAR(B75)))),'MWH-Split'!S68,'MWH-Split'!T68)*'MWH-Split'!U68,"")</f>
        <v/>
      </c>
      <c r="F75" s="172">
        <f>'[1]Table 5'!F75*P75</f>
        <v>0</v>
      </c>
      <c r="G75" s="172" t="str">
        <f>IF('MWH-Split'!N68&lt;&gt;0,'MWH-Split'!N68*P75,"")</f>
        <v/>
      </c>
      <c r="H75" s="173" t="str">
        <f>IF('MWH-Split'!O68&lt;&gt;0,'MWH-Split'!O68*P75,"")</f>
        <v/>
      </c>
      <c r="I75" s="174" t="str">
        <f t="shared" si="3"/>
        <v/>
      </c>
      <c r="J75" s="174" t="e">
        <f t="shared" si="16"/>
        <v>#VALUE!</v>
      </c>
      <c r="K75" s="175" t="e">
        <f t="shared" si="16"/>
        <v>#VALUE!</v>
      </c>
      <c r="M75" s="180">
        <f t="shared" si="6"/>
        <v>2024</v>
      </c>
      <c r="N75" s="177" t="str">
        <f t="shared" si="13"/>
        <v/>
      </c>
      <c r="P75" s="178">
        <f>IF('Monthly Levelized'!$K$5+'Monthly Levelized'!$L$5&lt;&gt;0,IFERROR(VLOOKUP(B75,'Monthly Levelized'!$G$5:$I$25,3,FALSE),P74),1)</f>
        <v>1</v>
      </c>
      <c r="Q75" s="226" t="str">
        <f t="shared" si="8"/>
        <v>-</v>
      </c>
      <c r="R75" s="223"/>
      <c r="S75" s="224"/>
      <c r="T75" s="224"/>
      <c r="U75" s="224"/>
      <c r="V75" s="224"/>
    </row>
    <row r="76" spans="2:22" hidden="1" outlineLevel="1" x14ac:dyDescent="0.25">
      <c r="B76" s="177">
        <f t="shared" si="5"/>
        <v>45383</v>
      </c>
      <c r="C76" s="171">
        <f>'[1]Table 5'!E76*P76</f>
        <v>0</v>
      </c>
      <c r="D76" s="172" t="str">
        <f>IFERROR(G76*IF(AND(C76&lt;0,OR(Shape_Annually="No",AND(Shape_Annually="Yes",Shape_Start&gt;YEAR(B76)))),'MWH-Split'!T69,'MWH-Split'!S69)*'MWH-Split'!U69,"")</f>
        <v/>
      </c>
      <c r="E76" s="173" t="str">
        <f>IFERROR(H76*IF(AND(C76&lt;0,OR(Shape_Annually="No",AND(Shape_Annually="Yes",Shape_Start&gt;YEAR(B76)))),'MWH-Split'!S69,'MWH-Split'!T69)*'MWH-Split'!U69,"")</f>
        <v/>
      </c>
      <c r="F76" s="172">
        <f>'[1]Table 5'!F76*P76</f>
        <v>0</v>
      </c>
      <c r="G76" s="172" t="str">
        <f>IF('MWH-Split'!N69&lt;&gt;0,'MWH-Split'!N69*P76,"")</f>
        <v/>
      </c>
      <c r="H76" s="173" t="str">
        <f>IF('MWH-Split'!O69&lt;&gt;0,'MWH-Split'!O69*P76,"")</f>
        <v/>
      </c>
      <c r="I76" s="174" t="str">
        <f t="shared" si="3"/>
        <v/>
      </c>
      <c r="J76" s="174" t="e">
        <f t="shared" si="16"/>
        <v>#VALUE!</v>
      </c>
      <c r="K76" s="175" t="e">
        <f t="shared" si="16"/>
        <v>#VALUE!</v>
      </c>
      <c r="M76" s="180">
        <f t="shared" si="6"/>
        <v>2024</v>
      </c>
      <c r="N76" s="177" t="str">
        <f t="shared" si="13"/>
        <v/>
      </c>
      <c r="P76" s="178">
        <f>IF('Monthly Levelized'!$K$5+'Monthly Levelized'!$L$5&lt;&gt;0,IFERROR(VLOOKUP(B76,'Monthly Levelized'!$G$5:$I$25,3,FALSE),P75),1)</f>
        <v>1</v>
      </c>
      <c r="Q76" s="226" t="str">
        <f t="shared" si="8"/>
        <v>-</v>
      </c>
      <c r="R76" s="223"/>
      <c r="S76" s="224"/>
      <c r="T76" s="224"/>
      <c r="U76" s="224"/>
      <c r="V76" s="224"/>
    </row>
    <row r="77" spans="2:22" hidden="1" outlineLevel="1" x14ac:dyDescent="0.25">
      <c r="B77" s="177">
        <f t="shared" si="5"/>
        <v>45413</v>
      </c>
      <c r="C77" s="171">
        <f>'[1]Table 5'!E77*P77</f>
        <v>0</v>
      </c>
      <c r="D77" s="172" t="str">
        <f>IFERROR(G77*IF(AND(C77&lt;0,OR(Shape_Annually="No",AND(Shape_Annually="Yes",Shape_Start&gt;YEAR(B77)))),'MWH-Split'!T70,'MWH-Split'!S70)*'MWH-Split'!U70,"")</f>
        <v/>
      </c>
      <c r="E77" s="173" t="str">
        <f>IFERROR(H77*IF(AND(C77&lt;0,OR(Shape_Annually="No",AND(Shape_Annually="Yes",Shape_Start&gt;YEAR(B77)))),'MWH-Split'!S70,'MWH-Split'!T70)*'MWH-Split'!U70,"")</f>
        <v/>
      </c>
      <c r="F77" s="172">
        <f>'[1]Table 5'!F77*P77</f>
        <v>0</v>
      </c>
      <c r="G77" s="172" t="str">
        <f>IF('MWH-Split'!N70&lt;&gt;0,'MWH-Split'!N70*P77,"")</f>
        <v/>
      </c>
      <c r="H77" s="173" t="str">
        <f>IF('MWH-Split'!O70&lt;&gt;0,'MWH-Split'!O70*P77,"")</f>
        <v/>
      </c>
      <c r="I77" s="174" t="str">
        <f t="shared" ref="I77:I140" si="20">IFERROR(MAX(ROUND(IF(ISNUMBER(F77),SUM(D77:E77)/SUM(G77:H77),""),2),0),"")</f>
        <v/>
      </c>
      <c r="J77" s="174" t="e">
        <f t="shared" si="16"/>
        <v>#VALUE!</v>
      </c>
      <c r="K77" s="175" t="e">
        <f t="shared" si="16"/>
        <v>#VALUE!</v>
      </c>
      <c r="M77" s="180">
        <f t="shared" si="6"/>
        <v>2024</v>
      </c>
      <c r="N77" s="177" t="str">
        <f t="shared" si="13"/>
        <v/>
      </c>
      <c r="P77" s="178">
        <f>IF('Monthly Levelized'!$K$5+'Monthly Levelized'!$L$5&lt;&gt;0,IFERROR(VLOOKUP(B77,'Monthly Levelized'!$G$5:$I$25,3,FALSE),P76),1)</f>
        <v>1</v>
      </c>
      <c r="Q77" s="226" t="str">
        <f t="shared" si="8"/>
        <v>-</v>
      </c>
      <c r="R77" s="223"/>
      <c r="S77" s="224"/>
      <c r="T77" s="224"/>
      <c r="U77" s="224"/>
      <c r="V77" s="224"/>
    </row>
    <row r="78" spans="2:22" hidden="1" outlineLevel="1" x14ac:dyDescent="0.25">
      <c r="B78" s="177">
        <f t="shared" ref="B78:B141" si="21">EDATE(B77,1)</f>
        <v>45444</v>
      </c>
      <c r="C78" s="171">
        <f>'[1]Table 5'!E78*P78</f>
        <v>0</v>
      </c>
      <c r="D78" s="172" t="str">
        <f>IFERROR(G78*IF(AND(C78&lt;0,OR(Shape_Annually="No",AND(Shape_Annually="Yes",Shape_Start&gt;YEAR(B78)))),'MWH-Split'!T71,'MWH-Split'!S71)*'MWH-Split'!U71,"")</f>
        <v/>
      </c>
      <c r="E78" s="173" t="str">
        <f>IFERROR(H78*IF(AND(C78&lt;0,OR(Shape_Annually="No",AND(Shape_Annually="Yes",Shape_Start&gt;YEAR(B78)))),'MWH-Split'!S71,'MWH-Split'!T71)*'MWH-Split'!U71,"")</f>
        <v/>
      </c>
      <c r="F78" s="172">
        <f>'[1]Table 5'!F78*P78</f>
        <v>0</v>
      </c>
      <c r="G78" s="172" t="str">
        <f>IF('MWH-Split'!N71&lt;&gt;0,'MWH-Split'!N71*P78,"")</f>
        <v/>
      </c>
      <c r="H78" s="173" t="str">
        <f>IF('MWH-Split'!O71&lt;&gt;0,'MWH-Split'!O71*P78,"")</f>
        <v/>
      </c>
      <c r="I78" s="174" t="str">
        <f t="shared" si="20"/>
        <v/>
      </c>
      <c r="J78" s="174" t="e">
        <f t="shared" si="16"/>
        <v>#VALUE!</v>
      </c>
      <c r="K78" s="175" t="e">
        <f t="shared" si="16"/>
        <v>#VALUE!</v>
      </c>
      <c r="M78" s="180">
        <f t="shared" ref="M78:M141" si="22">YEAR(B78)</f>
        <v>2024</v>
      </c>
      <c r="N78" s="177" t="str">
        <f t="shared" si="13"/>
        <v/>
      </c>
      <c r="P78" s="178">
        <f>IF('Monthly Levelized'!$K$5+'Monthly Levelized'!$L$5&lt;&gt;0,IFERROR(VLOOKUP(B78,'Monthly Levelized'!$G$5:$I$25,3,FALSE),P77),1)</f>
        <v>1</v>
      </c>
      <c r="Q78" s="226" t="str">
        <f t="shared" ref="Q78:Q141" si="23">IFERROR(IF(AND(MONTH(N78)&gt;=6,MONTH(N78)&lt;=9),"Summer","Winter"),"-")</f>
        <v>-</v>
      </c>
      <c r="R78" s="223"/>
      <c r="S78" s="224"/>
      <c r="T78" s="224"/>
      <c r="U78" s="224"/>
      <c r="V78" s="224"/>
    </row>
    <row r="79" spans="2:22" hidden="1" outlineLevel="1" x14ac:dyDescent="0.25">
      <c r="B79" s="177">
        <f t="shared" si="21"/>
        <v>45474</v>
      </c>
      <c r="C79" s="171">
        <f>'[1]Table 5'!E79*P79</f>
        <v>0</v>
      </c>
      <c r="D79" s="172" t="str">
        <f>IFERROR(G79*IF(AND(C79&lt;0,OR(Shape_Annually="No",AND(Shape_Annually="Yes",Shape_Start&gt;YEAR(B79)))),'MWH-Split'!T72,'MWH-Split'!S72)*'MWH-Split'!U72,"")</f>
        <v/>
      </c>
      <c r="E79" s="173" t="str">
        <f>IFERROR(H79*IF(AND(C79&lt;0,OR(Shape_Annually="No",AND(Shape_Annually="Yes",Shape_Start&gt;YEAR(B79)))),'MWH-Split'!S72,'MWH-Split'!T72)*'MWH-Split'!U72,"")</f>
        <v/>
      </c>
      <c r="F79" s="172">
        <f>'[1]Table 5'!F79*P79</f>
        <v>0</v>
      </c>
      <c r="G79" s="172" t="str">
        <f>IF('MWH-Split'!N72&lt;&gt;0,'MWH-Split'!N72*P79,"")</f>
        <v/>
      </c>
      <c r="H79" s="173" t="str">
        <f>IF('MWH-Split'!O72&lt;&gt;0,'MWH-Split'!O72*P79,"")</f>
        <v/>
      </c>
      <c r="I79" s="174" t="str">
        <f t="shared" si="20"/>
        <v/>
      </c>
      <c r="J79" s="174" t="e">
        <f t="shared" si="16"/>
        <v>#VALUE!</v>
      </c>
      <c r="K79" s="175" t="e">
        <f t="shared" si="16"/>
        <v>#VALUE!</v>
      </c>
      <c r="M79" s="180">
        <f t="shared" si="22"/>
        <v>2024</v>
      </c>
      <c r="N79" s="177" t="str">
        <f t="shared" si="13"/>
        <v/>
      </c>
      <c r="P79" s="178">
        <f>IF('Monthly Levelized'!$K$5+'Monthly Levelized'!$L$5&lt;&gt;0,IFERROR(VLOOKUP(B79,'Monthly Levelized'!$G$5:$I$25,3,FALSE),P78),1)</f>
        <v>1</v>
      </c>
      <c r="Q79" s="226" t="str">
        <f t="shared" si="23"/>
        <v>-</v>
      </c>
      <c r="R79" s="223"/>
      <c r="S79" s="224"/>
      <c r="T79" s="224"/>
      <c r="U79" s="224"/>
      <c r="V79" s="224"/>
    </row>
    <row r="80" spans="2:22" hidden="1" outlineLevel="1" x14ac:dyDescent="0.25">
      <c r="B80" s="177">
        <f t="shared" si="21"/>
        <v>45505</v>
      </c>
      <c r="C80" s="171">
        <f>'[1]Table 5'!E80*P80</f>
        <v>0</v>
      </c>
      <c r="D80" s="172" t="str">
        <f>IFERROR(G80*IF(AND(C80&lt;0,OR(Shape_Annually="No",AND(Shape_Annually="Yes",Shape_Start&gt;YEAR(B80)))),'MWH-Split'!T73,'MWH-Split'!S73)*'MWH-Split'!U73,"")</f>
        <v/>
      </c>
      <c r="E80" s="173" t="str">
        <f>IFERROR(H80*IF(AND(C80&lt;0,OR(Shape_Annually="No",AND(Shape_Annually="Yes",Shape_Start&gt;YEAR(B80)))),'MWH-Split'!S73,'MWH-Split'!T73)*'MWH-Split'!U73,"")</f>
        <v/>
      </c>
      <c r="F80" s="172">
        <f>'[1]Table 5'!F80*P80</f>
        <v>0</v>
      </c>
      <c r="G80" s="172" t="str">
        <f>IF('MWH-Split'!N73&lt;&gt;0,'MWH-Split'!N73*P80,"")</f>
        <v/>
      </c>
      <c r="H80" s="173" t="str">
        <f>IF('MWH-Split'!O73&lt;&gt;0,'MWH-Split'!O73*P80,"")</f>
        <v/>
      </c>
      <c r="I80" s="174" t="str">
        <f t="shared" si="20"/>
        <v/>
      </c>
      <c r="J80" s="174" t="e">
        <f t="shared" si="16"/>
        <v>#VALUE!</v>
      </c>
      <c r="K80" s="175" t="e">
        <f t="shared" si="16"/>
        <v>#VALUE!</v>
      </c>
      <c r="M80" s="180">
        <f t="shared" si="22"/>
        <v>2024</v>
      </c>
      <c r="N80" s="177" t="str">
        <f t="shared" si="13"/>
        <v/>
      </c>
      <c r="P80" s="178">
        <f>IF('Monthly Levelized'!$K$5+'Monthly Levelized'!$L$5&lt;&gt;0,IFERROR(VLOOKUP(B80,'Monthly Levelized'!$G$5:$I$25,3,FALSE),P79),1)</f>
        <v>1</v>
      </c>
      <c r="Q80" s="226" t="str">
        <f t="shared" si="23"/>
        <v>-</v>
      </c>
      <c r="R80" s="223"/>
      <c r="S80" s="224"/>
      <c r="T80" s="224"/>
      <c r="U80" s="224"/>
      <c r="V80" s="224"/>
    </row>
    <row r="81" spans="2:22" hidden="1" outlineLevel="1" x14ac:dyDescent="0.25">
      <c r="B81" s="177">
        <f t="shared" si="21"/>
        <v>45536</v>
      </c>
      <c r="C81" s="171">
        <f>'[1]Table 5'!E81*P81</f>
        <v>0</v>
      </c>
      <c r="D81" s="172" t="str">
        <f>IFERROR(G81*IF(AND(C81&lt;0,OR(Shape_Annually="No",AND(Shape_Annually="Yes",Shape_Start&gt;YEAR(B81)))),'MWH-Split'!T74,'MWH-Split'!S74)*'MWH-Split'!U74,"")</f>
        <v/>
      </c>
      <c r="E81" s="173" t="str">
        <f>IFERROR(H81*IF(AND(C81&lt;0,OR(Shape_Annually="No",AND(Shape_Annually="Yes",Shape_Start&gt;YEAR(B81)))),'MWH-Split'!S74,'MWH-Split'!T74)*'MWH-Split'!U74,"")</f>
        <v/>
      </c>
      <c r="F81" s="172">
        <f>'[1]Table 5'!F81*P81</f>
        <v>0</v>
      </c>
      <c r="G81" s="172" t="str">
        <f>IF('MWH-Split'!N74&lt;&gt;0,'MWH-Split'!N74*P81,"")</f>
        <v/>
      </c>
      <c r="H81" s="173" t="str">
        <f>IF('MWH-Split'!O74&lt;&gt;0,'MWH-Split'!O74*P81,"")</f>
        <v/>
      </c>
      <c r="I81" s="174" t="str">
        <f t="shared" si="20"/>
        <v/>
      </c>
      <c r="J81" s="174" t="e">
        <f t="shared" si="16"/>
        <v>#VALUE!</v>
      </c>
      <c r="K81" s="175" t="e">
        <f t="shared" si="16"/>
        <v>#VALUE!</v>
      </c>
      <c r="M81" s="180">
        <f t="shared" si="22"/>
        <v>2024</v>
      </c>
      <c r="N81" s="177" t="str">
        <f t="shared" si="13"/>
        <v/>
      </c>
      <c r="P81" s="178">
        <f>IF('Monthly Levelized'!$K$5+'Monthly Levelized'!$L$5&lt;&gt;0,IFERROR(VLOOKUP(B81,'Monthly Levelized'!$G$5:$I$25,3,FALSE),P80),1)</f>
        <v>1</v>
      </c>
      <c r="Q81" s="226" t="str">
        <f t="shared" si="23"/>
        <v>-</v>
      </c>
      <c r="R81" s="223"/>
      <c r="S81" s="224"/>
      <c r="T81" s="224"/>
      <c r="U81" s="224"/>
      <c r="V81" s="224"/>
    </row>
    <row r="82" spans="2:22" hidden="1" outlineLevel="1" x14ac:dyDescent="0.25">
      <c r="B82" s="177">
        <f t="shared" si="21"/>
        <v>45566</v>
      </c>
      <c r="C82" s="171">
        <f>'[1]Table 5'!E82*P82</f>
        <v>0</v>
      </c>
      <c r="D82" s="172" t="str">
        <f>IFERROR(G82*IF(AND(C82&lt;0,OR(Shape_Annually="No",AND(Shape_Annually="Yes",Shape_Start&gt;YEAR(B82)))),'MWH-Split'!T75,'MWH-Split'!S75)*'MWH-Split'!U75,"")</f>
        <v/>
      </c>
      <c r="E82" s="173" t="str">
        <f>IFERROR(H82*IF(AND(C82&lt;0,OR(Shape_Annually="No",AND(Shape_Annually="Yes",Shape_Start&gt;YEAR(B82)))),'MWH-Split'!S75,'MWH-Split'!T75)*'MWH-Split'!U75,"")</f>
        <v/>
      </c>
      <c r="F82" s="172">
        <f>'[1]Table 5'!F82*P82</f>
        <v>0</v>
      </c>
      <c r="G82" s="172" t="str">
        <f>IF('MWH-Split'!N75&lt;&gt;0,'MWH-Split'!N75*P82,"")</f>
        <v/>
      </c>
      <c r="H82" s="173" t="str">
        <f>IF('MWH-Split'!O75&lt;&gt;0,'MWH-Split'!O75*P82,"")</f>
        <v/>
      </c>
      <c r="I82" s="174" t="str">
        <f t="shared" si="20"/>
        <v/>
      </c>
      <c r="J82" s="174" t="e">
        <f t="shared" si="16"/>
        <v>#VALUE!</v>
      </c>
      <c r="K82" s="175" t="e">
        <f t="shared" si="16"/>
        <v>#VALUE!</v>
      </c>
      <c r="M82" s="180">
        <f t="shared" si="22"/>
        <v>2024</v>
      </c>
      <c r="N82" s="177" t="str">
        <f t="shared" si="13"/>
        <v/>
      </c>
      <c r="P82" s="178">
        <f>IF('Monthly Levelized'!$K$5+'Monthly Levelized'!$L$5&lt;&gt;0,IFERROR(VLOOKUP(B82,'Monthly Levelized'!$G$5:$I$25,3,FALSE),P81),1)</f>
        <v>1</v>
      </c>
      <c r="Q82" s="226" t="str">
        <f t="shared" si="23"/>
        <v>-</v>
      </c>
      <c r="R82" s="223"/>
      <c r="S82" s="224"/>
      <c r="T82" s="224"/>
      <c r="U82" s="224"/>
      <c r="V82" s="224"/>
    </row>
    <row r="83" spans="2:22" hidden="1" outlineLevel="1" x14ac:dyDescent="0.25">
      <c r="B83" s="177">
        <f t="shared" si="21"/>
        <v>45597</v>
      </c>
      <c r="C83" s="171">
        <f>'[1]Table 5'!E83*P83</f>
        <v>0</v>
      </c>
      <c r="D83" s="172" t="str">
        <f>IFERROR(G83*IF(AND(C83&lt;0,OR(Shape_Annually="No",AND(Shape_Annually="Yes",Shape_Start&gt;YEAR(B83)))),'MWH-Split'!T76,'MWH-Split'!S76)*'MWH-Split'!U76,"")</f>
        <v/>
      </c>
      <c r="E83" s="173" t="str">
        <f>IFERROR(H83*IF(AND(C83&lt;0,OR(Shape_Annually="No",AND(Shape_Annually="Yes",Shape_Start&gt;YEAR(B83)))),'MWH-Split'!S76,'MWH-Split'!T76)*'MWH-Split'!U76,"")</f>
        <v/>
      </c>
      <c r="F83" s="172">
        <f>'[1]Table 5'!F83*P83</f>
        <v>0</v>
      </c>
      <c r="G83" s="172" t="str">
        <f>IF('MWH-Split'!N76&lt;&gt;0,'MWH-Split'!N76*P83,"")</f>
        <v/>
      </c>
      <c r="H83" s="173" t="str">
        <f>IF('MWH-Split'!O76&lt;&gt;0,'MWH-Split'!O76*P83,"")</f>
        <v/>
      </c>
      <c r="I83" s="174" t="str">
        <f t="shared" si="20"/>
        <v/>
      </c>
      <c r="J83" s="174" t="e">
        <f t="shared" si="16"/>
        <v>#VALUE!</v>
      </c>
      <c r="K83" s="175" t="e">
        <f t="shared" si="16"/>
        <v>#VALUE!</v>
      </c>
      <c r="M83" s="180">
        <f t="shared" si="22"/>
        <v>2024</v>
      </c>
      <c r="N83" s="177" t="str">
        <f t="shared" si="13"/>
        <v/>
      </c>
      <c r="P83" s="178">
        <f>IF('Monthly Levelized'!$K$5+'Monthly Levelized'!$L$5&lt;&gt;0,IFERROR(VLOOKUP(B83,'Monthly Levelized'!$G$5:$I$25,3,FALSE),P82),1)</f>
        <v>1</v>
      </c>
      <c r="Q83" s="226" t="str">
        <f t="shared" si="23"/>
        <v>-</v>
      </c>
      <c r="R83" s="223"/>
      <c r="S83" s="224"/>
      <c r="T83" s="224"/>
      <c r="U83" s="224"/>
      <c r="V83" s="224"/>
    </row>
    <row r="84" spans="2:22" hidden="1" outlineLevel="1" x14ac:dyDescent="0.25">
      <c r="B84" s="188">
        <f t="shared" si="21"/>
        <v>45627</v>
      </c>
      <c r="C84" s="182">
        <f>'[1]Table 5'!E84*P84</f>
        <v>0</v>
      </c>
      <c r="D84" s="183" t="str">
        <f>IFERROR(G84*IF(AND(C84&lt;0,OR(Shape_Annually="No",AND(Shape_Annually="Yes",Shape_Start&gt;YEAR(B84)))),'MWH-Split'!T77,'MWH-Split'!S77)*'MWH-Split'!U77,"")</f>
        <v/>
      </c>
      <c r="E84" s="184" t="str">
        <f>IFERROR(H84*IF(AND(C84&lt;0,OR(Shape_Annually="No",AND(Shape_Annually="Yes",Shape_Start&gt;YEAR(B84)))),'MWH-Split'!S77,'MWH-Split'!T77)*'MWH-Split'!U77,"")</f>
        <v/>
      </c>
      <c r="F84" s="183">
        <f>'[1]Table 5'!F84*P84</f>
        <v>0</v>
      </c>
      <c r="G84" s="183" t="str">
        <f>IF('MWH-Split'!N77&lt;&gt;0,'MWH-Split'!N77*P84,"")</f>
        <v/>
      </c>
      <c r="H84" s="184" t="str">
        <f>IF('MWH-Split'!O77&lt;&gt;0,'MWH-Split'!O77*P84,"")</f>
        <v/>
      </c>
      <c r="I84" s="185" t="str">
        <f t="shared" si="20"/>
        <v/>
      </c>
      <c r="J84" s="185" t="e">
        <f t="shared" ref="J84:K85" si="24">MAX(ROUND(IF(ISNUMBER(G84),D84/G84,""),2),-99)</f>
        <v>#VALUE!</v>
      </c>
      <c r="K84" s="186" t="e">
        <f t="shared" si="24"/>
        <v>#VALUE!</v>
      </c>
      <c r="M84" s="187">
        <f t="shared" si="22"/>
        <v>2024</v>
      </c>
      <c r="N84" s="188" t="str">
        <f t="shared" si="13"/>
        <v/>
      </c>
      <c r="P84" s="189">
        <f>IF('Monthly Levelized'!$K$5+'Monthly Levelized'!$L$5&lt;&gt;0,IFERROR(VLOOKUP(B84,'Monthly Levelized'!$G$5:$I$25,3,FALSE),P83),1)</f>
        <v>1</v>
      </c>
      <c r="Q84" s="226" t="str">
        <f t="shared" si="23"/>
        <v>-</v>
      </c>
      <c r="R84" s="223"/>
      <c r="S84" s="224"/>
      <c r="T84" s="224"/>
      <c r="U84" s="224"/>
      <c r="V84" s="224"/>
    </row>
    <row r="85" spans="2:22" hidden="1" outlineLevel="1" x14ac:dyDescent="0.25">
      <c r="B85" s="190">
        <f t="shared" si="21"/>
        <v>45658</v>
      </c>
      <c r="C85" s="191">
        <f>'[1]Table 5'!E85*P85</f>
        <v>0</v>
      </c>
      <c r="D85" s="192" t="str">
        <f>IFERROR(G85*IF(AND(C85&lt;0,OR(Shape_Annually="No",AND(Shape_Annually="Yes",Shape_Start&gt;YEAR(B85)))),'MWH-Split'!T78,'MWH-Split'!S78)*'MWH-Split'!U78,"")</f>
        <v/>
      </c>
      <c r="E85" s="193" t="str">
        <f>IFERROR(H85*IF(AND(C85&lt;0,OR(Shape_Annually="No",AND(Shape_Annually="Yes",Shape_Start&gt;YEAR(B85)))),'MWH-Split'!S78,'MWH-Split'!T78)*'MWH-Split'!U78,"")</f>
        <v/>
      </c>
      <c r="F85" s="192">
        <f>'[1]Table 5'!F85*P85</f>
        <v>0</v>
      </c>
      <c r="G85" s="192" t="str">
        <f>IF('MWH-Split'!N78&lt;&gt;0,'MWH-Split'!N78*P85,"")</f>
        <v/>
      </c>
      <c r="H85" s="193" t="str">
        <f>IF('MWH-Split'!O78&lt;&gt;0,'MWH-Split'!O78*P85,"")</f>
        <v/>
      </c>
      <c r="I85" s="194" t="str">
        <f t="shared" si="20"/>
        <v/>
      </c>
      <c r="J85" s="194" t="e">
        <f t="shared" si="24"/>
        <v>#VALUE!</v>
      </c>
      <c r="K85" s="195" t="e">
        <f t="shared" si="24"/>
        <v>#VALUE!</v>
      </c>
      <c r="M85" s="176">
        <f t="shared" si="22"/>
        <v>2025</v>
      </c>
      <c r="N85" s="177" t="str">
        <f t="shared" si="13"/>
        <v/>
      </c>
      <c r="P85" s="196">
        <f>IF('Monthly Levelized'!$K$5+'Monthly Levelized'!$L$5&lt;&gt;0,IFERROR(VLOOKUP(B85,'Monthly Levelized'!$G$5:$I$25,3,FALSE),P84),1)</f>
        <v>1</v>
      </c>
      <c r="Q85" s="226" t="str">
        <f t="shared" si="23"/>
        <v>-</v>
      </c>
      <c r="R85" s="223"/>
      <c r="S85" s="224"/>
      <c r="T85" s="224"/>
      <c r="U85" s="224"/>
      <c r="V85" s="224"/>
    </row>
    <row r="86" spans="2:22" hidden="1" outlineLevel="1" x14ac:dyDescent="0.25">
      <c r="B86" s="177">
        <f t="shared" si="21"/>
        <v>45689</v>
      </c>
      <c r="C86" s="171">
        <f>'[1]Table 5'!E86*P86</f>
        <v>0</v>
      </c>
      <c r="D86" s="172" t="str">
        <f>IFERROR(G86*IF(AND(C86&lt;0,OR(Shape_Annually="No",AND(Shape_Annually="Yes",Shape_Start&gt;YEAR(B86)))),'MWH-Split'!T79,'MWH-Split'!S79)*'MWH-Split'!U79,"")</f>
        <v/>
      </c>
      <c r="E86" s="173" t="str">
        <f>IFERROR(H86*IF(AND(C86&lt;0,OR(Shape_Annually="No",AND(Shape_Annually="Yes",Shape_Start&gt;YEAR(B86)))),'MWH-Split'!S79,'MWH-Split'!T79)*'MWH-Split'!U79,"")</f>
        <v/>
      </c>
      <c r="F86" s="172">
        <f>'[1]Table 5'!F86*P86</f>
        <v>0</v>
      </c>
      <c r="G86" s="172" t="str">
        <f>IF('MWH-Split'!N79&lt;&gt;0,'MWH-Split'!N79*P86,"")</f>
        <v/>
      </c>
      <c r="H86" s="173" t="str">
        <f>IF('MWH-Split'!O79&lt;&gt;0,'MWH-Split'!O79*P86,"")</f>
        <v/>
      </c>
      <c r="I86" s="174" t="str">
        <f t="shared" si="20"/>
        <v/>
      </c>
      <c r="J86" s="174" t="e">
        <f t="shared" si="16"/>
        <v>#VALUE!</v>
      </c>
      <c r="K86" s="175" t="e">
        <f t="shared" si="16"/>
        <v>#VALUE!</v>
      </c>
      <c r="M86" s="180">
        <f t="shared" si="22"/>
        <v>2025</v>
      </c>
      <c r="N86" s="177" t="str">
        <f t="shared" si="13"/>
        <v/>
      </c>
      <c r="P86" s="178">
        <f>IF('Monthly Levelized'!$K$5+'Monthly Levelized'!$L$5&lt;&gt;0,IFERROR(VLOOKUP(B86,'Monthly Levelized'!$G$5:$I$25,3,FALSE),P85),1)</f>
        <v>1</v>
      </c>
      <c r="Q86" s="226" t="str">
        <f t="shared" si="23"/>
        <v>-</v>
      </c>
      <c r="R86" s="223"/>
      <c r="S86" s="224"/>
      <c r="T86" s="224"/>
      <c r="U86" s="224"/>
      <c r="V86" s="224"/>
    </row>
    <row r="87" spans="2:22" hidden="1" outlineLevel="1" x14ac:dyDescent="0.25">
      <c r="B87" s="177">
        <f t="shared" si="21"/>
        <v>45717</v>
      </c>
      <c r="C87" s="171">
        <f>'[1]Table 5'!E87*P87</f>
        <v>0</v>
      </c>
      <c r="D87" s="172" t="str">
        <f>IFERROR(G87*IF(AND(C87&lt;0,OR(Shape_Annually="No",AND(Shape_Annually="Yes",Shape_Start&gt;YEAR(B87)))),'MWH-Split'!T80,'MWH-Split'!S80)*'MWH-Split'!U80,"")</f>
        <v/>
      </c>
      <c r="E87" s="173" t="str">
        <f>IFERROR(H87*IF(AND(C87&lt;0,OR(Shape_Annually="No",AND(Shape_Annually="Yes",Shape_Start&gt;YEAR(B87)))),'MWH-Split'!S80,'MWH-Split'!T80)*'MWH-Split'!U80,"")</f>
        <v/>
      </c>
      <c r="F87" s="172">
        <f>'[1]Table 5'!F87*P87</f>
        <v>0</v>
      </c>
      <c r="G87" s="172" t="str">
        <f>IF('MWH-Split'!N80&lt;&gt;0,'MWH-Split'!N80*P87,"")</f>
        <v/>
      </c>
      <c r="H87" s="173" t="str">
        <f>IF('MWH-Split'!O80&lt;&gt;0,'MWH-Split'!O80*P87,"")</f>
        <v/>
      </c>
      <c r="I87" s="174" t="str">
        <f t="shared" si="20"/>
        <v/>
      </c>
      <c r="J87" s="174" t="e">
        <f t="shared" si="16"/>
        <v>#VALUE!</v>
      </c>
      <c r="K87" s="175" t="e">
        <f t="shared" si="16"/>
        <v>#VALUE!</v>
      </c>
      <c r="M87" s="180">
        <f t="shared" si="22"/>
        <v>2025</v>
      </c>
      <c r="N87" s="177" t="str">
        <f t="shared" si="13"/>
        <v/>
      </c>
      <c r="P87" s="178">
        <f>IF('Monthly Levelized'!$K$5+'Monthly Levelized'!$L$5&lt;&gt;0,IFERROR(VLOOKUP(B87,'Monthly Levelized'!$G$5:$I$25,3,FALSE),P86),1)</f>
        <v>1</v>
      </c>
      <c r="Q87" s="226" t="str">
        <f t="shared" si="23"/>
        <v>-</v>
      </c>
      <c r="R87" s="223"/>
      <c r="S87" s="224"/>
      <c r="T87" s="224"/>
      <c r="U87" s="224"/>
      <c r="V87" s="224"/>
    </row>
    <row r="88" spans="2:22" hidden="1" outlineLevel="1" x14ac:dyDescent="0.25">
      <c r="B88" s="177">
        <f t="shared" si="21"/>
        <v>45748</v>
      </c>
      <c r="C88" s="171">
        <f>'[1]Table 5'!E88*P88</f>
        <v>0</v>
      </c>
      <c r="D88" s="172" t="str">
        <f>IFERROR(G88*IF(AND(C88&lt;0,OR(Shape_Annually="No",AND(Shape_Annually="Yes",Shape_Start&gt;YEAR(B88)))),'MWH-Split'!T81,'MWH-Split'!S81)*'MWH-Split'!U81,"")</f>
        <v/>
      </c>
      <c r="E88" s="173" t="str">
        <f>IFERROR(H88*IF(AND(C88&lt;0,OR(Shape_Annually="No",AND(Shape_Annually="Yes",Shape_Start&gt;YEAR(B88)))),'MWH-Split'!S81,'MWH-Split'!T81)*'MWH-Split'!U81,"")</f>
        <v/>
      </c>
      <c r="F88" s="172">
        <f>'[1]Table 5'!F88*P88</f>
        <v>0</v>
      </c>
      <c r="G88" s="172" t="str">
        <f>IF('MWH-Split'!N81&lt;&gt;0,'MWH-Split'!N81*P88,"")</f>
        <v/>
      </c>
      <c r="H88" s="173" t="str">
        <f>IF('MWH-Split'!O81&lt;&gt;0,'MWH-Split'!O81*P88,"")</f>
        <v/>
      </c>
      <c r="I88" s="174" t="str">
        <f t="shared" si="20"/>
        <v/>
      </c>
      <c r="J88" s="174" t="e">
        <f t="shared" si="16"/>
        <v>#VALUE!</v>
      </c>
      <c r="K88" s="175" t="e">
        <f t="shared" si="16"/>
        <v>#VALUE!</v>
      </c>
      <c r="M88" s="180">
        <f t="shared" si="22"/>
        <v>2025</v>
      </c>
      <c r="N88" s="177" t="str">
        <f t="shared" si="13"/>
        <v/>
      </c>
      <c r="P88" s="178">
        <f>IF('Monthly Levelized'!$K$5+'Monthly Levelized'!$L$5&lt;&gt;0,IFERROR(VLOOKUP(B88,'Monthly Levelized'!$G$5:$I$25,3,FALSE),P87),1)</f>
        <v>1</v>
      </c>
      <c r="Q88" s="226" t="str">
        <f t="shared" si="23"/>
        <v>-</v>
      </c>
      <c r="R88" s="223"/>
      <c r="S88" s="224"/>
      <c r="T88" s="224"/>
      <c r="U88" s="224"/>
      <c r="V88" s="224"/>
    </row>
    <row r="89" spans="2:22" hidden="1" outlineLevel="1" x14ac:dyDescent="0.25">
      <c r="B89" s="177">
        <f t="shared" si="21"/>
        <v>45778</v>
      </c>
      <c r="C89" s="171">
        <f>'[1]Table 5'!E89*P89</f>
        <v>0</v>
      </c>
      <c r="D89" s="172" t="str">
        <f>IFERROR(G89*IF(AND(C89&lt;0,OR(Shape_Annually="No",AND(Shape_Annually="Yes",Shape_Start&gt;YEAR(B89)))),'MWH-Split'!T82,'MWH-Split'!S82)*'MWH-Split'!U82,"")</f>
        <v/>
      </c>
      <c r="E89" s="173" t="str">
        <f>IFERROR(H89*IF(AND(C89&lt;0,OR(Shape_Annually="No",AND(Shape_Annually="Yes",Shape_Start&gt;YEAR(B89)))),'MWH-Split'!S82,'MWH-Split'!T82)*'MWH-Split'!U82,"")</f>
        <v/>
      </c>
      <c r="F89" s="172">
        <f>'[1]Table 5'!F89*P89</f>
        <v>0</v>
      </c>
      <c r="G89" s="172" t="str">
        <f>IF('MWH-Split'!N82&lt;&gt;0,'MWH-Split'!N82*P89,"")</f>
        <v/>
      </c>
      <c r="H89" s="173" t="str">
        <f>IF('MWH-Split'!O82&lt;&gt;0,'MWH-Split'!O82*P89,"")</f>
        <v/>
      </c>
      <c r="I89" s="174" t="str">
        <f t="shared" si="20"/>
        <v/>
      </c>
      <c r="J89" s="174" t="e">
        <f t="shared" si="16"/>
        <v>#VALUE!</v>
      </c>
      <c r="K89" s="175" t="e">
        <f t="shared" si="16"/>
        <v>#VALUE!</v>
      </c>
      <c r="M89" s="180">
        <f t="shared" si="22"/>
        <v>2025</v>
      </c>
      <c r="N89" s="177" t="str">
        <f t="shared" si="13"/>
        <v/>
      </c>
      <c r="P89" s="178">
        <f>IF('Monthly Levelized'!$K$5+'Monthly Levelized'!$L$5&lt;&gt;0,IFERROR(VLOOKUP(B89,'Monthly Levelized'!$G$5:$I$25,3,FALSE),P88),1)</f>
        <v>1</v>
      </c>
      <c r="Q89" s="226" t="str">
        <f t="shared" si="23"/>
        <v>-</v>
      </c>
      <c r="R89" s="223"/>
      <c r="S89" s="224"/>
      <c r="T89" s="224"/>
      <c r="U89" s="224"/>
      <c r="V89" s="224"/>
    </row>
    <row r="90" spans="2:22" hidden="1" outlineLevel="1" x14ac:dyDescent="0.25">
      <c r="B90" s="177">
        <f t="shared" si="21"/>
        <v>45809</v>
      </c>
      <c r="C90" s="171">
        <f>'[1]Table 5'!E90*P90</f>
        <v>0</v>
      </c>
      <c r="D90" s="172" t="str">
        <f>IFERROR(G90*IF(AND(C90&lt;0,OR(Shape_Annually="No",AND(Shape_Annually="Yes",Shape_Start&gt;YEAR(B90)))),'MWH-Split'!T83,'MWH-Split'!S83)*'MWH-Split'!U83,"")</f>
        <v/>
      </c>
      <c r="E90" s="173" t="str">
        <f>IFERROR(H90*IF(AND(C90&lt;0,OR(Shape_Annually="No",AND(Shape_Annually="Yes",Shape_Start&gt;YEAR(B90)))),'MWH-Split'!S83,'MWH-Split'!T83)*'MWH-Split'!U83,"")</f>
        <v/>
      </c>
      <c r="F90" s="172">
        <f>'[1]Table 5'!F90*P90</f>
        <v>0</v>
      </c>
      <c r="G90" s="172" t="str">
        <f>IF('MWH-Split'!N83&lt;&gt;0,'MWH-Split'!N83*P90,"")</f>
        <v/>
      </c>
      <c r="H90" s="173" t="str">
        <f>IF('MWH-Split'!O83&lt;&gt;0,'MWH-Split'!O83*P90,"")</f>
        <v/>
      </c>
      <c r="I90" s="174" t="str">
        <f t="shared" si="20"/>
        <v/>
      </c>
      <c r="J90" s="174" t="e">
        <f t="shared" si="16"/>
        <v>#VALUE!</v>
      </c>
      <c r="K90" s="175" t="e">
        <f t="shared" si="16"/>
        <v>#VALUE!</v>
      </c>
      <c r="M90" s="180">
        <f t="shared" si="22"/>
        <v>2025</v>
      </c>
      <c r="N90" s="177" t="str">
        <f t="shared" ref="N90:N153" si="25">IF(ISNUMBER(F90),IF(F90&lt;&gt;0,B90,""),"")</f>
        <v/>
      </c>
      <c r="P90" s="178">
        <f>IF('Monthly Levelized'!$K$5+'Monthly Levelized'!$L$5&lt;&gt;0,IFERROR(VLOOKUP(B90,'Monthly Levelized'!$G$5:$I$25,3,FALSE),P89),1)</f>
        <v>1</v>
      </c>
      <c r="Q90" s="226" t="str">
        <f t="shared" si="23"/>
        <v>-</v>
      </c>
      <c r="R90" s="223"/>
      <c r="S90" s="224"/>
      <c r="T90" s="224"/>
      <c r="U90" s="224"/>
      <c r="V90" s="224"/>
    </row>
    <row r="91" spans="2:22" hidden="1" outlineLevel="1" x14ac:dyDescent="0.25">
      <c r="B91" s="177">
        <f t="shared" si="21"/>
        <v>45839</v>
      </c>
      <c r="C91" s="171">
        <f>'[1]Table 5'!E91*P91</f>
        <v>0</v>
      </c>
      <c r="D91" s="172" t="str">
        <f>IFERROR(G91*IF(AND(C91&lt;0,OR(Shape_Annually="No",AND(Shape_Annually="Yes",Shape_Start&gt;YEAR(B91)))),'MWH-Split'!T84,'MWH-Split'!S84)*'MWH-Split'!U84,"")</f>
        <v/>
      </c>
      <c r="E91" s="173" t="str">
        <f>IFERROR(H91*IF(AND(C91&lt;0,OR(Shape_Annually="No",AND(Shape_Annually="Yes",Shape_Start&gt;YEAR(B91)))),'MWH-Split'!S84,'MWH-Split'!T84)*'MWH-Split'!U84,"")</f>
        <v/>
      </c>
      <c r="F91" s="172">
        <f>'[1]Table 5'!F91*P91</f>
        <v>0</v>
      </c>
      <c r="G91" s="172" t="str">
        <f>IF('MWH-Split'!N84&lt;&gt;0,'MWH-Split'!N84*P91,"")</f>
        <v/>
      </c>
      <c r="H91" s="173" t="str">
        <f>IF('MWH-Split'!O84&lt;&gt;0,'MWH-Split'!O84*P91,"")</f>
        <v/>
      </c>
      <c r="I91" s="174" t="str">
        <f t="shared" si="20"/>
        <v/>
      </c>
      <c r="J91" s="174" t="e">
        <f t="shared" si="16"/>
        <v>#VALUE!</v>
      </c>
      <c r="K91" s="175" t="e">
        <f t="shared" si="16"/>
        <v>#VALUE!</v>
      </c>
      <c r="M91" s="180">
        <f t="shared" si="22"/>
        <v>2025</v>
      </c>
      <c r="N91" s="177" t="str">
        <f t="shared" si="25"/>
        <v/>
      </c>
      <c r="P91" s="178">
        <f>IF('Monthly Levelized'!$K$5+'Monthly Levelized'!$L$5&lt;&gt;0,IFERROR(VLOOKUP(B91,'Monthly Levelized'!$G$5:$I$25,3,FALSE),P90),1)</f>
        <v>1</v>
      </c>
      <c r="Q91" s="226" t="str">
        <f t="shared" si="23"/>
        <v>-</v>
      </c>
      <c r="R91" s="223"/>
      <c r="S91" s="224"/>
      <c r="T91" s="224"/>
      <c r="U91" s="224"/>
      <c r="V91" s="224"/>
    </row>
    <row r="92" spans="2:22" hidden="1" outlineLevel="1" x14ac:dyDescent="0.25">
      <c r="B92" s="177">
        <f t="shared" si="21"/>
        <v>45870</v>
      </c>
      <c r="C92" s="171">
        <f>'[1]Table 5'!E92*P92</f>
        <v>0</v>
      </c>
      <c r="D92" s="172" t="str">
        <f>IFERROR(G92*IF(AND(C92&lt;0,OR(Shape_Annually="No",AND(Shape_Annually="Yes",Shape_Start&gt;YEAR(B92)))),'MWH-Split'!T85,'MWH-Split'!S85)*'MWH-Split'!U85,"")</f>
        <v/>
      </c>
      <c r="E92" s="173" t="str">
        <f>IFERROR(H92*IF(AND(C92&lt;0,OR(Shape_Annually="No",AND(Shape_Annually="Yes",Shape_Start&gt;YEAR(B92)))),'MWH-Split'!S85,'MWH-Split'!T85)*'MWH-Split'!U85,"")</f>
        <v/>
      </c>
      <c r="F92" s="172">
        <f>'[1]Table 5'!F92*P92</f>
        <v>0</v>
      </c>
      <c r="G92" s="172" t="str">
        <f>IF('MWH-Split'!N85&lt;&gt;0,'MWH-Split'!N85*P92,"")</f>
        <v/>
      </c>
      <c r="H92" s="173" t="str">
        <f>IF('MWH-Split'!O85&lt;&gt;0,'MWH-Split'!O85*P92,"")</f>
        <v/>
      </c>
      <c r="I92" s="174" t="str">
        <f t="shared" si="20"/>
        <v/>
      </c>
      <c r="J92" s="174" t="e">
        <f t="shared" si="16"/>
        <v>#VALUE!</v>
      </c>
      <c r="K92" s="175" t="e">
        <f t="shared" si="16"/>
        <v>#VALUE!</v>
      </c>
      <c r="M92" s="180">
        <f t="shared" si="22"/>
        <v>2025</v>
      </c>
      <c r="N92" s="177" t="str">
        <f t="shared" si="25"/>
        <v/>
      </c>
      <c r="P92" s="178">
        <f>IF('Monthly Levelized'!$K$5+'Monthly Levelized'!$L$5&lt;&gt;0,IFERROR(VLOOKUP(B92,'Monthly Levelized'!$G$5:$I$25,3,FALSE),P91),1)</f>
        <v>1</v>
      </c>
      <c r="Q92" s="226" t="str">
        <f t="shared" si="23"/>
        <v>-</v>
      </c>
      <c r="R92" s="223"/>
      <c r="S92" s="224"/>
      <c r="T92" s="224"/>
      <c r="U92" s="224"/>
      <c r="V92" s="224"/>
    </row>
    <row r="93" spans="2:22" hidden="1" outlineLevel="1" x14ac:dyDescent="0.25">
      <c r="B93" s="177">
        <f t="shared" si="21"/>
        <v>45901</v>
      </c>
      <c r="C93" s="171">
        <f>'[1]Table 5'!E93*P93</f>
        <v>0</v>
      </c>
      <c r="D93" s="172" t="str">
        <f>IFERROR(G93*IF(AND(C93&lt;0,OR(Shape_Annually="No",AND(Shape_Annually="Yes",Shape_Start&gt;YEAR(B93)))),'MWH-Split'!T86,'MWH-Split'!S86)*'MWH-Split'!U86,"")</f>
        <v/>
      </c>
      <c r="E93" s="173" t="str">
        <f>IFERROR(H93*IF(AND(C93&lt;0,OR(Shape_Annually="No",AND(Shape_Annually="Yes",Shape_Start&gt;YEAR(B93)))),'MWH-Split'!S86,'MWH-Split'!T86)*'MWH-Split'!U86,"")</f>
        <v/>
      </c>
      <c r="F93" s="172">
        <f>'[1]Table 5'!F93*P93</f>
        <v>0</v>
      </c>
      <c r="G93" s="172" t="str">
        <f>IF('MWH-Split'!N86&lt;&gt;0,'MWH-Split'!N86*P93,"")</f>
        <v/>
      </c>
      <c r="H93" s="173" t="str">
        <f>IF('MWH-Split'!O86&lt;&gt;0,'MWH-Split'!O86*P93,"")</f>
        <v/>
      </c>
      <c r="I93" s="174" t="str">
        <f t="shared" si="20"/>
        <v/>
      </c>
      <c r="J93" s="174" t="e">
        <f t="shared" si="16"/>
        <v>#VALUE!</v>
      </c>
      <c r="K93" s="175" t="e">
        <f t="shared" si="16"/>
        <v>#VALUE!</v>
      </c>
      <c r="M93" s="180">
        <f t="shared" si="22"/>
        <v>2025</v>
      </c>
      <c r="N93" s="177" t="str">
        <f t="shared" si="25"/>
        <v/>
      </c>
      <c r="P93" s="178">
        <f>IF('Monthly Levelized'!$K$5+'Monthly Levelized'!$L$5&lt;&gt;0,IFERROR(VLOOKUP(B93,'Monthly Levelized'!$G$5:$I$25,3,FALSE),P92),1)</f>
        <v>1</v>
      </c>
      <c r="Q93" s="226" t="str">
        <f t="shared" si="23"/>
        <v>-</v>
      </c>
      <c r="R93" s="223"/>
      <c r="S93" s="224"/>
      <c r="T93" s="224"/>
      <c r="U93" s="224"/>
      <c r="V93" s="224"/>
    </row>
    <row r="94" spans="2:22" hidden="1" outlineLevel="1" x14ac:dyDescent="0.25">
      <c r="B94" s="177">
        <f t="shared" si="21"/>
        <v>45931</v>
      </c>
      <c r="C94" s="171">
        <f>'[1]Table 5'!E94*P94</f>
        <v>0</v>
      </c>
      <c r="D94" s="172" t="str">
        <f>IFERROR(G94*IF(AND(C94&lt;0,OR(Shape_Annually="No",AND(Shape_Annually="Yes",Shape_Start&gt;YEAR(B94)))),'MWH-Split'!T87,'MWH-Split'!S87)*'MWH-Split'!U87,"")</f>
        <v/>
      </c>
      <c r="E94" s="173" t="str">
        <f>IFERROR(H94*IF(AND(C94&lt;0,OR(Shape_Annually="No",AND(Shape_Annually="Yes",Shape_Start&gt;YEAR(B94)))),'MWH-Split'!S87,'MWH-Split'!T87)*'MWH-Split'!U87,"")</f>
        <v/>
      </c>
      <c r="F94" s="172">
        <f>'[1]Table 5'!F94*P94</f>
        <v>0</v>
      </c>
      <c r="G94" s="172" t="str">
        <f>IF('MWH-Split'!N87&lt;&gt;0,'MWH-Split'!N87*P94,"")</f>
        <v/>
      </c>
      <c r="H94" s="173" t="str">
        <f>IF('MWH-Split'!O87&lt;&gt;0,'MWH-Split'!O87*P94,"")</f>
        <v/>
      </c>
      <c r="I94" s="174" t="str">
        <f t="shared" si="20"/>
        <v/>
      </c>
      <c r="J94" s="174" t="e">
        <f t="shared" si="16"/>
        <v>#VALUE!</v>
      </c>
      <c r="K94" s="175" t="e">
        <f t="shared" si="16"/>
        <v>#VALUE!</v>
      </c>
      <c r="M94" s="180">
        <f t="shared" si="22"/>
        <v>2025</v>
      </c>
      <c r="N94" s="177" t="str">
        <f t="shared" si="25"/>
        <v/>
      </c>
      <c r="P94" s="178">
        <f>IF('Monthly Levelized'!$K$5+'Monthly Levelized'!$L$5&lt;&gt;0,IFERROR(VLOOKUP(B94,'Monthly Levelized'!$G$5:$I$25,3,FALSE),P93),1)</f>
        <v>1</v>
      </c>
      <c r="Q94" s="226" t="str">
        <f t="shared" si="23"/>
        <v>-</v>
      </c>
      <c r="R94" s="223"/>
      <c r="S94" s="224"/>
      <c r="T94" s="224"/>
      <c r="U94" s="224"/>
      <c r="V94" s="224"/>
    </row>
    <row r="95" spans="2:22" hidden="1" outlineLevel="1" x14ac:dyDescent="0.25">
      <c r="B95" s="177">
        <f t="shared" si="21"/>
        <v>45962</v>
      </c>
      <c r="C95" s="171">
        <f>'[1]Table 5'!E95*P95</f>
        <v>0</v>
      </c>
      <c r="D95" s="172" t="str">
        <f>IFERROR(G95*IF(AND(C95&lt;0,OR(Shape_Annually="No",AND(Shape_Annually="Yes",Shape_Start&gt;YEAR(B95)))),'MWH-Split'!T88,'MWH-Split'!S88)*'MWH-Split'!U88,"")</f>
        <v/>
      </c>
      <c r="E95" s="173" t="str">
        <f>IFERROR(H95*IF(AND(C95&lt;0,OR(Shape_Annually="No",AND(Shape_Annually="Yes",Shape_Start&gt;YEAR(B95)))),'MWH-Split'!S88,'MWH-Split'!T88)*'MWH-Split'!U88,"")</f>
        <v/>
      </c>
      <c r="F95" s="172">
        <f>'[1]Table 5'!F95*P95</f>
        <v>0</v>
      </c>
      <c r="G95" s="172" t="str">
        <f>IF('MWH-Split'!N88&lt;&gt;0,'MWH-Split'!N88*P95,"")</f>
        <v/>
      </c>
      <c r="H95" s="173" t="str">
        <f>IF('MWH-Split'!O88&lt;&gt;0,'MWH-Split'!O88*P95,"")</f>
        <v/>
      </c>
      <c r="I95" s="174" t="str">
        <f t="shared" si="20"/>
        <v/>
      </c>
      <c r="J95" s="174" t="e">
        <f t="shared" si="16"/>
        <v>#VALUE!</v>
      </c>
      <c r="K95" s="175" t="e">
        <f t="shared" si="16"/>
        <v>#VALUE!</v>
      </c>
      <c r="M95" s="180">
        <f t="shared" si="22"/>
        <v>2025</v>
      </c>
      <c r="N95" s="177" t="str">
        <f t="shared" si="25"/>
        <v/>
      </c>
      <c r="P95" s="178">
        <f>IF('Monthly Levelized'!$K$5+'Monthly Levelized'!$L$5&lt;&gt;0,IFERROR(VLOOKUP(B95,'Monthly Levelized'!$G$5:$I$25,3,FALSE),P94),1)</f>
        <v>1</v>
      </c>
      <c r="Q95" s="226" t="str">
        <f t="shared" si="23"/>
        <v>-</v>
      </c>
      <c r="R95" s="223"/>
      <c r="S95" s="224"/>
      <c r="T95" s="224"/>
      <c r="U95" s="224"/>
      <c r="V95" s="224"/>
    </row>
    <row r="96" spans="2:22" hidden="1" outlineLevel="1" x14ac:dyDescent="0.25">
      <c r="B96" s="188">
        <f t="shared" si="21"/>
        <v>45992</v>
      </c>
      <c r="C96" s="182">
        <f>'[1]Table 5'!E96*P96</f>
        <v>0</v>
      </c>
      <c r="D96" s="183" t="str">
        <f>IFERROR(G96*IF(AND(C96&lt;0,OR(Shape_Annually="No",AND(Shape_Annually="Yes",Shape_Start&gt;YEAR(B96)))),'MWH-Split'!T89,'MWH-Split'!S89)*'MWH-Split'!U89,"")</f>
        <v/>
      </c>
      <c r="E96" s="184" t="str">
        <f>IFERROR(H96*IF(AND(C96&lt;0,OR(Shape_Annually="No",AND(Shape_Annually="Yes",Shape_Start&gt;YEAR(B96)))),'MWH-Split'!S89,'MWH-Split'!T89)*'MWH-Split'!U89,"")</f>
        <v/>
      </c>
      <c r="F96" s="183">
        <f>'[1]Table 5'!F96*P96</f>
        <v>0</v>
      </c>
      <c r="G96" s="183" t="str">
        <f>IF('MWH-Split'!N89&lt;&gt;0,'MWH-Split'!N89*P96,"")</f>
        <v/>
      </c>
      <c r="H96" s="184" t="str">
        <f>IF('MWH-Split'!O89&lt;&gt;0,'MWH-Split'!O89*P96,"")</f>
        <v/>
      </c>
      <c r="I96" s="185" t="str">
        <f t="shared" si="20"/>
        <v/>
      </c>
      <c r="J96" s="185" t="e">
        <f t="shared" ref="J96:K97" si="26">MAX(ROUND(IF(ISNUMBER(G96),D96/G96,""),2),-99)</f>
        <v>#VALUE!</v>
      </c>
      <c r="K96" s="186" t="e">
        <f t="shared" si="26"/>
        <v>#VALUE!</v>
      </c>
      <c r="M96" s="187">
        <f t="shared" si="22"/>
        <v>2025</v>
      </c>
      <c r="N96" s="188" t="str">
        <f t="shared" si="25"/>
        <v/>
      </c>
      <c r="P96" s="189">
        <f>IF('Monthly Levelized'!$K$5+'Monthly Levelized'!$L$5&lt;&gt;0,IFERROR(VLOOKUP(B96,'Monthly Levelized'!$G$5:$I$25,3,FALSE),P95),1)</f>
        <v>1</v>
      </c>
      <c r="Q96" s="226" t="str">
        <f t="shared" si="23"/>
        <v>-</v>
      </c>
      <c r="R96" s="223"/>
      <c r="S96" s="224"/>
      <c r="T96" s="224"/>
      <c r="U96" s="224"/>
      <c r="V96" s="224"/>
    </row>
    <row r="97" spans="2:22" hidden="1" outlineLevel="1" x14ac:dyDescent="0.25">
      <c r="B97" s="190">
        <f t="shared" si="21"/>
        <v>46023</v>
      </c>
      <c r="C97" s="191">
        <f>'[1]Table 5'!E97*P97</f>
        <v>0</v>
      </c>
      <c r="D97" s="192" t="str">
        <f>IFERROR(G97*IF(AND(C97&lt;0,OR(Shape_Annually="No",AND(Shape_Annually="Yes",Shape_Start&gt;YEAR(B97)))),'MWH-Split'!T90,'MWH-Split'!S90)*'MWH-Split'!U90,"")</f>
        <v/>
      </c>
      <c r="E97" s="193" t="str">
        <f>IFERROR(H97*IF(AND(C97&lt;0,OR(Shape_Annually="No",AND(Shape_Annually="Yes",Shape_Start&gt;YEAR(B97)))),'MWH-Split'!S90,'MWH-Split'!T90)*'MWH-Split'!U90,"")</f>
        <v/>
      </c>
      <c r="F97" s="192">
        <f>'[1]Table 5'!F97*P97</f>
        <v>0</v>
      </c>
      <c r="G97" s="192" t="str">
        <f>IF('MWH-Split'!N90&lt;&gt;0,'MWH-Split'!N90*P97,"")</f>
        <v/>
      </c>
      <c r="H97" s="193" t="str">
        <f>IF('MWH-Split'!O90&lt;&gt;0,'MWH-Split'!O90*P97,"")</f>
        <v/>
      </c>
      <c r="I97" s="194" t="str">
        <f t="shared" si="20"/>
        <v/>
      </c>
      <c r="J97" s="194" t="e">
        <f t="shared" si="26"/>
        <v>#VALUE!</v>
      </c>
      <c r="K97" s="195" t="e">
        <f t="shared" si="26"/>
        <v>#VALUE!</v>
      </c>
      <c r="M97" s="176">
        <f t="shared" si="22"/>
        <v>2026</v>
      </c>
      <c r="N97" s="177" t="str">
        <f t="shared" si="25"/>
        <v/>
      </c>
      <c r="P97" s="196">
        <f>IF('Monthly Levelized'!$K$5+'Monthly Levelized'!$L$5&lt;&gt;0,IFERROR(VLOOKUP(B97,'Monthly Levelized'!$G$5:$I$25,3,FALSE),P96),1)</f>
        <v>1</v>
      </c>
      <c r="Q97" s="226" t="str">
        <f t="shared" si="23"/>
        <v>-</v>
      </c>
      <c r="R97" s="223"/>
      <c r="S97" s="224"/>
      <c r="T97" s="224"/>
      <c r="U97" s="224"/>
      <c r="V97" s="224"/>
    </row>
    <row r="98" spans="2:22" hidden="1" outlineLevel="1" x14ac:dyDescent="0.25">
      <c r="B98" s="177">
        <f t="shared" si="21"/>
        <v>46054</v>
      </c>
      <c r="C98" s="171">
        <f>'[1]Table 5'!E98*P98</f>
        <v>0</v>
      </c>
      <c r="D98" s="172" t="str">
        <f>IFERROR(G98*IF(AND(C98&lt;0,OR(Shape_Annually="No",AND(Shape_Annually="Yes",Shape_Start&gt;YEAR(B98)))),'MWH-Split'!T91,'MWH-Split'!S91)*'MWH-Split'!U91,"")</f>
        <v/>
      </c>
      <c r="E98" s="173" t="str">
        <f>IFERROR(H98*IF(AND(C98&lt;0,OR(Shape_Annually="No",AND(Shape_Annually="Yes",Shape_Start&gt;YEAR(B98)))),'MWH-Split'!S91,'MWH-Split'!T91)*'MWH-Split'!U91,"")</f>
        <v/>
      </c>
      <c r="F98" s="172">
        <f>'[1]Table 5'!F98*P98</f>
        <v>0</v>
      </c>
      <c r="G98" s="172" t="str">
        <f>IF('MWH-Split'!N91&lt;&gt;0,'MWH-Split'!N91*P98,"")</f>
        <v/>
      </c>
      <c r="H98" s="173" t="str">
        <f>IF('MWH-Split'!O91&lt;&gt;0,'MWH-Split'!O91*P98,"")</f>
        <v/>
      </c>
      <c r="I98" s="174" t="str">
        <f t="shared" si="20"/>
        <v/>
      </c>
      <c r="J98" s="174" t="e">
        <f t="shared" si="16"/>
        <v>#VALUE!</v>
      </c>
      <c r="K98" s="175" t="e">
        <f t="shared" si="16"/>
        <v>#VALUE!</v>
      </c>
      <c r="M98" s="180">
        <f t="shared" si="22"/>
        <v>2026</v>
      </c>
      <c r="N98" s="177" t="str">
        <f t="shared" si="25"/>
        <v/>
      </c>
      <c r="P98" s="178">
        <f>IF('Monthly Levelized'!$K$5+'Monthly Levelized'!$L$5&lt;&gt;0,IFERROR(VLOOKUP(B98,'Monthly Levelized'!$G$5:$I$25,3,FALSE),P97),1)</f>
        <v>1</v>
      </c>
      <c r="Q98" s="226" t="str">
        <f t="shared" si="23"/>
        <v>-</v>
      </c>
      <c r="R98" s="223"/>
      <c r="S98" s="224"/>
      <c r="T98" s="224"/>
      <c r="U98" s="224"/>
      <c r="V98" s="224"/>
    </row>
    <row r="99" spans="2:22" hidden="1" outlineLevel="1" x14ac:dyDescent="0.25">
      <c r="B99" s="177">
        <f t="shared" si="21"/>
        <v>46082</v>
      </c>
      <c r="C99" s="171">
        <f>'[1]Table 5'!E99*P99</f>
        <v>0</v>
      </c>
      <c r="D99" s="172" t="str">
        <f>IFERROR(G99*IF(AND(C99&lt;0,OR(Shape_Annually="No",AND(Shape_Annually="Yes",Shape_Start&gt;YEAR(B99)))),'MWH-Split'!T92,'MWH-Split'!S92)*'MWH-Split'!U92,"")</f>
        <v/>
      </c>
      <c r="E99" s="173" t="str">
        <f>IFERROR(H99*IF(AND(C99&lt;0,OR(Shape_Annually="No",AND(Shape_Annually="Yes",Shape_Start&gt;YEAR(B99)))),'MWH-Split'!S92,'MWH-Split'!T92)*'MWH-Split'!U92,"")</f>
        <v/>
      </c>
      <c r="F99" s="172">
        <f>'[1]Table 5'!F99*P99</f>
        <v>0</v>
      </c>
      <c r="G99" s="172" t="str">
        <f>IF('MWH-Split'!N92&lt;&gt;0,'MWH-Split'!N92*P99,"")</f>
        <v/>
      </c>
      <c r="H99" s="173" t="str">
        <f>IF('MWH-Split'!O92&lt;&gt;0,'MWH-Split'!O92*P99,"")</f>
        <v/>
      </c>
      <c r="I99" s="174" t="str">
        <f t="shared" si="20"/>
        <v/>
      </c>
      <c r="J99" s="174" t="e">
        <f t="shared" ref="J99:K162" si="27">MAX(ROUND(IF(ISNUMBER(G99),D99/G99,""),2),0)</f>
        <v>#VALUE!</v>
      </c>
      <c r="K99" s="175" t="e">
        <f t="shared" si="27"/>
        <v>#VALUE!</v>
      </c>
      <c r="M99" s="180">
        <f t="shared" si="22"/>
        <v>2026</v>
      </c>
      <c r="N99" s="177" t="str">
        <f t="shared" si="25"/>
        <v/>
      </c>
      <c r="P99" s="178">
        <f>IF('Monthly Levelized'!$K$5+'Monthly Levelized'!$L$5&lt;&gt;0,IFERROR(VLOOKUP(B99,'Monthly Levelized'!$G$5:$I$25,3,FALSE),P98),1)</f>
        <v>1</v>
      </c>
      <c r="Q99" s="226" t="str">
        <f t="shared" si="23"/>
        <v>-</v>
      </c>
      <c r="R99" s="223"/>
      <c r="S99" s="224"/>
      <c r="T99" s="224"/>
      <c r="U99" s="224"/>
      <c r="V99" s="224"/>
    </row>
    <row r="100" spans="2:22" hidden="1" outlineLevel="1" x14ac:dyDescent="0.25">
      <c r="B100" s="177">
        <f t="shared" si="21"/>
        <v>46113</v>
      </c>
      <c r="C100" s="171">
        <f>'[1]Table 5'!E100*P100</f>
        <v>0</v>
      </c>
      <c r="D100" s="172" t="str">
        <f>IFERROR(G100*IF(AND(C100&lt;0,OR(Shape_Annually="No",AND(Shape_Annually="Yes",Shape_Start&gt;YEAR(B100)))),'MWH-Split'!T93,'MWH-Split'!S93)*'MWH-Split'!U93,"")</f>
        <v/>
      </c>
      <c r="E100" s="173" t="str">
        <f>IFERROR(H100*IF(AND(C100&lt;0,OR(Shape_Annually="No",AND(Shape_Annually="Yes",Shape_Start&gt;YEAR(B100)))),'MWH-Split'!S93,'MWH-Split'!T93)*'MWH-Split'!U93,"")</f>
        <v/>
      </c>
      <c r="F100" s="172">
        <f>'[1]Table 5'!F100*P100</f>
        <v>0</v>
      </c>
      <c r="G100" s="172" t="str">
        <f>IF('MWH-Split'!N93&lt;&gt;0,'MWH-Split'!N93*P100,"")</f>
        <v/>
      </c>
      <c r="H100" s="173" t="str">
        <f>IF('MWH-Split'!O93&lt;&gt;0,'MWH-Split'!O93*P100,"")</f>
        <v/>
      </c>
      <c r="I100" s="174" t="str">
        <f t="shared" si="20"/>
        <v/>
      </c>
      <c r="J100" s="174" t="e">
        <f t="shared" si="27"/>
        <v>#VALUE!</v>
      </c>
      <c r="K100" s="175" t="e">
        <f t="shared" si="27"/>
        <v>#VALUE!</v>
      </c>
      <c r="M100" s="180">
        <f t="shared" si="22"/>
        <v>2026</v>
      </c>
      <c r="N100" s="177" t="str">
        <f t="shared" si="25"/>
        <v/>
      </c>
      <c r="P100" s="178">
        <f>IF('Monthly Levelized'!$K$5+'Monthly Levelized'!$L$5&lt;&gt;0,IFERROR(VLOOKUP(B100,'Monthly Levelized'!$G$5:$I$25,3,FALSE),P99),1)</f>
        <v>1</v>
      </c>
      <c r="Q100" s="226" t="str">
        <f t="shared" si="23"/>
        <v>-</v>
      </c>
      <c r="R100" s="223"/>
      <c r="S100" s="224"/>
      <c r="T100" s="224"/>
      <c r="U100" s="224"/>
      <c r="V100" s="224"/>
    </row>
    <row r="101" spans="2:22" hidden="1" outlineLevel="1" x14ac:dyDescent="0.25">
      <c r="B101" s="177">
        <f t="shared" si="21"/>
        <v>46143</v>
      </c>
      <c r="C101" s="171">
        <f>'[1]Table 5'!E101*P101</f>
        <v>0</v>
      </c>
      <c r="D101" s="172" t="str">
        <f>IFERROR(G101*IF(AND(C101&lt;0,OR(Shape_Annually="No",AND(Shape_Annually="Yes",Shape_Start&gt;YEAR(B101)))),'MWH-Split'!T94,'MWH-Split'!S94)*'MWH-Split'!U94,"")</f>
        <v/>
      </c>
      <c r="E101" s="173" t="str">
        <f>IFERROR(H101*IF(AND(C101&lt;0,OR(Shape_Annually="No",AND(Shape_Annually="Yes",Shape_Start&gt;YEAR(B101)))),'MWH-Split'!S94,'MWH-Split'!T94)*'MWH-Split'!U94,"")</f>
        <v/>
      </c>
      <c r="F101" s="172">
        <f>'[1]Table 5'!F101*P101</f>
        <v>0</v>
      </c>
      <c r="G101" s="172" t="str">
        <f>IF('MWH-Split'!N94&lt;&gt;0,'MWH-Split'!N94*P101,"")</f>
        <v/>
      </c>
      <c r="H101" s="173" t="str">
        <f>IF('MWH-Split'!O94&lt;&gt;0,'MWH-Split'!O94*P101,"")</f>
        <v/>
      </c>
      <c r="I101" s="174" t="str">
        <f t="shared" si="20"/>
        <v/>
      </c>
      <c r="J101" s="174" t="e">
        <f t="shared" si="27"/>
        <v>#VALUE!</v>
      </c>
      <c r="K101" s="175" t="e">
        <f t="shared" si="27"/>
        <v>#VALUE!</v>
      </c>
      <c r="M101" s="180">
        <f t="shared" si="22"/>
        <v>2026</v>
      </c>
      <c r="N101" s="177" t="str">
        <f t="shared" si="25"/>
        <v/>
      </c>
      <c r="P101" s="178">
        <f>IF('Monthly Levelized'!$K$5+'Monthly Levelized'!$L$5&lt;&gt;0,IFERROR(VLOOKUP(B101,'Monthly Levelized'!$G$5:$I$25,3,FALSE),P100),1)</f>
        <v>1</v>
      </c>
      <c r="Q101" s="226" t="str">
        <f t="shared" si="23"/>
        <v>-</v>
      </c>
      <c r="R101" s="223"/>
      <c r="S101" s="224"/>
      <c r="T101" s="224"/>
      <c r="U101" s="224"/>
      <c r="V101" s="224"/>
    </row>
    <row r="102" spans="2:22" hidden="1" outlineLevel="1" x14ac:dyDescent="0.25">
      <c r="B102" s="177">
        <f t="shared" si="21"/>
        <v>46174</v>
      </c>
      <c r="C102" s="171">
        <f>'[1]Table 5'!E102*P102</f>
        <v>0</v>
      </c>
      <c r="D102" s="172" t="str">
        <f>IFERROR(G102*IF(AND(C102&lt;0,OR(Shape_Annually="No",AND(Shape_Annually="Yes",Shape_Start&gt;YEAR(B102)))),'MWH-Split'!T95,'MWH-Split'!S95)*'MWH-Split'!U95,"")</f>
        <v/>
      </c>
      <c r="E102" s="173" t="str">
        <f>IFERROR(H102*IF(AND(C102&lt;0,OR(Shape_Annually="No",AND(Shape_Annually="Yes",Shape_Start&gt;YEAR(B102)))),'MWH-Split'!S95,'MWH-Split'!T95)*'MWH-Split'!U95,"")</f>
        <v/>
      </c>
      <c r="F102" s="172">
        <f>'[1]Table 5'!F102*P102</f>
        <v>0</v>
      </c>
      <c r="G102" s="172" t="str">
        <f>IF('MWH-Split'!N95&lt;&gt;0,'MWH-Split'!N95*P102,"")</f>
        <v/>
      </c>
      <c r="H102" s="173" t="str">
        <f>IF('MWH-Split'!O95&lt;&gt;0,'MWH-Split'!O95*P102,"")</f>
        <v/>
      </c>
      <c r="I102" s="174" t="str">
        <f t="shared" si="20"/>
        <v/>
      </c>
      <c r="J102" s="174" t="e">
        <f t="shared" si="27"/>
        <v>#VALUE!</v>
      </c>
      <c r="K102" s="175" t="e">
        <f t="shared" si="27"/>
        <v>#VALUE!</v>
      </c>
      <c r="M102" s="180">
        <f t="shared" si="22"/>
        <v>2026</v>
      </c>
      <c r="N102" s="177" t="str">
        <f t="shared" si="25"/>
        <v/>
      </c>
      <c r="P102" s="178">
        <f>IF('Monthly Levelized'!$K$5+'Monthly Levelized'!$L$5&lt;&gt;0,IFERROR(VLOOKUP(B102,'Monthly Levelized'!$G$5:$I$25,3,FALSE),P101),1)</f>
        <v>1</v>
      </c>
      <c r="Q102" s="226" t="str">
        <f t="shared" si="23"/>
        <v>-</v>
      </c>
      <c r="R102" s="223"/>
      <c r="S102" s="224"/>
      <c r="T102" s="224"/>
      <c r="U102" s="224"/>
      <c r="V102" s="224"/>
    </row>
    <row r="103" spans="2:22" hidden="1" outlineLevel="1" x14ac:dyDescent="0.25">
      <c r="B103" s="177">
        <f t="shared" si="21"/>
        <v>46204</v>
      </c>
      <c r="C103" s="171">
        <f>'[1]Table 5'!E103*P103</f>
        <v>0</v>
      </c>
      <c r="D103" s="172" t="str">
        <f>IFERROR(G103*IF(AND(C103&lt;0,OR(Shape_Annually="No",AND(Shape_Annually="Yes",Shape_Start&gt;YEAR(B103)))),'MWH-Split'!T96,'MWH-Split'!S96)*'MWH-Split'!U96,"")</f>
        <v/>
      </c>
      <c r="E103" s="173" t="str">
        <f>IFERROR(H103*IF(AND(C103&lt;0,OR(Shape_Annually="No",AND(Shape_Annually="Yes",Shape_Start&gt;YEAR(B103)))),'MWH-Split'!S96,'MWH-Split'!T96)*'MWH-Split'!U96,"")</f>
        <v/>
      </c>
      <c r="F103" s="172">
        <f>'[1]Table 5'!F103*P103</f>
        <v>0</v>
      </c>
      <c r="G103" s="172" t="str">
        <f>IF('MWH-Split'!N96&lt;&gt;0,'MWH-Split'!N96*P103,"")</f>
        <v/>
      </c>
      <c r="H103" s="173" t="str">
        <f>IF('MWH-Split'!O96&lt;&gt;0,'MWH-Split'!O96*P103,"")</f>
        <v/>
      </c>
      <c r="I103" s="174" t="str">
        <f t="shared" si="20"/>
        <v/>
      </c>
      <c r="J103" s="174" t="e">
        <f t="shared" si="27"/>
        <v>#VALUE!</v>
      </c>
      <c r="K103" s="175" t="e">
        <f t="shared" si="27"/>
        <v>#VALUE!</v>
      </c>
      <c r="M103" s="180">
        <f t="shared" si="22"/>
        <v>2026</v>
      </c>
      <c r="N103" s="177" t="str">
        <f t="shared" si="25"/>
        <v/>
      </c>
      <c r="P103" s="178">
        <f>IF('Monthly Levelized'!$K$5+'Monthly Levelized'!$L$5&lt;&gt;0,IFERROR(VLOOKUP(B103,'Monthly Levelized'!$G$5:$I$25,3,FALSE),P102),1)</f>
        <v>1</v>
      </c>
      <c r="Q103" s="226" t="str">
        <f t="shared" si="23"/>
        <v>-</v>
      </c>
      <c r="R103" s="223"/>
      <c r="S103" s="224"/>
      <c r="T103" s="224"/>
      <c r="U103" s="224"/>
      <c r="V103" s="224"/>
    </row>
    <row r="104" spans="2:22" hidden="1" outlineLevel="1" x14ac:dyDescent="0.25">
      <c r="B104" s="177">
        <f t="shared" si="21"/>
        <v>46235</v>
      </c>
      <c r="C104" s="171">
        <f>'[1]Table 5'!E104*P104</f>
        <v>0</v>
      </c>
      <c r="D104" s="172" t="str">
        <f>IFERROR(G104*IF(AND(C104&lt;0,OR(Shape_Annually="No",AND(Shape_Annually="Yes",Shape_Start&gt;YEAR(B104)))),'MWH-Split'!T97,'MWH-Split'!S97)*'MWH-Split'!U97,"")</f>
        <v/>
      </c>
      <c r="E104" s="173" t="str">
        <f>IFERROR(H104*IF(AND(C104&lt;0,OR(Shape_Annually="No",AND(Shape_Annually="Yes",Shape_Start&gt;YEAR(B104)))),'MWH-Split'!S97,'MWH-Split'!T97)*'MWH-Split'!U97,"")</f>
        <v/>
      </c>
      <c r="F104" s="172">
        <f>'[1]Table 5'!F104*P104</f>
        <v>0</v>
      </c>
      <c r="G104" s="172" t="str">
        <f>IF('MWH-Split'!N97&lt;&gt;0,'MWH-Split'!N97*P104,"")</f>
        <v/>
      </c>
      <c r="H104" s="173" t="str">
        <f>IF('MWH-Split'!O97&lt;&gt;0,'MWH-Split'!O97*P104,"")</f>
        <v/>
      </c>
      <c r="I104" s="174" t="str">
        <f t="shared" si="20"/>
        <v/>
      </c>
      <c r="J104" s="174" t="e">
        <f t="shared" si="27"/>
        <v>#VALUE!</v>
      </c>
      <c r="K104" s="175" t="e">
        <f t="shared" si="27"/>
        <v>#VALUE!</v>
      </c>
      <c r="M104" s="180">
        <f t="shared" si="22"/>
        <v>2026</v>
      </c>
      <c r="N104" s="177" t="str">
        <f t="shared" si="25"/>
        <v/>
      </c>
      <c r="P104" s="178">
        <f>IF('Monthly Levelized'!$K$5+'Monthly Levelized'!$L$5&lt;&gt;0,IFERROR(VLOOKUP(B104,'Monthly Levelized'!$G$5:$I$25,3,FALSE),P103),1)</f>
        <v>1</v>
      </c>
      <c r="Q104" s="226" t="str">
        <f t="shared" si="23"/>
        <v>-</v>
      </c>
      <c r="R104" s="223"/>
      <c r="S104" s="224"/>
      <c r="T104" s="224"/>
      <c r="U104" s="224"/>
      <c r="V104" s="224"/>
    </row>
    <row r="105" spans="2:22" hidden="1" outlineLevel="1" x14ac:dyDescent="0.25">
      <c r="B105" s="177">
        <f t="shared" si="21"/>
        <v>46266</v>
      </c>
      <c r="C105" s="171">
        <f>'[1]Table 5'!E105*P105</f>
        <v>0</v>
      </c>
      <c r="D105" s="172" t="str">
        <f>IFERROR(G105*IF(AND(C105&lt;0,OR(Shape_Annually="No",AND(Shape_Annually="Yes",Shape_Start&gt;YEAR(B105)))),'MWH-Split'!T98,'MWH-Split'!S98)*'MWH-Split'!U98,"")</f>
        <v/>
      </c>
      <c r="E105" s="173" t="str">
        <f>IFERROR(H105*IF(AND(C105&lt;0,OR(Shape_Annually="No",AND(Shape_Annually="Yes",Shape_Start&gt;YEAR(B105)))),'MWH-Split'!S98,'MWH-Split'!T98)*'MWH-Split'!U98,"")</f>
        <v/>
      </c>
      <c r="F105" s="172">
        <f>'[1]Table 5'!F105*P105</f>
        <v>0</v>
      </c>
      <c r="G105" s="172" t="str">
        <f>IF('MWH-Split'!N98&lt;&gt;0,'MWH-Split'!N98*P105,"")</f>
        <v/>
      </c>
      <c r="H105" s="173" t="str">
        <f>IF('MWH-Split'!O98&lt;&gt;0,'MWH-Split'!O98*P105,"")</f>
        <v/>
      </c>
      <c r="I105" s="174" t="str">
        <f t="shared" si="20"/>
        <v/>
      </c>
      <c r="J105" s="174" t="e">
        <f t="shared" si="27"/>
        <v>#VALUE!</v>
      </c>
      <c r="K105" s="175" t="e">
        <f t="shared" si="27"/>
        <v>#VALUE!</v>
      </c>
      <c r="M105" s="180">
        <f t="shared" si="22"/>
        <v>2026</v>
      </c>
      <c r="N105" s="177" t="str">
        <f t="shared" si="25"/>
        <v/>
      </c>
      <c r="P105" s="178">
        <f>IF('Monthly Levelized'!$K$5+'Monthly Levelized'!$L$5&lt;&gt;0,IFERROR(VLOOKUP(B105,'Monthly Levelized'!$G$5:$I$25,3,FALSE),P104),1)</f>
        <v>1</v>
      </c>
      <c r="Q105" s="226" t="str">
        <f t="shared" si="23"/>
        <v>-</v>
      </c>
      <c r="R105" s="223"/>
      <c r="S105" s="224"/>
      <c r="T105" s="224"/>
      <c r="U105" s="224"/>
      <c r="V105" s="224"/>
    </row>
    <row r="106" spans="2:22" hidden="1" outlineLevel="1" x14ac:dyDescent="0.25">
      <c r="B106" s="177">
        <f t="shared" si="21"/>
        <v>46296</v>
      </c>
      <c r="C106" s="171">
        <f>'[1]Table 5'!E106*P106</f>
        <v>0</v>
      </c>
      <c r="D106" s="172" t="str">
        <f>IFERROR(G106*IF(AND(C106&lt;0,OR(Shape_Annually="No",AND(Shape_Annually="Yes",Shape_Start&gt;YEAR(B106)))),'MWH-Split'!T99,'MWH-Split'!S99)*'MWH-Split'!U99,"")</f>
        <v/>
      </c>
      <c r="E106" s="173" t="str">
        <f>IFERROR(H106*IF(AND(C106&lt;0,OR(Shape_Annually="No",AND(Shape_Annually="Yes",Shape_Start&gt;YEAR(B106)))),'MWH-Split'!S99,'MWH-Split'!T99)*'MWH-Split'!U99,"")</f>
        <v/>
      </c>
      <c r="F106" s="172">
        <f>'[1]Table 5'!F106*P106</f>
        <v>0</v>
      </c>
      <c r="G106" s="172" t="str">
        <f>IF('MWH-Split'!N99&lt;&gt;0,'MWH-Split'!N99*P106,"")</f>
        <v/>
      </c>
      <c r="H106" s="173" t="str">
        <f>IF('MWH-Split'!O99&lt;&gt;0,'MWH-Split'!O99*P106,"")</f>
        <v/>
      </c>
      <c r="I106" s="174" t="str">
        <f t="shared" si="20"/>
        <v/>
      </c>
      <c r="J106" s="174" t="e">
        <f t="shared" si="27"/>
        <v>#VALUE!</v>
      </c>
      <c r="K106" s="175" t="e">
        <f t="shared" si="27"/>
        <v>#VALUE!</v>
      </c>
      <c r="M106" s="180">
        <f t="shared" si="22"/>
        <v>2026</v>
      </c>
      <c r="N106" s="177" t="str">
        <f t="shared" si="25"/>
        <v/>
      </c>
      <c r="P106" s="178">
        <f>IF('Monthly Levelized'!$K$5+'Monthly Levelized'!$L$5&lt;&gt;0,IFERROR(VLOOKUP(B106,'Monthly Levelized'!$G$5:$I$25,3,FALSE),P105),1)</f>
        <v>1</v>
      </c>
      <c r="Q106" s="226" t="str">
        <f t="shared" si="23"/>
        <v>-</v>
      </c>
      <c r="R106" s="223"/>
      <c r="S106" s="224"/>
      <c r="T106" s="224"/>
      <c r="U106" s="224"/>
      <c r="V106" s="224"/>
    </row>
    <row r="107" spans="2:22" hidden="1" outlineLevel="1" x14ac:dyDescent="0.25">
      <c r="B107" s="177">
        <f t="shared" si="21"/>
        <v>46327</v>
      </c>
      <c r="C107" s="171">
        <f>'[1]Table 5'!E107*P107</f>
        <v>0</v>
      </c>
      <c r="D107" s="172" t="str">
        <f>IFERROR(G107*IF(AND(C107&lt;0,OR(Shape_Annually="No",AND(Shape_Annually="Yes",Shape_Start&gt;YEAR(B107)))),'MWH-Split'!T100,'MWH-Split'!S100)*'MWH-Split'!U100,"")</f>
        <v/>
      </c>
      <c r="E107" s="173" t="str">
        <f>IFERROR(H107*IF(AND(C107&lt;0,OR(Shape_Annually="No",AND(Shape_Annually="Yes",Shape_Start&gt;YEAR(B107)))),'MWH-Split'!S100,'MWH-Split'!T100)*'MWH-Split'!U100,"")</f>
        <v/>
      </c>
      <c r="F107" s="172">
        <f>'[1]Table 5'!F107*P107</f>
        <v>0</v>
      </c>
      <c r="G107" s="172" t="str">
        <f>IF('MWH-Split'!N100&lt;&gt;0,'MWH-Split'!N100*P107,"")</f>
        <v/>
      </c>
      <c r="H107" s="173" t="str">
        <f>IF('MWH-Split'!O100&lt;&gt;0,'MWH-Split'!O100*P107,"")</f>
        <v/>
      </c>
      <c r="I107" s="174" t="str">
        <f t="shared" si="20"/>
        <v/>
      </c>
      <c r="J107" s="174" t="e">
        <f t="shared" si="27"/>
        <v>#VALUE!</v>
      </c>
      <c r="K107" s="175" t="e">
        <f t="shared" si="27"/>
        <v>#VALUE!</v>
      </c>
      <c r="M107" s="180">
        <f t="shared" si="22"/>
        <v>2026</v>
      </c>
      <c r="N107" s="177" t="str">
        <f t="shared" si="25"/>
        <v/>
      </c>
      <c r="P107" s="178">
        <f>IF('Monthly Levelized'!$K$5+'Monthly Levelized'!$L$5&lt;&gt;0,IFERROR(VLOOKUP(B107,'Monthly Levelized'!$G$5:$I$25,3,FALSE),P106),1)</f>
        <v>1</v>
      </c>
      <c r="Q107" s="226" t="str">
        <f t="shared" si="23"/>
        <v>-</v>
      </c>
      <c r="R107" s="223"/>
      <c r="S107" s="224"/>
      <c r="T107" s="224"/>
      <c r="U107" s="224"/>
      <c r="V107" s="224"/>
    </row>
    <row r="108" spans="2:22" hidden="1" outlineLevel="1" x14ac:dyDescent="0.25">
      <c r="B108" s="188">
        <f t="shared" si="21"/>
        <v>46357</v>
      </c>
      <c r="C108" s="182">
        <f>'[1]Table 5'!E108*P108</f>
        <v>0</v>
      </c>
      <c r="D108" s="183" t="str">
        <f>IFERROR(G108*IF(AND(C108&lt;0,OR(Shape_Annually="No",AND(Shape_Annually="Yes",Shape_Start&gt;YEAR(B108)))),'MWH-Split'!T101,'MWH-Split'!S101)*'MWH-Split'!U101,"")</f>
        <v/>
      </c>
      <c r="E108" s="184" t="str">
        <f>IFERROR(H108*IF(AND(C108&lt;0,OR(Shape_Annually="No",AND(Shape_Annually="Yes",Shape_Start&gt;YEAR(B108)))),'MWH-Split'!S101,'MWH-Split'!T101)*'MWH-Split'!U101,"")</f>
        <v/>
      </c>
      <c r="F108" s="183">
        <f>'[1]Table 5'!F108*P108</f>
        <v>0</v>
      </c>
      <c r="G108" s="183" t="str">
        <f>IF('MWH-Split'!N101&lt;&gt;0,'MWH-Split'!N101*P108,"")</f>
        <v/>
      </c>
      <c r="H108" s="184" t="str">
        <f>IF('MWH-Split'!O101&lt;&gt;0,'MWH-Split'!O101*P108,"")</f>
        <v/>
      </c>
      <c r="I108" s="185" t="str">
        <f t="shared" si="20"/>
        <v/>
      </c>
      <c r="J108" s="185" t="e">
        <f t="shared" ref="J108:K109" si="28">MAX(ROUND(IF(ISNUMBER(G108),D108/G108,""),2),-99)</f>
        <v>#VALUE!</v>
      </c>
      <c r="K108" s="186" t="e">
        <f t="shared" si="28"/>
        <v>#VALUE!</v>
      </c>
      <c r="M108" s="187">
        <f t="shared" si="22"/>
        <v>2026</v>
      </c>
      <c r="N108" s="188" t="str">
        <f t="shared" si="25"/>
        <v/>
      </c>
      <c r="P108" s="189">
        <f>IF('Monthly Levelized'!$K$5+'Monthly Levelized'!$L$5&lt;&gt;0,IFERROR(VLOOKUP(B108,'Monthly Levelized'!$G$5:$I$25,3,FALSE),P107),1)</f>
        <v>1</v>
      </c>
      <c r="Q108" s="226" t="str">
        <f t="shared" si="23"/>
        <v>-</v>
      </c>
      <c r="R108" s="223"/>
      <c r="S108" s="224"/>
      <c r="T108" s="224"/>
      <c r="U108" s="224"/>
      <c r="V108" s="224"/>
    </row>
    <row r="109" spans="2:22" hidden="1" outlineLevel="1" x14ac:dyDescent="0.25">
      <c r="B109" s="190">
        <f t="shared" si="21"/>
        <v>46388</v>
      </c>
      <c r="C109" s="191">
        <f>'[1]Table 5'!E109*P109</f>
        <v>0</v>
      </c>
      <c r="D109" s="192" t="str">
        <f>IFERROR(G109*IF(AND(C109&lt;0,OR(Shape_Annually="No",AND(Shape_Annually="Yes",Shape_Start&gt;YEAR(B109)))),'MWH-Split'!T102,'MWH-Split'!S102)*'MWH-Split'!U102,"")</f>
        <v/>
      </c>
      <c r="E109" s="193" t="str">
        <f>IFERROR(H109*IF(AND(C109&lt;0,OR(Shape_Annually="No",AND(Shape_Annually="Yes",Shape_Start&gt;YEAR(B109)))),'MWH-Split'!S102,'MWH-Split'!T102)*'MWH-Split'!U102,"")</f>
        <v/>
      </c>
      <c r="F109" s="192">
        <f>'[1]Table 5'!F109*P109</f>
        <v>0</v>
      </c>
      <c r="G109" s="192" t="str">
        <f>IF('MWH-Split'!N102&lt;&gt;0,'MWH-Split'!N102*P109,"")</f>
        <v/>
      </c>
      <c r="H109" s="193" t="str">
        <f>IF('MWH-Split'!O102&lt;&gt;0,'MWH-Split'!O102*P109,"")</f>
        <v/>
      </c>
      <c r="I109" s="194" t="str">
        <f t="shared" si="20"/>
        <v/>
      </c>
      <c r="J109" s="194" t="e">
        <f t="shared" si="28"/>
        <v>#VALUE!</v>
      </c>
      <c r="K109" s="195" t="e">
        <f t="shared" si="28"/>
        <v>#VALUE!</v>
      </c>
      <c r="M109" s="176">
        <f t="shared" si="22"/>
        <v>2027</v>
      </c>
      <c r="N109" s="177" t="str">
        <f t="shared" si="25"/>
        <v/>
      </c>
      <c r="P109" s="196">
        <f>IF('Monthly Levelized'!$K$5+'Monthly Levelized'!$L$5&lt;&gt;0,IFERROR(VLOOKUP(B109,'Monthly Levelized'!$G$5:$I$25,3,FALSE),P108),1)</f>
        <v>1</v>
      </c>
      <c r="Q109" s="226" t="str">
        <f t="shared" si="23"/>
        <v>-</v>
      </c>
      <c r="R109" s="223"/>
      <c r="S109" s="224"/>
      <c r="T109" s="224"/>
      <c r="U109" s="224"/>
      <c r="V109" s="224"/>
    </row>
    <row r="110" spans="2:22" hidden="1" outlineLevel="1" x14ac:dyDescent="0.25">
      <c r="B110" s="177">
        <f t="shared" si="21"/>
        <v>46419</v>
      </c>
      <c r="C110" s="171">
        <f>'[1]Table 5'!E110*P110</f>
        <v>0</v>
      </c>
      <c r="D110" s="172" t="str">
        <f>IFERROR(G110*IF(AND(C110&lt;0,OR(Shape_Annually="No",AND(Shape_Annually="Yes",Shape_Start&gt;YEAR(B110)))),'MWH-Split'!T103,'MWH-Split'!S103)*'MWH-Split'!U103,"")</f>
        <v/>
      </c>
      <c r="E110" s="173" t="str">
        <f>IFERROR(H110*IF(AND(C110&lt;0,OR(Shape_Annually="No",AND(Shape_Annually="Yes",Shape_Start&gt;YEAR(B110)))),'MWH-Split'!S103,'MWH-Split'!T103)*'MWH-Split'!U103,"")</f>
        <v/>
      </c>
      <c r="F110" s="172">
        <f>'[1]Table 5'!F110*P110</f>
        <v>0</v>
      </c>
      <c r="G110" s="172" t="str">
        <f>IF('MWH-Split'!N103&lt;&gt;0,'MWH-Split'!N103*P110,"")</f>
        <v/>
      </c>
      <c r="H110" s="173" t="str">
        <f>IF('MWH-Split'!O103&lt;&gt;0,'MWH-Split'!O103*P110,"")</f>
        <v/>
      </c>
      <c r="I110" s="174" t="str">
        <f t="shared" si="20"/>
        <v/>
      </c>
      <c r="J110" s="174" t="e">
        <f t="shared" si="27"/>
        <v>#VALUE!</v>
      </c>
      <c r="K110" s="175" t="e">
        <f t="shared" si="27"/>
        <v>#VALUE!</v>
      </c>
      <c r="M110" s="180">
        <f t="shared" si="22"/>
        <v>2027</v>
      </c>
      <c r="N110" s="177" t="str">
        <f t="shared" si="25"/>
        <v/>
      </c>
      <c r="P110" s="178">
        <f>IF('Monthly Levelized'!$K$5+'Monthly Levelized'!$L$5&lt;&gt;0,IFERROR(VLOOKUP(B110,'Monthly Levelized'!$G$5:$I$25,3,FALSE),P109),1)</f>
        <v>1</v>
      </c>
      <c r="Q110" s="226" t="str">
        <f t="shared" si="23"/>
        <v>-</v>
      </c>
      <c r="R110" s="223"/>
      <c r="S110" s="224"/>
      <c r="T110" s="224"/>
      <c r="U110" s="224"/>
      <c r="V110" s="224"/>
    </row>
    <row r="111" spans="2:22" hidden="1" outlineLevel="1" x14ac:dyDescent="0.25">
      <c r="B111" s="177">
        <f t="shared" si="21"/>
        <v>46447</v>
      </c>
      <c r="C111" s="171">
        <f>'[1]Table 5'!E111*P111</f>
        <v>0</v>
      </c>
      <c r="D111" s="172" t="str">
        <f>IFERROR(G111*IF(AND(C111&lt;0,OR(Shape_Annually="No",AND(Shape_Annually="Yes",Shape_Start&gt;YEAR(B111)))),'MWH-Split'!T104,'MWH-Split'!S104)*'MWH-Split'!U104,"")</f>
        <v/>
      </c>
      <c r="E111" s="173" t="str">
        <f>IFERROR(H111*IF(AND(C111&lt;0,OR(Shape_Annually="No",AND(Shape_Annually="Yes",Shape_Start&gt;YEAR(B111)))),'MWH-Split'!S104,'MWH-Split'!T104)*'MWH-Split'!U104,"")</f>
        <v/>
      </c>
      <c r="F111" s="172">
        <f>'[1]Table 5'!F111*P111</f>
        <v>0</v>
      </c>
      <c r="G111" s="172" t="str">
        <f>IF('MWH-Split'!N104&lt;&gt;0,'MWH-Split'!N104*P111,"")</f>
        <v/>
      </c>
      <c r="H111" s="173" t="str">
        <f>IF('MWH-Split'!O104&lt;&gt;0,'MWH-Split'!O104*P111,"")</f>
        <v/>
      </c>
      <c r="I111" s="174" t="str">
        <f t="shared" si="20"/>
        <v/>
      </c>
      <c r="J111" s="174" t="e">
        <f t="shared" si="27"/>
        <v>#VALUE!</v>
      </c>
      <c r="K111" s="175" t="e">
        <f t="shared" si="27"/>
        <v>#VALUE!</v>
      </c>
      <c r="M111" s="180">
        <f t="shared" si="22"/>
        <v>2027</v>
      </c>
      <c r="N111" s="177" t="str">
        <f t="shared" si="25"/>
        <v/>
      </c>
      <c r="P111" s="178">
        <f>IF('Monthly Levelized'!$K$5+'Monthly Levelized'!$L$5&lt;&gt;0,IFERROR(VLOOKUP(B111,'Monthly Levelized'!$G$5:$I$25,3,FALSE),P110),1)</f>
        <v>1</v>
      </c>
      <c r="Q111" s="226" t="str">
        <f t="shared" si="23"/>
        <v>-</v>
      </c>
      <c r="R111" s="223"/>
      <c r="S111" s="224"/>
      <c r="T111" s="224"/>
      <c r="U111" s="224"/>
      <c r="V111" s="224"/>
    </row>
    <row r="112" spans="2:22" hidden="1" outlineLevel="1" x14ac:dyDescent="0.25">
      <c r="B112" s="177">
        <f t="shared" si="21"/>
        <v>46478</v>
      </c>
      <c r="C112" s="171">
        <f>'[1]Table 5'!E112*P112</f>
        <v>0</v>
      </c>
      <c r="D112" s="172" t="str">
        <f>IFERROR(G112*IF(AND(C112&lt;0,OR(Shape_Annually="No",AND(Shape_Annually="Yes",Shape_Start&gt;YEAR(B112)))),'MWH-Split'!T105,'MWH-Split'!S105)*'MWH-Split'!U105,"")</f>
        <v/>
      </c>
      <c r="E112" s="173" t="str">
        <f>IFERROR(H112*IF(AND(C112&lt;0,OR(Shape_Annually="No",AND(Shape_Annually="Yes",Shape_Start&gt;YEAR(B112)))),'MWH-Split'!S105,'MWH-Split'!T105)*'MWH-Split'!U105,"")</f>
        <v/>
      </c>
      <c r="F112" s="172">
        <f>'[1]Table 5'!F112*P112</f>
        <v>0</v>
      </c>
      <c r="G112" s="172" t="str">
        <f>IF('MWH-Split'!N105&lt;&gt;0,'MWH-Split'!N105*P112,"")</f>
        <v/>
      </c>
      <c r="H112" s="173" t="str">
        <f>IF('MWH-Split'!O105&lt;&gt;0,'MWH-Split'!O105*P112,"")</f>
        <v/>
      </c>
      <c r="I112" s="174" t="str">
        <f t="shared" si="20"/>
        <v/>
      </c>
      <c r="J112" s="174" t="e">
        <f t="shared" si="27"/>
        <v>#VALUE!</v>
      </c>
      <c r="K112" s="175" t="e">
        <f t="shared" si="27"/>
        <v>#VALUE!</v>
      </c>
      <c r="M112" s="180">
        <f t="shared" si="22"/>
        <v>2027</v>
      </c>
      <c r="N112" s="177" t="str">
        <f t="shared" si="25"/>
        <v/>
      </c>
      <c r="P112" s="178">
        <f>IF('Monthly Levelized'!$K$5+'Monthly Levelized'!$L$5&lt;&gt;0,IFERROR(VLOOKUP(B112,'Monthly Levelized'!$G$5:$I$25,3,FALSE),P111),1)</f>
        <v>1</v>
      </c>
      <c r="Q112" s="226" t="str">
        <f t="shared" si="23"/>
        <v>-</v>
      </c>
      <c r="R112" s="223"/>
      <c r="S112" s="224"/>
      <c r="T112" s="224"/>
      <c r="U112" s="224"/>
      <c r="V112" s="224"/>
    </row>
    <row r="113" spans="2:22" hidden="1" outlineLevel="1" x14ac:dyDescent="0.25">
      <c r="B113" s="177">
        <f t="shared" si="21"/>
        <v>46508</v>
      </c>
      <c r="C113" s="171">
        <f>'[1]Table 5'!E113*P113</f>
        <v>0</v>
      </c>
      <c r="D113" s="172" t="str">
        <f>IFERROR(G113*IF(AND(C113&lt;0,OR(Shape_Annually="No",AND(Shape_Annually="Yes",Shape_Start&gt;YEAR(B113)))),'MWH-Split'!T106,'MWH-Split'!S106)*'MWH-Split'!U106,"")</f>
        <v/>
      </c>
      <c r="E113" s="173" t="str">
        <f>IFERROR(H113*IF(AND(C113&lt;0,OR(Shape_Annually="No",AND(Shape_Annually="Yes",Shape_Start&gt;YEAR(B113)))),'MWH-Split'!S106,'MWH-Split'!T106)*'MWH-Split'!U106,"")</f>
        <v/>
      </c>
      <c r="F113" s="172">
        <f>'[1]Table 5'!F113*P113</f>
        <v>0</v>
      </c>
      <c r="G113" s="172" t="str">
        <f>IF('MWH-Split'!N106&lt;&gt;0,'MWH-Split'!N106*P113,"")</f>
        <v/>
      </c>
      <c r="H113" s="173" t="str">
        <f>IF('MWH-Split'!O106&lt;&gt;0,'MWH-Split'!O106*P113,"")</f>
        <v/>
      </c>
      <c r="I113" s="174" t="str">
        <f t="shared" si="20"/>
        <v/>
      </c>
      <c r="J113" s="174" t="e">
        <f t="shared" si="27"/>
        <v>#VALUE!</v>
      </c>
      <c r="K113" s="175" t="e">
        <f t="shared" si="27"/>
        <v>#VALUE!</v>
      </c>
      <c r="M113" s="180">
        <f t="shared" si="22"/>
        <v>2027</v>
      </c>
      <c r="N113" s="177" t="str">
        <f t="shared" si="25"/>
        <v/>
      </c>
      <c r="P113" s="178">
        <f>IF('Monthly Levelized'!$K$5+'Monthly Levelized'!$L$5&lt;&gt;0,IFERROR(VLOOKUP(B113,'Monthly Levelized'!$G$5:$I$25,3,FALSE),P112),1)</f>
        <v>1</v>
      </c>
      <c r="Q113" s="226" t="str">
        <f t="shared" si="23"/>
        <v>-</v>
      </c>
      <c r="R113" s="223"/>
      <c r="S113" s="224"/>
      <c r="T113" s="224"/>
      <c r="U113" s="224"/>
      <c r="V113" s="224"/>
    </row>
    <row r="114" spans="2:22" hidden="1" outlineLevel="1" x14ac:dyDescent="0.25">
      <c r="B114" s="177">
        <f t="shared" si="21"/>
        <v>46539</v>
      </c>
      <c r="C114" s="171">
        <f>'[1]Table 5'!E114*P114</f>
        <v>0</v>
      </c>
      <c r="D114" s="172" t="str">
        <f>IFERROR(G114*IF(AND(C114&lt;0,OR(Shape_Annually="No",AND(Shape_Annually="Yes",Shape_Start&gt;YEAR(B114)))),'MWH-Split'!T107,'MWH-Split'!S107)*'MWH-Split'!U107,"")</f>
        <v/>
      </c>
      <c r="E114" s="173" t="str">
        <f>IFERROR(H114*IF(AND(C114&lt;0,OR(Shape_Annually="No",AND(Shape_Annually="Yes",Shape_Start&gt;YEAR(B114)))),'MWH-Split'!S107,'MWH-Split'!T107)*'MWH-Split'!U107,"")</f>
        <v/>
      </c>
      <c r="F114" s="172">
        <f>'[1]Table 5'!F114*P114</f>
        <v>0</v>
      </c>
      <c r="G114" s="172" t="str">
        <f>IF('MWH-Split'!N107&lt;&gt;0,'MWH-Split'!N107*P114,"")</f>
        <v/>
      </c>
      <c r="H114" s="173" t="str">
        <f>IF('MWH-Split'!O107&lt;&gt;0,'MWH-Split'!O107*P114,"")</f>
        <v/>
      </c>
      <c r="I114" s="174" t="str">
        <f t="shared" si="20"/>
        <v/>
      </c>
      <c r="J114" s="174" t="e">
        <f t="shared" si="27"/>
        <v>#VALUE!</v>
      </c>
      <c r="K114" s="175" t="e">
        <f t="shared" si="27"/>
        <v>#VALUE!</v>
      </c>
      <c r="M114" s="180">
        <f t="shared" si="22"/>
        <v>2027</v>
      </c>
      <c r="N114" s="177" t="str">
        <f t="shared" si="25"/>
        <v/>
      </c>
      <c r="P114" s="178">
        <f>IF('Monthly Levelized'!$K$5+'Monthly Levelized'!$L$5&lt;&gt;0,IFERROR(VLOOKUP(B114,'Monthly Levelized'!$G$5:$I$25,3,FALSE),P113),1)</f>
        <v>1</v>
      </c>
      <c r="Q114" s="226" t="str">
        <f t="shared" si="23"/>
        <v>-</v>
      </c>
      <c r="R114" s="223"/>
      <c r="S114" s="224"/>
      <c r="T114" s="224"/>
      <c r="U114" s="224"/>
      <c r="V114" s="224"/>
    </row>
    <row r="115" spans="2:22" hidden="1" outlineLevel="1" x14ac:dyDescent="0.25">
      <c r="B115" s="177">
        <f t="shared" si="21"/>
        <v>46569</v>
      </c>
      <c r="C115" s="171">
        <f>'[1]Table 5'!E115*P115</f>
        <v>0</v>
      </c>
      <c r="D115" s="172" t="str">
        <f>IFERROR(G115*IF(AND(C115&lt;0,OR(Shape_Annually="No",AND(Shape_Annually="Yes",Shape_Start&gt;YEAR(B115)))),'MWH-Split'!T108,'MWH-Split'!S108)*'MWH-Split'!U108,"")</f>
        <v/>
      </c>
      <c r="E115" s="173" t="str">
        <f>IFERROR(H115*IF(AND(C115&lt;0,OR(Shape_Annually="No",AND(Shape_Annually="Yes",Shape_Start&gt;YEAR(B115)))),'MWH-Split'!S108,'MWH-Split'!T108)*'MWH-Split'!U108,"")</f>
        <v/>
      </c>
      <c r="F115" s="172">
        <f>'[1]Table 5'!F115*P115</f>
        <v>0</v>
      </c>
      <c r="G115" s="172" t="str">
        <f>IF('MWH-Split'!N108&lt;&gt;0,'MWH-Split'!N108*P115,"")</f>
        <v/>
      </c>
      <c r="H115" s="173" t="str">
        <f>IF('MWH-Split'!O108&lt;&gt;0,'MWH-Split'!O108*P115,"")</f>
        <v/>
      </c>
      <c r="I115" s="174" t="str">
        <f t="shared" si="20"/>
        <v/>
      </c>
      <c r="J115" s="174" t="e">
        <f t="shared" si="27"/>
        <v>#VALUE!</v>
      </c>
      <c r="K115" s="175" t="e">
        <f t="shared" si="27"/>
        <v>#VALUE!</v>
      </c>
      <c r="M115" s="180">
        <f t="shared" si="22"/>
        <v>2027</v>
      </c>
      <c r="N115" s="177" t="str">
        <f t="shared" si="25"/>
        <v/>
      </c>
      <c r="P115" s="178">
        <f>IF('Monthly Levelized'!$K$5+'Monthly Levelized'!$L$5&lt;&gt;0,IFERROR(VLOOKUP(B115,'Monthly Levelized'!$G$5:$I$25,3,FALSE),P114),1)</f>
        <v>1</v>
      </c>
      <c r="Q115" s="226" t="str">
        <f t="shared" si="23"/>
        <v>-</v>
      </c>
      <c r="R115" s="223"/>
      <c r="S115" s="224"/>
      <c r="T115" s="224"/>
      <c r="U115" s="224"/>
      <c r="V115" s="224"/>
    </row>
    <row r="116" spans="2:22" hidden="1" outlineLevel="1" x14ac:dyDescent="0.25">
      <c r="B116" s="177">
        <f t="shared" si="21"/>
        <v>46600</v>
      </c>
      <c r="C116" s="171">
        <f>'[1]Table 5'!E116*P116</f>
        <v>0</v>
      </c>
      <c r="D116" s="172" t="str">
        <f>IFERROR(G116*IF(AND(C116&lt;0,OR(Shape_Annually="No",AND(Shape_Annually="Yes",Shape_Start&gt;YEAR(B116)))),'MWH-Split'!T109,'MWH-Split'!S109)*'MWH-Split'!U109,"")</f>
        <v/>
      </c>
      <c r="E116" s="173" t="str">
        <f>IFERROR(H116*IF(AND(C116&lt;0,OR(Shape_Annually="No",AND(Shape_Annually="Yes",Shape_Start&gt;YEAR(B116)))),'MWH-Split'!S109,'MWH-Split'!T109)*'MWH-Split'!U109,"")</f>
        <v/>
      </c>
      <c r="F116" s="172">
        <f>'[1]Table 5'!F116*P116</f>
        <v>0</v>
      </c>
      <c r="G116" s="172" t="str">
        <f>IF('MWH-Split'!N109&lt;&gt;0,'MWH-Split'!N109*P116,"")</f>
        <v/>
      </c>
      <c r="H116" s="173" t="str">
        <f>IF('MWH-Split'!O109&lt;&gt;0,'MWH-Split'!O109*P116,"")</f>
        <v/>
      </c>
      <c r="I116" s="174" t="str">
        <f t="shared" si="20"/>
        <v/>
      </c>
      <c r="J116" s="174" t="e">
        <f t="shared" si="27"/>
        <v>#VALUE!</v>
      </c>
      <c r="K116" s="175" t="e">
        <f t="shared" si="27"/>
        <v>#VALUE!</v>
      </c>
      <c r="M116" s="180">
        <f t="shared" si="22"/>
        <v>2027</v>
      </c>
      <c r="N116" s="177" t="str">
        <f t="shared" si="25"/>
        <v/>
      </c>
      <c r="P116" s="178">
        <f>IF('Monthly Levelized'!$K$5+'Monthly Levelized'!$L$5&lt;&gt;0,IFERROR(VLOOKUP(B116,'Monthly Levelized'!$G$5:$I$25,3,FALSE),P115),1)</f>
        <v>1</v>
      </c>
      <c r="Q116" s="226" t="str">
        <f t="shared" si="23"/>
        <v>-</v>
      </c>
      <c r="R116" s="223"/>
      <c r="S116" s="224"/>
      <c r="T116" s="224"/>
      <c r="U116" s="224"/>
      <c r="V116" s="224"/>
    </row>
    <row r="117" spans="2:22" hidden="1" outlineLevel="1" x14ac:dyDescent="0.25">
      <c r="B117" s="177">
        <f t="shared" si="21"/>
        <v>46631</v>
      </c>
      <c r="C117" s="171">
        <f>'[1]Table 5'!E117*P117</f>
        <v>0</v>
      </c>
      <c r="D117" s="172" t="str">
        <f>IFERROR(G117*IF(AND(C117&lt;0,OR(Shape_Annually="No",AND(Shape_Annually="Yes",Shape_Start&gt;YEAR(B117)))),'MWH-Split'!T110,'MWH-Split'!S110)*'MWH-Split'!U110,"")</f>
        <v/>
      </c>
      <c r="E117" s="173" t="str">
        <f>IFERROR(H117*IF(AND(C117&lt;0,OR(Shape_Annually="No",AND(Shape_Annually="Yes",Shape_Start&gt;YEAR(B117)))),'MWH-Split'!S110,'MWH-Split'!T110)*'MWH-Split'!U110,"")</f>
        <v/>
      </c>
      <c r="F117" s="172">
        <f>'[1]Table 5'!F117*P117</f>
        <v>0</v>
      </c>
      <c r="G117" s="172" t="str">
        <f>IF('MWH-Split'!N110&lt;&gt;0,'MWH-Split'!N110*P117,"")</f>
        <v/>
      </c>
      <c r="H117" s="173" t="str">
        <f>IF('MWH-Split'!O110&lt;&gt;0,'MWH-Split'!O110*P117,"")</f>
        <v/>
      </c>
      <c r="I117" s="174" t="str">
        <f t="shared" si="20"/>
        <v/>
      </c>
      <c r="J117" s="174" t="e">
        <f t="shared" si="27"/>
        <v>#VALUE!</v>
      </c>
      <c r="K117" s="175" t="e">
        <f t="shared" si="27"/>
        <v>#VALUE!</v>
      </c>
      <c r="M117" s="180">
        <f t="shared" si="22"/>
        <v>2027</v>
      </c>
      <c r="N117" s="177" t="str">
        <f t="shared" si="25"/>
        <v/>
      </c>
      <c r="P117" s="178">
        <f>IF('Monthly Levelized'!$K$5+'Monthly Levelized'!$L$5&lt;&gt;0,IFERROR(VLOOKUP(B117,'Monthly Levelized'!$G$5:$I$25,3,FALSE),P116),1)</f>
        <v>1</v>
      </c>
      <c r="Q117" s="226" t="str">
        <f t="shared" si="23"/>
        <v>-</v>
      </c>
      <c r="R117" s="223"/>
      <c r="S117" s="224"/>
      <c r="T117" s="224"/>
      <c r="U117" s="224"/>
      <c r="V117" s="224"/>
    </row>
    <row r="118" spans="2:22" hidden="1" outlineLevel="1" x14ac:dyDescent="0.25">
      <c r="B118" s="177">
        <f t="shared" si="21"/>
        <v>46661</v>
      </c>
      <c r="C118" s="171">
        <f>'[1]Table 5'!E118*P118</f>
        <v>0</v>
      </c>
      <c r="D118" s="172" t="str">
        <f>IFERROR(G118*IF(AND(C118&lt;0,OR(Shape_Annually="No",AND(Shape_Annually="Yes",Shape_Start&gt;YEAR(B118)))),'MWH-Split'!T111,'MWH-Split'!S111)*'MWH-Split'!U111,"")</f>
        <v/>
      </c>
      <c r="E118" s="173" t="str">
        <f>IFERROR(H118*IF(AND(C118&lt;0,OR(Shape_Annually="No",AND(Shape_Annually="Yes",Shape_Start&gt;YEAR(B118)))),'MWH-Split'!S111,'MWH-Split'!T111)*'MWH-Split'!U111,"")</f>
        <v/>
      </c>
      <c r="F118" s="172">
        <f>'[1]Table 5'!F118*P118</f>
        <v>0</v>
      </c>
      <c r="G118" s="172" t="str">
        <f>IF('MWH-Split'!N111&lt;&gt;0,'MWH-Split'!N111*P118,"")</f>
        <v/>
      </c>
      <c r="H118" s="173" t="str">
        <f>IF('MWH-Split'!O111&lt;&gt;0,'MWH-Split'!O111*P118,"")</f>
        <v/>
      </c>
      <c r="I118" s="174" t="str">
        <f t="shared" si="20"/>
        <v/>
      </c>
      <c r="J118" s="174" t="e">
        <f t="shared" si="27"/>
        <v>#VALUE!</v>
      </c>
      <c r="K118" s="175" t="e">
        <f t="shared" si="27"/>
        <v>#VALUE!</v>
      </c>
      <c r="M118" s="180">
        <f t="shared" si="22"/>
        <v>2027</v>
      </c>
      <c r="N118" s="177" t="str">
        <f t="shared" si="25"/>
        <v/>
      </c>
      <c r="P118" s="178">
        <f>IF('Monthly Levelized'!$K$5+'Monthly Levelized'!$L$5&lt;&gt;0,IFERROR(VLOOKUP(B118,'Monthly Levelized'!$G$5:$I$25,3,FALSE),P117),1)</f>
        <v>1</v>
      </c>
      <c r="Q118" s="226" t="str">
        <f t="shared" si="23"/>
        <v>-</v>
      </c>
      <c r="R118" s="223"/>
      <c r="S118" s="224"/>
      <c r="T118" s="224"/>
      <c r="U118" s="224"/>
      <c r="V118" s="224"/>
    </row>
    <row r="119" spans="2:22" hidden="1" outlineLevel="1" x14ac:dyDescent="0.25">
      <c r="B119" s="177">
        <f t="shared" si="21"/>
        <v>46692</v>
      </c>
      <c r="C119" s="171">
        <f>'[1]Table 5'!E119*P119</f>
        <v>0</v>
      </c>
      <c r="D119" s="172" t="str">
        <f>IFERROR(G119*IF(AND(C119&lt;0,OR(Shape_Annually="No",AND(Shape_Annually="Yes",Shape_Start&gt;YEAR(B119)))),'MWH-Split'!T112,'MWH-Split'!S112)*'MWH-Split'!U112,"")</f>
        <v/>
      </c>
      <c r="E119" s="173" t="str">
        <f>IFERROR(H119*IF(AND(C119&lt;0,OR(Shape_Annually="No",AND(Shape_Annually="Yes",Shape_Start&gt;YEAR(B119)))),'MWH-Split'!S112,'MWH-Split'!T112)*'MWH-Split'!U112,"")</f>
        <v/>
      </c>
      <c r="F119" s="172">
        <f>'[1]Table 5'!F119*P119</f>
        <v>0</v>
      </c>
      <c r="G119" s="172" t="str">
        <f>IF('MWH-Split'!N112&lt;&gt;0,'MWH-Split'!N112*P119,"")</f>
        <v/>
      </c>
      <c r="H119" s="173" t="str">
        <f>IF('MWH-Split'!O112&lt;&gt;0,'MWH-Split'!O112*P119,"")</f>
        <v/>
      </c>
      <c r="I119" s="174" t="str">
        <f t="shared" si="20"/>
        <v/>
      </c>
      <c r="J119" s="174" t="e">
        <f t="shared" si="27"/>
        <v>#VALUE!</v>
      </c>
      <c r="K119" s="175" t="e">
        <f t="shared" si="27"/>
        <v>#VALUE!</v>
      </c>
      <c r="M119" s="180">
        <f t="shared" si="22"/>
        <v>2027</v>
      </c>
      <c r="N119" s="177" t="str">
        <f t="shared" si="25"/>
        <v/>
      </c>
      <c r="P119" s="178">
        <f>IF('Monthly Levelized'!$K$5+'Monthly Levelized'!$L$5&lt;&gt;0,IFERROR(VLOOKUP(B119,'Monthly Levelized'!$G$5:$I$25,3,FALSE),P118),1)</f>
        <v>1</v>
      </c>
      <c r="Q119" s="226" t="str">
        <f t="shared" si="23"/>
        <v>-</v>
      </c>
      <c r="R119" s="223"/>
      <c r="S119" s="224"/>
      <c r="T119" s="224"/>
      <c r="U119" s="224"/>
      <c r="V119" s="224"/>
    </row>
    <row r="120" spans="2:22" hidden="1" outlineLevel="1" x14ac:dyDescent="0.25">
      <c r="B120" s="188">
        <f t="shared" si="21"/>
        <v>46722</v>
      </c>
      <c r="C120" s="182">
        <f>'[1]Table 5'!E120*P120</f>
        <v>0</v>
      </c>
      <c r="D120" s="183" t="str">
        <f>IFERROR(G120*IF(AND(C120&lt;0,OR(Shape_Annually="No",AND(Shape_Annually="Yes",Shape_Start&gt;YEAR(B120)))),'MWH-Split'!T113,'MWH-Split'!S113)*'MWH-Split'!U113,"")</f>
        <v/>
      </c>
      <c r="E120" s="184" t="str">
        <f>IFERROR(H120*IF(AND(C120&lt;0,OR(Shape_Annually="No",AND(Shape_Annually="Yes",Shape_Start&gt;YEAR(B120)))),'MWH-Split'!S113,'MWH-Split'!T113)*'MWH-Split'!U113,"")</f>
        <v/>
      </c>
      <c r="F120" s="183">
        <f>'[1]Table 5'!F120*P120</f>
        <v>0</v>
      </c>
      <c r="G120" s="183" t="str">
        <f>IF('MWH-Split'!N113&lt;&gt;0,'MWH-Split'!N113*P120,"")</f>
        <v/>
      </c>
      <c r="H120" s="184" t="str">
        <f>IF('MWH-Split'!O113&lt;&gt;0,'MWH-Split'!O113*P120,"")</f>
        <v/>
      </c>
      <c r="I120" s="185" t="str">
        <f t="shared" si="20"/>
        <v/>
      </c>
      <c r="J120" s="185" t="e">
        <f t="shared" ref="J120:K121" si="29">MAX(ROUND(IF(ISNUMBER(G120),D120/G120,""),2),-99)</f>
        <v>#VALUE!</v>
      </c>
      <c r="K120" s="186" t="e">
        <f t="shared" si="29"/>
        <v>#VALUE!</v>
      </c>
      <c r="M120" s="187">
        <f t="shared" si="22"/>
        <v>2027</v>
      </c>
      <c r="N120" s="188" t="str">
        <f t="shared" si="25"/>
        <v/>
      </c>
      <c r="P120" s="189">
        <f>IF('Monthly Levelized'!$K$5+'Monthly Levelized'!$L$5&lt;&gt;0,IFERROR(VLOOKUP(B120,'Monthly Levelized'!$G$5:$I$25,3,FALSE),P119),1)</f>
        <v>1</v>
      </c>
      <c r="Q120" s="226" t="str">
        <f t="shared" si="23"/>
        <v>-</v>
      </c>
      <c r="R120" s="223"/>
      <c r="S120" s="224"/>
      <c r="T120" s="224"/>
      <c r="U120" s="224"/>
      <c r="V120" s="224"/>
    </row>
    <row r="121" spans="2:22" hidden="1" outlineLevel="1" x14ac:dyDescent="0.25">
      <c r="B121" s="190">
        <f t="shared" si="21"/>
        <v>46753</v>
      </c>
      <c r="C121" s="191">
        <f>'[1]Table 5'!E121*P121</f>
        <v>0</v>
      </c>
      <c r="D121" s="192" t="str">
        <f>IFERROR(G121*IF(AND(C121&lt;0,OR(Shape_Annually="No",AND(Shape_Annually="Yes",Shape_Start&gt;YEAR(B121)))),'MWH-Split'!T114,'MWH-Split'!S114)*'MWH-Split'!U114,"")</f>
        <v/>
      </c>
      <c r="E121" s="193" t="str">
        <f>IFERROR(H121*IF(AND(C121&lt;0,OR(Shape_Annually="No",AND(Shape_Annually="Yes",Shape_Start&gt;YEAR(B121)))),'MWH-Split'!S114,'MWH-Split'!T114)*'MWH-Split'!U114,"")</f>
        <v/>
      </c>
      <c r="F121" s="192">
        <f>'[1]Table 5'!F121*P121</f>
        <v>0</v>
      </c>
      <c r="G121" s="192" t="str">
        <f>IF('MWH-Split'!N114&lt;&gt;0,'MWH-Split'!N114*P121,"")</f>
        <v/>
      </c>
      <c r="H121" s="193" t="str">
        <f>IF('MWH-Split'!O114&lt;&gt;0,'MWH-Split'!O114*P121,"")</f>
        <v/>
      </c>
      <c r="I121" s="194" t="str">
        <f t="shared" si="20"/>
        <v/>
      </c>
      <c r="J121" s="194" t="e">
        <f t="shared" si="29"/>
        <v>#VALUE!</v>
      </c>
      <c r="K121" s="195" t="e">
        <f t="shared" si="29"/>
        <v>#VALUE!</v>
      </c>
      <c r="M121" s="176">
        <f t="shared" si="22"/>
        <v>2028</v>
      </c>
      <c r="N121" s="177" t="str">
        <f t="shared" si="25"/>
        <v/>
      </c>
      <c r="P121" s="196">
        <f>IF('Monthly Levelized'!$K$5+'Monthly Levelized'!$L$5&lt;&gt;0,IFERROR(VLOOKUP(B121,'Monthly Levelized'!$G$5:$I$25,3,FALSE),P120),1)</f>
        <v>1</v>
      </c>
      <c r="Q121" s="226" t="str">
        <f t="shared" si="23"/>
        <v>-</v>
      </c>
      <c r="R121" s="223"/>
      <c r="S121" s="224"/>
      <c r="T121" s="224"/>
      <c r="U121" s="224"/>
      <c r="V121" s="224"/>
    </row>
    <row r="122" spans="2:22" hidden="1" outlineLevel="1" x14ac:dyDescent="0.25">
      <c r="B122" s="177">
        <f t="shared" si="21"/>
        <v>46784</v>
      </c>
      <c r="C122" s="171">
        <f>'[1]Table 5'!E122*P122</f>
        <v>0</v>
      </c>
      <c r="D122" s="172" t="str">
        <f>IFERROR(G122*IF(AND(C122&lt;0,OR(Shape_Annually="No",AND(Shape_Annually="Yes",Shape_Start&gt;YEAR(B122)))),'MWH-Split'!T115,'MWH-Split'!S115)*'MWH-Split'!U115,"")</f>
        <v/>
      </c>
      <c r="E122" s="173" t="str">
        <f>IFERROR(H122*IF(AND(C122&lt;0,OR(Shape_Annually="No",AND(Shape_Annually="Yes",Shape_Start&gt;YEAR(B122)))),'MWH-Split'!S115,'MWH-Split'!T115)*'MWH-Split'!U115,"")</f>
        <v/>
      </c>
      <c r="F122" s="172">
        <f>'[1]Table 5'!F122*P122</f>
        <v>0</v>
      </c>
      <c r="G122" s="172" t="str">
        <f>IF('MWH-Split'!N115&lt;&gt;0,'MWH-Split'!N115*P122,"")</f>
        <v/>
      </c>
      <c r="H122" s="173" t="str">
        <f>IF('MWH-Split'!O115&lt;&gt;0,'MWH-Split'!O115*P122,"")</f>
        <v/>
      </c>
      <c r="I122" s="174" t="str">
        <f t="shared" si="20"/>
        <v/>
      </c>
      <c r="J122" s="174" t="e">
        <f t="shared" si="27"/>
        <v>#VALUE!</v>
      </c>
      <c r="K122" s="175" t="e">
        <f t="shared" si="27"/>
        <v>#VALUE!</v>
      </c>
      <c r="M122" s="180">
        <f t="shared" si="22"/>
        <v>2028</v>
      </c>
      <c r="N122" s="177" t="str">
        <f t="shared" si="25"/>
        <v/>
      </c>
      <c r="P122" s="178">
        <f>IF('Monthly Levelized'!$K$5+'Monthly Levelized'!$L$5&lt;&gt;0,IFERROR(VLOOKUP(B122,'Monthly Levelized'!$G$5:$I$25,3,FALSE),P121),1)</f>
        <v>1</v>
      </c>
      <c r="Q122" s="226" t="str">
        <f t="shared" si="23"/>
        <v>-</v>
      </c>
      <c r="R122" s="223"/>
      <c r="S122" s="224"/>
      <c r="T122" s="224"/>
      <c r="U122" s="224"/>
      <c r="V122" s="224"/>
    </row>
    <row r="123" spans="2:22" hidden="1" outlineLevel="1" x14ac:dyDescent="0.25">
      <c r="B123" s="177">
        <f t="shared" si="21"/>
        <v>46813</v>
      </c>
      <c r="C123" s="171">
        <f>'[1]Table 5'!E123*P123</f>
        <v>0</v>
      </c>
      <c r="D123" s="172" t="str">
        <f>IFERROR(G123*IF(AND(C123&lt;0,OR(Shape_Annually="No",AND(Shape_Annually="Yes",Shape_Start&gt;YEAR(B123)))),'MWH-Split'!T116,'MWH-Split'!S116)*'MWH-Split'!U116,"")</f>
        <v/>
      </c>
      <c r="E123" s="173" t="str">
        <f>IFERROR(H123*IF(AND(C123&lt;0,OR(Shape_Annually="No",AND(Shape_Annually="Yes",Shape_Start&gt;YEAR(B123)))),'MWH-Split'!S116,'MWH-Split'!T116)*'MWH-Split'!U116,"")</f>
        <v/>
      </c>
      <c r="F123" s="172">
        <f>'[1]Table 5'!F123*P123</f>
        <v>0</v>
      </c>
      <c r="G123" s="172" t="str">
        <f>IF('MWH-Split'!N116&lt;&gt;0,'MWH-Split'!N116*P123,"")</f>
        <v/>
      </c>
      <c r="H123" s="173" t="str">
        <f>IF('MWH-Split'!O116&lt;&gt;0,'MWH-Split'!O116*P123,"")</f>
        <v/>
      </c>
      <c r="I123" s="174" t="str">
        <f t="shared" si="20"/>
        <v/>
      </c>
      <c r="J123" s="174" t="e">
        <f t="shared" si="27"/>
        <v>#VALUE!</v>
      </c>
      <c r="K123" s="175" t="e">
        <f t="shared" si="27"/>
        <v>#VALUE!</v>
      </c>
      <c r="M123" s="180">
        <f t="shared" si="22"/>
        <v>2028</v>
      </c>
      <c r="N123" s="177" t="str">
        <f t="shared" si="25"/>
        <v/>
      </c>
      <c r="P123" s="178">
        <f>IF('Monthly Levelized'!$K$5+'Monthly Levelized'!$L$5&lt;&gt;0,IFERROR(VLOOKUP(B123,'Monthly Levelized'!$G$5:$I$25,3,FALSE),P122),1)</f>
        <v>1</v>
      </c>
      <c r="Q123" s="226" t="str">
        <f t="shared" si="23"/>
        <v>-</v>
      </c>
      <c r="R123" s="223"/>
      <c r="S123" s="224"/>
      <c r="T123" s="224"/>
      <c r="U123" s="224"/>
      <c r="V123" s="224"/>
    </row>
    <row r="124" spans="2:22" hidden="1" outlineLevel="1" x14ac:dyDescent="0.25">
      <c r="B124" s="177">
        <f t="shared" si="21"/>
        <v>46844</v>
      </c>
      <c r="C124" s="171">
        <f>'[1]Table 5'!E124*P124</f>
        <v>0</v>
      </c>
      <c r="D124" s="172" t="str">
        <f>IFERROR(G124*IF(AND(C124&lt;0,OR(Shape_Annually="No",AND(Shape_Annually="Yes",Shape_Start&gt;YEAR(B124)))),'MWH-Split'!T117,'MWH-Split'!S117)*'MWH-Split'!U117,"")</f>
        <v/>
      </c>
      <c r="E124" s="173" t="str">
        <f>IFERROR(H124*IF(AND(C124&lt;0,OR(Shape_Annually="No",AND(Shape_Annually="Yes",Shape_Start&gt;YEAR(B124)))),'MWH-Split'!S117,'MWH-Split'!T117)*'MWH-Split'!U117,"")</f>
        <v/>
      </c>
      <c r="F124" s="172">
        <f>'[1]Table 5'!F124*P124</f>
        <v>0</v>
      </c>
      <c r="G124" s="172" t="str">
        <f>IF('MWH-Split'!N117&lt;&gt;0,'MWH-Split'!N117*P124,"")</f>
        <v/>
      </c>
      <c r="H124" s="173" t="str">
        <f>IF('MWH-Split'!O117&lt;&gt;0,'MWH-Split'!O117*P124,"")</f>
        <v/>
      </c>
      <c r="I124" s="174" t="str">
        <f t="shared" si="20"/>
        <v/>
      </c>
      <c r="J124" s="174" t="e">
        <f t="shared" si="27"/>
        <v>#VALUE!</v>
      </c>
      <c r="K124" s="175" t="e">
        <f t="shared" si="27"/>
        <v>#VALUE!</v>
      </c>
      <c r="M124" s="180">
        <f t="shared" si="22"/>
        <v>2028</v>
      </c>
      <c r="N124" s="177" t="str">
        <f t="shared" si="25"/>
        <v/>
      </c>
      <c r="P124" s="178">
        <f>IF('Monthly Levelized'!$K$5+'Monthly Levelized'!$L$5&lt;&gt;0,IFERROR(VLOOKUP(B124,'Monthly Levelized'!$G$5:$I$25,3,FALSE),P123),1)</f>
        <v>1</v>
      </c>
      <c r="Q124" s="226" t="str">
        <f t="shared" si="23"/>
        <v>-</v>
      </c>
      <c r="R124" s="223"/>
      <c r="S124" s="224"/>
      <c r="T124" s="224"/>
      <c r="U124" s="224"/>
      <c r="V124" s="224"/>
    </row>
    <row r="125" spans="2:22" hidden="1" outlineLevel="1" x14ac:dyDescent="0.25">
      <c r="B125" s="177">
        <f t="shared" si="21"/>
        <v>46874</v>
      </c>
      <c r="C125" s="171">
        <f>'[1]Table 5'!E125*P125</f>
        <v>0</v>
      </c>
      <c r="D125" s="172" t="str">
        <f>IFERROR(G125*IF(AND(C125&lt;0,OR(Shape_Annually="No",AND(Shape_Annually="Yes",Shape_Start&gt;YEAR(B125)))),'MWH-Split'!T118,'MWH-Split'!S118)*'MWH-Split'!U118,"")</f>
        <v/>
      </c>
      <c r="E125" s="173" t="str">
        <f>IFERROR(H125*IF(AND(C125&lt;0,OR(Shape_Annually="No",AND(Shape_Annually="Yes",Shape_Start&gt;YEAR(B125)))),'MWH-Split'!S118,'MWH-Split'!T118)*'MWH-Split'!U118,"")</f>
        <v/>
      </c>
      <c r="F125" s="172">
        <f>'[1]Table 5'!F125*P125</f>
        <v>0</v>
      </c>
      <c r="G125" s="172" t="str">
        <f>IF('MWH-Split'!N118&lt;&gt;0,'MWH-Split'!N118*P125,"")</f>
        <v/>
      </c>
      <c r="H125" s="173" t="str">
        <f>IF('MWH-Split'!O118&lt;&gt;0,'MWH-Split'!O118*P125,"")</f>
        <v/>
      </c>
      <c r="I125" s="174" t="str">
        <f t="shared" si="20"/>
        <v/>
      </c>
      <c r="J125" s="174" t="e">
        <f t="shared" si="27"/>
        <v>#VALUE!</v>
      </c>
      <c r="K125" s="175" t="e">
        <f t="shared" si="27"/>
        <v>#VALUE!</v>
      </c>
      <c r="M125" s="180">
        <f t="shared" si="22"/>
        <v>2028</v>
      </c>
      <c r="N125" s="177" t="str">
        <f t="shared" si="25"/>
        <v/>
      </c>
      <c r="P125" s="178">
        <f>IF('Monthly Levelized'!$K$5+'Monthly Levelized'!$L$5&lt;&gt;0,IFERROR(VLOOKUP(B125,'Monthly Levelized'!$G$5:$I$25,3,FALSE),P124),1)</f>
        <v>1</v>
      </c>
      <c r="Q125" s="226" t="str">
        <f t="shared" si="23"/>
        <v>-</v>
      </c>
      <c r="R125" s="223"/>
      <c r="S125" s="224"/>
      <c r="T125" s="224"/>
      <c r="U125" s="224"/>
      <c r="V125" s="224"/>
    </row>
    <row r="126" spans="2:22" hidden="1" outlineLevel="1" x14ac:dyDescent="0.25">
      <c r="B126" s="177">
        <f t="shared" si="21"/>
        <v>46905</v>
      </c>
      <c r="C126" s="171">
        <f>'[1]Table 5'!E126*P126</f>
        <v>0</v>
      </c>
      <c r="D126" s="172" t="str">
        <f>IFERROR(G126*IF(AND(C126&lt;0,OR(Shape_Annually="No",AND(Shape_Annually="Yes",Shape_Start&gt;YEAR(B126)))),'MWH-Split'!T119,'MWH-Split'!S119)*'MWH-Split'!U119,"")</f>
        <v/>
      </c>
      <c r="E126" s="173" t="str">
        <f>IFERROR(H126*IF(AND(C126&lt;0,OR(Shape_Annually="No",AND(Shape_Annually="Yes",Shape_Start&gt;YEAR(B126)))),'MWH-Split'!S119,'MWH-Split'!T119)*'MWH-Split'!U119,"")</f>
        <v/>
      </c>
      <c r="F126" s="172">
        <f>'[1]Table 5'!F126*P126</f>
        <v>0</v>
      </c>
      <c r="G126" s="172" t="str">
        <f>IF('MWH-Split'!N119&lt;&gt;0,'MWH-Split'!N119*P126,"")</f>
        <v/>
      </c>
      <c r="H126" s="173" t="str">
        <f>IF('MWH-Split'!O119&lt;&gt;0,'MWH-Split'!O119*P126,"")</f>
        <v/>
      </c>
      <c r="I126" s="174" t="str">
        <f t="shared" si="20"/>
        <v/>
      </c>
      <c r="J126" s="174" t="e">
        <f t="shared" si="27"/>
        <v>#VALUE!</v>
      </c>
      <c r="K126" s="175" t="e">
        <f t="shared" si="27"/>
        <v>#VALUE!</v>
      </c>
      <c r="M126" s="180">
        <f t="shared" si="22"/>
        <v>2028</v>
      </c>
      <c r="N126" s="177" t="str">
        <f t="shared" si="25"/>
        <v/>
      </c>
      <c r="P126" s="178">
        <f>IF('Monthly Levelized'!$K$5+'Monthly Levelized'!$L$5&lt;&gt;0,IFERROR(VLOOKUP(B126,'Monthly Levelized'!$G$5:$I$25,3,FALSE),P125),1)</f>
        <v>1</v>
      </c>
      <c r="Q126" s="226" t="str">
        <f t="shared" si="23"/>
        <v>-</v>
      </c>
      <c r="R126" s="223"/>
      <c r="S126" s="224"/>
      <c r="T126" s="224"/>
      <c r="U126" s="224"/>
      <c r="V126" s="224"/>
    </row>
    <row r="127" spans="2:22" hidden="1" outlineLevel="1" x14ac:dyDescent="0.25">
      <c r="B127" s="177">
        <f t="shared" si="21"/>
        <v>46935</v>
      </c>
      <c r="C127" s="171">
        <f>'[1]Table 5'!E127*P127</f>
        <v>0</v>
      </c>
      <c r="D127" s="172" t="str">
        <f>IFERROR(G127*IF(AND(C127&lt;0,OR(Shape_Annually="No",AND(Shape_Annually="Yes",Shape_Start&gt;YEAR(B127)))),'MWH-Split'!T120,'MWH-Split'!S120)*'MWH-Split'!U120,"")</f>
        <v/>
      </c>
      <c r="E127" s="173" t="str">
        <f>IFERROR(H127*IF(AND(C127&lt;0,OR(Shape_Annually="No",AND(Shape_Annually="Yes",Shape_Start&gt;YEAR(B127)))),'MWH-Split'!S120,'MWH-Split'!T120)*'MWH-Split'!U120,"")</f>
        <v/>
      </c>
      <c r="F127" s="172">
        <f>'[1]Table 5'!F127*P127</f>
        <v>0</v>
      </c>
      <c r="G127" s="172" t="str">
        <f>IF('MWH-Split'!N120&lt;&gt;0,'MWH-Split'!N120*P127,"")</f>
        <v/>
      </c>
      <c r="H127" s="173" t="str">
        <f>IF('MWH-Split'!O120&lt;&gt;0,'MWH-Split'!O120*P127,"")</f>
        <v/>
      </c>
      <c r="I127" s="174" t="str">
        <f t="shared" si="20"/>
        <v/>
      </c>
      <c r="J127" s="174" t="e">
        <f t="shared" si="27"/>
        <v>#VALUE!</v>
      </c>
      <c r="K127" s="175" t="e">
        <f t="shared" si="27"/>
        <v>#VALUE!</v>
      </c>
      <c r="M127" s="180">
        <f t="shared" si="22"/>
        <v>2028</v>
      </c>
      <c r="N127" s="177" t="str">
        <f t="shared" si="25"/>
        <v/>
      </c>
      <c r="P127" s="178">
        <f>IF('Monthly Levelized'!$K$5+'Monthly Levelized'!$L$5&lt;&gt;0,IFERROR(VLOOKUP(B127,'Monthly Levelized'!$G$5:$I$25,3,FALSE),P126),1)</f>
        <v>1</v>
      </c>
      <c r="Q127" s="226" t="str">
        <f t="shared" si="23"/>
        <v>-</v>
      </c>
      <c r="R127" s="223"/>
      <c r="S127" s="224"/>
      <c r="T127" s="224"/>
      <c r="U127" s="224"/>
      <c r="V127" s="224"/>
    </row>
    <row r="128" spans="2:22" hidden="1" outlineLevel="1" x14ac:dyDescent="0.25">
      <c r="B128" s="177">
        <f t="shared" si="21"/>
        <v>46966</v>
      </c>
      <c r="C128" s="171">
        <f>'[1]Table 5'!E128*P128</f>
        <v>0</v>
      </c>
      <c r="D128" s="172" t="str">
        <f>IFERROR(G128*IF(AND(C128&lt;0,OR(Shape_Annually="No",AND(Shape_Annually="Yes",Shape_Start&gt;YEAR(B128)))),'MWH-Split'!T121,'MWH-Split'!S121)*'MWH-Split'!U121,"")</f>
        <v/>
      </c>
      <c r="E128" s="173" t="str">
        <f>IFERROR(H128*IF(AND(C128&lt;0,OR(Shape_Annually="No",AND(Shape_Annually="Yes",Shape_Start&gt;YEAR(B128)))),'MWH-Split'!S121,'MWH-Split'!T121)*'MWH-Split'!U121,"")</f>
        <v/>
      </c>
      <c r="F128" s="172">
        <f>'[1]Table 5'!F128*P128</f>
        <v>0</v>
      </c>
      <c r="G128" s="172" t="str">
        <f>IF('MWH-Split'!N121&lt;&gt;0,'MWH-Split'!N121*P128,"")</f>
        <v/>
      </c>
      <c r="H128" s="173" t="str">
        <f>IF('MWH-Split'!O121&lt;&gt;0,'MWH-Split'!O121*P128,"")</f>
        <v/>
      </c>
      <c r="I128" s="174" t="str">
        <f t="shared" si="20"/>
        <v/>
      </c>
      <c r="J128" s="174" t="e">
        <f t="shared" si="27"/>
        <v>#VALUE!</v>
      </c>
      <c r="K128" s="175" t="e">
        <f t="shared" si="27"/>
        <v>#VALUE!</v>
      </c>
      <c r="M128" s="180">
        <f t="shared" si="22"/>
        <v>2028</v>
      </c>
      <c r="N128" s="177" t="str">
        <f t="shared" si="25"/>
        <v/>
      </c>
      <c r="P128" s="178">
        <f>IF('Monthly Levelized'!$K$5+'Monthly Levelized'!$L$5&lt;&gt;0,IFERROR(VLOOKUP(B128,'Monthly Levelized'!$G$5:$I$25,3,FALSE),P127),1)</f>
        <v>1</v>
      </c>
      <c r="Q128" s="226" t="str">
        <f t="shared" si="23"/>
        <v>-</v>
      </c>
      <c r="R128" s="223"/>
      <c r="S128" s="224"/>
      <c r="T128" s="224"/>
      <c r="U128" s="224"/>
      <c r="V128" s="224"/>
    </row>
    <row r="129" spans="2:22" hidden="1" outlineLevel="1" x14ac:dyDescent="0.25">
      <c r="B129" s="177">
        <f t="shared" si="21"/>
        <v>46997</v>
      </c>
      <c r="C129" s="171">
        <f>'[1]Table 5'!E129*P129</f>
        <v>0</v>
      </c>
      <c r="D129" s="172" t="str">
        <f>IFERROR(G129*IF(AND(C129&lt;0,OR(Shape_Annually="No",AND(Shape_Annually="Yes",Shape_Start&gt;YEAR(B129)))),'MWH-Split'!T122,'MWH-Split'!S122)*'MWH-Split'!U122,"")</f>
        <v/>
      </c>
      <c r="E129" s="173" t="str">
        <f>IFERROR(H129*IF(AND(C129&lt;0,OR(Shape_Annually="No",AND(Shape_Annually="Yes",Shape_Start&gt;YEAR(B129)))),'MWH-Split'!S122,'MWH-Split'!T122)*'MWH-Split'!U122,"")</f>
        <v/>
      </c>
      <c r="F129" s="172">
        <f>'[1]Table 5'!F129*P129</f>
        <v>0</v>
      </c>
      <c r="G129" s="172" t="str">
        <f>IF('MWH-Split'!N122&lt;&gt;0,'MWH-Split'!N122*P129,"")</f>
        <v/>
      </c>
      <c r="H129" s="173" t="str">
        <f>IF('MWH-Split'!O122&lt;&gt;0,'MWH-Split'!O122*P129,"")</f>
        <v/>
      </c>
      <c r="I129" s="174" t="str">
        <f t="shared" si="20"/>
        <v/>
      </c>
      <c r="J129" s="174" t="e">
        <f t="shared" si="27"/>
        <v>#VALUE!</v>
      </c>
      <c r="K129" s="175" t="e">
        <f t="shared" si="27"/>
        <v>#VALUE!</v>
      </c>
      <c r="M129" s="180">
        <f t="shared" si="22"/>
        <v>2028</v>
      </c>
      <c r="N129" s="177" t="str">
        <f t="shared" si="25"/>
        <v/>
      </c>
      <c r="P129" s="178">
        <f>IF('Monthly Levelized'!$K$5+'Monthly Levelized'!$L$5&lt;&gt;0,IFERROR(VLOOKUP(B129,'Monthly Levelized'!$G$5:$I$25,3,FALSE),P128),1)</f>
        <v>1</v>
      </c>
      <c r="Q129" s="226" t="str">
        <f t="shared" si="23"/>
        <v>-</v>
      </c>
      <c r="R129" s="223"/>
      <c r="S129" s="224"/>
      <c r="T129" s="224"/>
      <c r="U129" s="224"/>
      <c r="V129" s="224"/>
    </row>
    <row r="130" spans="2:22" hidden="1" outlineLevel="1" x14ac:dyDescent="0.25">
      <c r="B130" s="177">
        <f t="shared" si="21"/>
        <v>47027</v>
      </c>
      <c r="C130" s="171">
        <f>'[1]Table 5'!E130*P130</f>
        <v>0</v>
      </c>
      <c r="D130" s="172" t="str">
        <f>IFERROR(G130*IF(AND(C130&lt;0,OR(Shape_Annually="No",AND(Shape_Annually="Yes",Shape_Start&gt;YEAR(B130)))),'MWH-Split'!T123,'MWH-Split'!S123)*'MWH-Split'!U123,"")</f>
        <v/>
      </c>
      <c r="E130" s="173" t="str">
        <f>IFERROR(H130*IF(AND(C130&lt;0,OR(Shape_Annually="No",AND(Shape_Annually="Yes",Shape_Start&gt;YEAR(B130)))),'MWH-Split'!S123,'MWH-Split'!T123)*'MWH-Split'!U123,"")</f>
        <v/>
      </c>
      <c r="F130" s="172">
        <f>'[1]Table 5'!F130*P130</f>
        <v>0</v>
      </c>
      <c r="G130" s="172" t="str">
        <f>IF('MWH-Split'!N123&lt;&gt;0,'MWH-Split'!N123*P130,"")</f>
        <v/>
      </c>
      <c r="H130" s="173" t="str">
        <f>IF('MWH-Split'!O123&lt;&gt;0,'MWH-Split'!O123*P130,"")</f>
        <v/>
      </c>
      <c r="I130" s="174" t="str">
        <f t="shared" si="20"/>
        <v/>
      </c>
      <c r="J130" s="174" t="e">
        <f t="shared" si="27"/>
        <v>#VALUE!</v>
      </c>
      <c r="K130" s="175" t="e">
        <f t="shared" si="27"/>
        <v>#VALUE!</v>
      </c>
      <c r="M130" s="180">
        <f t="shared" si="22"/>
        <v>2028</v>
      </c>
      <c r="N130" s="177" t="str">
        <f t="shared" si="25"/>
        <v/>
      </c>
      <c r="P130" s="178">
        <f>IF('Monthly Levelized'!$K$5+'Monthly Levelized'!$L$5&lt;&gt;0,IFERROR(VLOOKUP(B130,'Monthly Levelized'!$G$5:$I$25,3,FALSE),P129),1)</f>
        <v>1</v>
      </c>
      <c r="Q130" s="226" t="str">
        <f t="shared" si="23"/>
        <v>-</v>
      </c>
      <c r="R130" s="223"/>
      <c r="S130" s="224"/>
      <c r="T130" s="224"/>
      <c r="U130" s="224"/>
      <c r="V130" s="224"/>
    </row>
    <row r="131" spans="2:22" hidden="1" outlineLevel="1" x14ac:dyDescent="0.25">
      <c r="B131" s="177">
        <f t="shared" si="21"/>
        <v>47058</v>
      </c>
      <c r="C131" s="171">
        <f>'[1]Table 5'!E131*P131</f>
        <v>0</v>
      </c>
      <c r="D131" s="172" t="str">
        <f>IFERROR(G131*IF(AND(C131&lt;0,OR(Shape_Annually="No",AND(Shape_Annually="Yes",Shape_Start&gt;YEAR(B131)))),'MWH-Split'!T124,'MWH-Split'!S124)*'MWH-Split'!U124,"")</f>
        <v/>
      </c>
      <c r="E131" s="173" t="str">
        <f>IFERROR(H131*IF(AND(C131&lt;0,OR(Shape_Annually="No",AND(Shape_Annually="Yes",Shape_Start&gt;YEAR(B131)))),'MWH-Split'!S124,'MWH-Split'!T124)*'MWH-Split'!U124,"")</f>
        <v/>
      </c>
      <c r="F131" s="172">
        <f>'[1]Table 5'!F131*P131</f>
        <v>0</v>
      </c>
      <c r="G131" s="172" t="str">
        <f>IF('MWH-Split'!N124&lt;&gt;0,'MWH-Split'!N124*P131,"")</f>
        <v/>
      </c>
      <c r="H131" s="173" t="str">
        <f>IF('MWH-Split'!O124&lt;&gt;0,'MWH-Split'!O124*P131,"")</f>
        <v/>
      </c>
      <c r="I131" s="174" t="str">
        <f t="shared" si="20"/>
        <v/>
      </c>
      <c r="J131" s="174" t="e">
        <f t="shared" si="27"/>
        <v>#VALUE!</v>
      </c>
      <c r="K131" s="175" t="e">
        <f t="shared" si="27"/>
        <v>#VALUE!</v>
      </c>
      <c r="M131" s="180">
        <f t="shared" si="22"/>
        <v>2028</v>
      </c>
      <c r="N131" s="177" t="str">
        <f t="shared" si="25"/>
        <v/>
      </c>
      <c r="P131" s="178">
        <f>IF('Monthly Levelized'!$K$5+'Monthly Levelized'!$L$5&lt;&gt;0,IFERROR(VLOOKUP(B131,'Monthly Levelized'!$G$5:$I$25,3,FALSE),P130),1)</f>
        <v>1</v>
      </c>
      <c r="Q131" s="226" t="str">
        <f t="shared" si="23"/>
        <v>-</v>
      </c>
      <c r="R131" s="223"/>
      <c r="S131" s="224"/>
      <c r="T131" s="224"/>
      <c r="U131" s="224"/>
      <c r="V131" s="224"/>
    </row>
    <row r="132" spans="2:22" hidden="1" outlineLevel="1" x14ac:dyDescent="0.25">
      <c r="B132" s="188">
        <f t="shared" si="21"/>
        <v>47088</v>
      </c>
      <c r="C132" s="182">
        <f>'[1]Table 5'!E132*P132</f>
        <v>0</v>
      </c>
      <c r="D132" s="183" t="str">
        <f>IFERROR(G132*IF(AND(C132&lt;0,OR(Shape_Annually="No",AND(Shape_Annually="Yes",Shape_Start&gt;YEAR(B132)))),'MWH-Split'!T125,'MWH-Split'!S125)*'MWH-Split'!U125,"")</f>
        <v/>
      </c>
      <c r="E132" s="184" t="str">
        <f>IFERROR(H132*IF(AND(C132&lt;0,OR(Shape_Annually="No",AND(Shape_Annually="Yes",Shape_Start&gt;YEAR(B132)))),'MWH-Split'!S125,'MWH-Split'!T125)*'MWH-Split'!U125,"")</f>
        <v/>
      </c>
      <c r="F132" s="183">
        <f>'[1]Table 5'!F132*P132</f>
        <v>0</v>
      </c>
      <c r="G132" s="183" t="str">
        <f>IF('MWH-Split'!N125&lt;&gt;0,'MWH-Split'!N125*P132,"")</f>
        <v/>
      </c>
      <c r="H132" s="184" t="str">
        <f>IF('MWH-Split'!O125&lt;&gt;0,'MWH-Split'!O125*P132,"")</f>
        <v/>
      </c>
      <c r="I132" s="185" t="str">
        <f t="shared" si="20"/>
        <v/>
      </c>
      <c r="J132" s="185" t="e">
        <f t="shared" ref="J132" si="30">MAX(ROUND(IF(ISNUMBER(G132),D132/G132,""),2),0)</f>
        <v>#VALUE!</v>
      </c>
      <c r="K132" s="186" t="e">
        <f t="shared" ref="K132" si="31">MAX(ROUND(IF(ISNUMBER(H132),E132/H132,""),2),0)</f>
        <v>#VALUE!</v>
      </c>
      <c r="M132" s="187">
        <f t="shared" si="22"/>
        <v>2028</v>
      </c>
      <c r="N132" s="188" t="str">
        <f t="shared" si="25"/>
        <v/>
      </c>
      <c r="P132" s="189">
        <f>IF('Monthly Levelized'!$K$5+'Monthly Levelized'!$L$5&lt;&gt;0,IFERROR(VLOOKUP(B132,'Monthly Levelized'!$G$5:$I$25,3,FALSE),P131),1)</f>
        <v>1</v>
      </c>
      <c r="Q132" s="226" t="str">
        <f t="shared" si="23"/>
        <v>-</v>
      </c>
      <c r="R132" s="223"/>
      <c r="S132" s="224"/>
      <c r="T132" s="224"/>
      <c r="U132" s="224"/>
      <c r="V132" s="224"/>
    </row>
    <row r="133" spans="2:22" hidden="1" outlineLevel="1" x14ac:dyDescent="0.25">
      <c r="B133" s="190">
        <f t="shared" si="21"/>
        <v>47119</v>
      </c>
      <c r="C133" s="191">
        <f>'[1]Table 5'!E133*P133</f>
        <v>0</v>
      </c>
      <c r="D133" s="192" t="str">
        <f>IFERROR(G133*IF(AND(C133&lt;0,OR(Shape_Annually="No",AND(Shape_Annually="Yes",Shape_Start&gt;YEAR(B133)))),'MWH-Split'!T126,'MWH-Split'!S126)*'MWH-Split'!U126,"")</f>
        <v/>
      </c>
      <c r="E133" s="193" t="str">
        <f>IFERROR(H133*IF(AND(C133&lt;0,OR(Shape_Annually="No",AND(Shape_Annually="Yes",Shape_Start&gt;YEAR(B133)))),'MWH-Split'!S126,'MWH-Split'!T126)*'MWH-Split'!U126,"")</f>
        <v/>
      </c>
      <c r="F133" s="192">
        <f>'[1]Table 5'!F133*P133</f>
        <v>0</v>
      </c>
      <c r="G133" s="192" t="str">
        <f>IF('MWH-Split'!N126&lt;&gt;0,'MWH-Split'!N126*P133,"")</f>
        <v/>
      </c>
      <c r="H133" s="193" t="str">
        <f>IF('MWH-Split'!O126&lt;&gt;0,'MWH-Split'!O126*P133,"")</f>
        <v/>
      </c>
      <c r="I133" s="194" t="str">
        <f t="shared" si="20"/>
        <v/>
      </c>
      <c r="J133" s="194" t="e">
        <f t="shared" si="27"/>
        <v>#VALUE!</v>
      </c>
      <c r="K133" s="195" t="e">
        <f t="shared" si="27"/>
        <v>#VALUE!</v>
      </c>
      <c r="M133" s="176">
        <f t="shared" si="22"/>
        <v>2029</v>
      </c>
      <c r="N133" s="177" t="str">
        <f t="shared" si="25"/>
        <v/>
      </c>
      <c r="P133" s="196">
        <f>IF('Monthly Levelized'!$K$5+'Monthly Levelized'!$L$5&lt;&gt;0,IFERROR(VLOOKUP(B133,'Monthly Levelized'!$G$5:$I$25,3,FALSE),P132),1)</f>
        <v>1</v>
      </c>
      <c r="Q133" s="226" t="str">
        <f t="shared" si="23"/>
        <v>-</v>
      </c>
      <c r="R133" s="223"/>
      <c r="S133" s="224"/>
      <c r="T133" s="224"/>
      <c r="U133" s="224"/>
      <c r="V133" s="224"/>
    </row>
    <row r="134" spans="2:22" hidden="1" outlineLevel="1" x14ac:dyDescent="0.25">
      <c r="B134" s="177">
        <f t="shared" si="21"/>
        <v>47150</v>
      </c>
      <c r="C134" s="171">
        <f>'[1]Table 5'!E134*P134</f>
        <v>0</v>
      </c>
      <c r="D134" s="172" t="str">
        <f>IFERROR(G134*IF(AND(C134&lt;0,OR(Shape_Annually="No",AND(Shape_Annually="Yes",Shape_Start&gt;YEAR(B134)))),'MWH-Split'!T127,'MWH-Split'!S127)*'MWH-Split'!U127,"")</f>
        <v/>
      </c>
      <c r="E134" s="173" t="str">
        <f>IFERROR(H134*IF(AND(C134&lt;0,OR(Shape_Annually="No",AND(Shape_Annually="Yes",Shape_Start&gt;YEAR(B134)))),'MWH-Split'!S127,'MWH-Split'!T127)*'MWH-Split'!U127,"")</f>
        <v/>
      </c>
      <c r="F134" s="172">
        <f>'[1]Table 5'!F134*P134</f>
        <v>0</v>
      </c>
      <c r="G134" s="172" t="str">
        <f>IF('MWH-Split'!N127&lt;&gt;0,'MWH-Split'!N127*P134,"")</f>
        <v/>
      </c>
      <c r="H134" s="173" t="str">
        <f>IF('MWH-Split'!O127&lt;&gt;0,'MWH-Split'!O127*P134,"")</f>
        <v/>
      </c>
      <c r="I134" s="174" t="str">
        <f t="shared" si="20"/>
        <v/>
      </c>
      <c r="J134" s="174" t="e">
        <f t="shared" si="27"/>
        <v>#VALUE!</v>
      </c>
      <c r="K134" s="175" t="e">
        <f t="shared" si="27"/>
        <v>#VALUE!</v>
      </c>
      <c r="M134" s="180">
        <f t="shared" si="22"/>
        <v>2029</v>
      </c>
      <c r="N134" s="177" t="str">
        <f t="shared" si="25"/>
        <v/>
      </c>
      <c r="P134" s="178">
        <f>IF('Monthly Levelized'!$K$5+'Monthly Levelized'!$L$5&lt;&gt;0,IFERROR(VLOOKUP(B134,'Monthly Levelized'!$G$5:$I$25,3,FALSE),P133),1)</f>
        <v>1</v>
      </c>
      <c r="Q134" s="226" t="str">
        <f t="shared" si="23"/>
        <v>-</v>
      </c>
      <c r="R134" s="223"/>
      <c r="S134" s="224"/>
      <c r="T134" s="224"/>
      <c r="U134" s="224"/>
      <c r="V134" s="224"/>
    </row>
    <row r="135" spans="2:22" hidden="1" outlineLevel="1" x14ac:dyDescent="0.25">
      <c r="B135" s="177">
        <f t="shared" si="21"/>
        <v>47178</v>
      </c>
      <c r="C135" s="171">
        <f>'[1]Table 5'!E135*P135</f>
        <v>0</v>
      </c>
      <c r="D135" s="172" t="str">
        <f>IFERROR(G135*IF(AND(C135&lt;0,OR(Shape_Annually="No",AND(Shape_Annually="Yes",Shape_Start&gt;YEAR(B135)))),'MWH-Split'!T128,'MWH-Split'!S128)*'MWH-Split'!U128,"")</f>
        <v/>
      </c>
      <c r="E135" s="173" t="str">
        <f>IFERROR(H135*IF(AND(C135&lt;0,OR(Shape_Annually="No",AND(Shape_Annually="Yes",Shape_Start&gt;YEAR(B135)))),'MWH-Split'!S128,'MWH-Split'!T128)*'MWH-Split'!U128,"")</f>
        <v/>
      </c>
      <c r="F135" s="172">
        <f>'[1]Table 5'!F135*P135</f>
        <v>0</v>
      </c>
      <c r="G135" s="172" t="str">
        <f>IF('MWH-Split'!N128&lt;&gt;0,'MWH-Split'!N128*P135,"")</f>
        <v/>
      </c>
      <c r="H135" s="173" t="str">
        <f>IF('MWH-Split'!O128&lt;&gt;0,'MWH-Split'!O128*P135,"")</f>
        <v/>
      </c>
      <c r="I135" s="174" t="str">
        <f t="shared" si="20"/>
        <v/>
      </c>
      <c r="J135" s="174" t="e">
        <f t="shared" si="27"/>
        <v>#VALUE!</v>
      </c>
      <c r="K135" s="175" t="e">
        <f t="shared" si="27"/>
        <v>#VALUE!</v>
      </c>
      <c r="M135" s="180">
        <f t="shared" si="22"/>
        <v>2029</v>
      </c>
      <c r="N135" s="177" t="str">
        <f t="shared" si="25"/>
        <v/>
      </c>
      <c r="P135" s="178">
        <f>IF('Monthly Levelized'!$K$5+'Monthly Levelized'!$L$5&lt;&gt;0,IFERROR(VLOOKUP(B135,'Monthly Levelized'!$G$5:$I$25,3,FALSE),P134),1)</f>
        <v>1</v>
      </c>
      <c r="Q135" s="226" t="str">
        <f t="shared" si="23"/>
        <v>-</v>
      </c>
      <c r="R135" s="223"/>
      <c r="S135" s="224"/>
      <c r="T135" s="224"/>
      <c r="U135" s="224"/>
      <c r="V135" s="224"/>
    </row>
    <row r="136" spans="2:22" hidden="1" outlineLevel="1" x14ac:dyDescent="0.25">
      <c r="B136" s="177">
        <f t="shared" si="21"/>
        <v>47209</v>
      </c>
      <c r="C136" s="171">
        <f>'[1]Table 5'!E136*P136</f>
        <v>0</v>
      </c>
      <c r="D136" s="172" t="str">
        <f>IFERROR(G136*IF(AND(C136&lt;0,OR(Shape_Annually="No",AND(Shape_Annually="Yes",Shape_Start&gt;YEAR(B136)))),'MWH-Split'!T129,'MWH-Split'!S129)*'MWH-Split'!U129,"")</f>
        <v/>
      </c>
      <c r="E136" s="173" t="str">
        <f>IFERROR(H136*IF(AND(C136&lt;0,OR(Shape_Annually="No",AND(Shape_Annually="Yes",Shape_Start&gt;YEAR(B136)))),'MWH-Split'!S129,'MWH-Split'!T129)*'MWH-Split'!U129,"")</f>
        <v/>
      </c>
      <c r="F136" s="172">
        <f>'[1]Table 5'!F136*P136</f>
        <v>0</v>
      </c>
      <c r="G136" s="172" t="str">
        <f>IF('MWH-Split'!N129&lt;&gt;0,'MWH-Split'!N129*P136,"")</f>
        <v/>
      </c>
      <c r="H136" s="173" t="str">
        <f>IF('MWH-Split'!O129&lt;&gt;0,'MWH-Split'!O129*P136,"")</f>
        <v/>
      </c>
      <c r="I136" s="174" t="str">
        <f t="shared" si="20"/>
        <v/>
      </c>
      <c r="J136" s="174" t="e">
        <f t="shared" si="27"/>
        <v>#VALUE!</v>
      </c>
      <c r="K136" s="175" t="e">
        <f t="shared" si="27"/>
        <v>#VALUE!</v>
      </c>
      <c r="M136" s="180">
        <f t="shared" si="22"/>
        <v>2029</v>
      </c>
      <c r="N136" s="177" t="str">
        <f t="shared" si="25"/>
        <v/>
      </c>
      <c r="P136" s="178">
        <f>IF('Monthly Levelized'!$K$5+'Monthly Levelized'!$L$5&lt;&gt;0,IFERROR(VLOOKUP(B136,'Monthly Levelized'!$G$5:$I$25,3,FALSE),P135),1)</f>
        <v>1</v>
      </c>
      <c r="Q136" s="226" t="str">
        <f t="shared" si="23"/>
        <v>-</v>
      </c>
      <c r="R136" s="223"/>
      <c r="S136" s="224"/>
      <c r="T136" s="224"/>
      <c r="U136" s="224"/>
      <c r="V136" s="224"/>
    </row>
    <row r="137" spans="2:22" hidden="1" outlineLevel="1" x14ac:dyDescent="0.25">
      <c r="B137" s="177">
        <f t="shared" si="21"/>
        <v>47239</v>
      </c>
      <c r="C137" s="171">
        <f>'[1]Table 5'!E137*P137</f>
        <v>0</v>
      </c>
      <c r="D137" s="172" t="str">
        <f>IFERROR(G137*IF(AND(C137&lt;0,OR(Shape_Annually="No",AND(Shape_Annually="Yes",Shape_Start&gt;YEAR(B137)))),'MWH-Split'!T130,'MWH-Split'!S130)*'MWH-Split'!U130,"")</f>
        <v/>
      </c>
      <c r="E137" s="173" t="str">
        <f>IFERROR(H137*IF(AND(C137&lt;0,OR(Shape_Annually="No",AND(Shape_Annually="Yes",Shape_Start&gt;YEAR(B137)))),'MWH-Split'!S130,'MWH-Split'!T130)*'MWH-Split'!U130,"")</f>
        <v/>
      </c>
      <c r="F137" s="172">
        <f>'[1]Table 5'!F137*P137</f>
        <v>0</v>
      </c>
      <c r="G137" s="172" t="str">
        <f>IF('MWH-Split'!N130&lt;&gt;0,'MWH-Split'!N130*P137,"")</f>
        <v/>
      </c>
      <c r="H137" s="173" t="str">
        <f>IF('MWH-Split'!O130&lt;&gt;0,'MWH-Split'!O130*P137,"")</f>
        <v/>
      </c>
      <c r="I137" s="174" t="str">
        <f t="shared" si="20"/>
        <v/>
      </c>
      <c r="J137" s="174" t="e">
        <f t="shared" si="27"/>
        <v>#VALUE!</v>
      </c>
      <c r="K137" s="175" t="e">
        <f t="shared" si="27"/>
        <v>#VALUE!</v>
      </c>
      <c r="M137" s="180">
        <f t="shared" si="22"/>
        <v>2029</v>
      </c>
      <c r="N137" s="177" t="str">
        <f t="shared" si="25"/>
        <v/>
      </c>
      <c r="P137" s="178">
        <f>IF('Monthly Levelized'!$K$5+'Monthly Levelized'!$L$5&lt;&gt;0,IFERROR(VLOOKUP(B137,'Monthly Levelized'!$G$5:$I$25,3,FALSE),P136),1)</f>
        <v>1</v>
      </c>
      <c r="Q137" s="226" t="str">
        <f t="shared" si="23"/>
        <v>-</v>
      </c>
      <c r="R137" s="223"/>
      <c r="S137" s="224"/>
      <c r="T137" s="224"/>
      <c r="U137" s="224"/>
      <c r="V137" s="224"/>
    </row>
    <row r="138" spans="2:22" hidden="1" outlineLevel="1" x14ac:dyDescent="0.25">
      <c r="B138" s="177">
        <f t="shared" si="21"/>
        <v>47270</v>
      </c>
      <c r="C138" s="171">
        <f>'[1]Table 5'!E138*P138</f>
        <v>0</v>
      </c>
      <c r="D138" s="172" t="str">
        <f>IFERROR(G138*IF(AND(C138&lt;0,OR(Shape_Annually="No",AND(Shape_Annually="Yes",Shape_Start&gt;YEAR(B138)))),'MWH-Split'!T131,'MWH-Split'!S131)*'MWH-Split'!U131,"")</f>
        <v/>
      </c>
      <c r="E138" s="173" t="str">
        <f>IFERROR(H138*IF(AND(C138&lt;0,OR(Shape_Annually="No",AND(Shape_Annually="Yes",Shape_Start&gt;YEAR(B138)))),'MWH-Split'!S131,'MWH-Split'!T131)*'MWH-Split'!U131,"")</f>
        <v/>
      </c>
      <c r="F138" s="172">
        <f>'[1]Table 5'!F138*P138</f>
        <v>0</v>
      </c>
      <c r="G138" s="172" t="str">
        <f>IF('MWH-Split'!N131&lt;&gt;0,'MWH-Split'!N131*P138,"")</f>
        <v/>
      </c>
      <c r="H138" s="173" t="str">
        <f>IF('MWH-Split'!O131&lt;&gt;0,'MWH-Split'!O131*P138,"")</f>
        <v/>
      </c>
      <c r="I138" s="174" t="str">
        <f t="shared" si="20"/>
        <v/>
      </c>
      <c r="J138" s="174" t="e">
        <f t="shared" si="27"/>
        <v>#VALUE!</v>
      </c>
      <c r="K138" s="175" t="e">
        <f t="shared" si="27"/>
        <v>#VALUE!</v>
      </c>
      <c r="M138" s="180">
        <f t="shared" si="22"/>
        <v>2029</v>
      </c>
      <c r="N138" s="177" t="str">
        <f t="shared" si="25"/>
        <v/>
      </c>
      <c r="P138" s="178">
        <f>IF('Monthly Levelized'!$K$5+'Monthly Levelized'!$L$5&lt;&gt;0,IFERROR(VLOOKUP(B138,'Monthly Levelized'!$G$5:$I$25,3,FALSE),P137),1)</f>
        <v>1</v>
      </c>
      <c r="Q138" s="226" t="str">
        <f t="shared" si="23"/>
        <v>-</v>
      </c>
      <c r="R138" s="223"/>
      <c r="S138" s="224"/>
      <c r="T138" s="224"/>
      <c r="U138" s="224"/>
      <c r="V138" s="224"/>
    </row>
    <row r="139" spans="2:22" hidden="1" outlineLevel="1" x14ac:dyDescent="0.25">
      <c r="B139" s="177">
        <f t="shared" si="21"/>
        <v>47300</v>
      </c>
      <c r="C139" s="171">
        <f>'[1]Table 5'!E139*P139</f>
        <v>0</v>
      </c>
      <c r="D139" s="172" t="str">
        <f>IFERROR(G139*IF(AND(C139&lt;0,OR(Shape_Annually="No",AND(Shape_Annually="Yes",Shape_Start&gt;YEAR(B139)))),'MWH-Split'!T132,'MWH-Split'!S132)*'MWH-Split'!U132,"")</f>
        <v/>
      </c>
      <c r="E139" s="173" t="str">
        <f>IFERROR(H139*IF(AND(C139&lt;0,OR(Shape_Annually="No",AND(Shape_Annually="Yes",Shape_Start&gt;YEAR(B139)))),'MWH-Split'!S132,'MWH-Split'!T132)*'MWH-Split'!U132,"")</f>
        <v/>
      </c>
      <c r="F139" s="172">
        <f>'[1]Table 5'!F139*P139</f>
        <v>0</v>
      </c>
      <c r="G139" s="172" t="str">
        <f>IF('MWH-Split'!N132&lt;&gt;0,'MWH-Split'!N132*P139,"")</f>
        <v/>
      </c>
      <c r="H139" s="173" t="str">
        <f>IF('MWH-Split'!O132&lt;&gt;0,'MWH-Split'!O132*P139,"")</f>
        <v/>
      </c>
      <c r="I139" s="174" t="str">
        <f t="shared" si="20"/>
        <v/>
      </c>
      <c r="J139" s="174" t="e">
        <f t="shared" si="27"/>
        <v>#VALUE!</v>
      </c>
      <c r="K139" s="175" t="e">
        <f t="shared" si="27"/>
        <v>#VALUE!</v>
      </c>
      <c r="M139" s="180">
        <f t="shared" si="22"/>
        <v>2029</v>
      </c>
      <c r="N139" s="177" t="str">
        <f t="shared" si="25"/>
        <v/>
      </c>
      <c r="P139" s="178">
        <f>IF('Monthly Levelized'!$K$5+'Monthly Levelized'!$L$5&lt;&gt;0,IFERROR(VLOOKUP(B139,'Monthly Levelized'!$G$5:$I$25,3,FALSE),P138),1)</f>
        <v>1</v>
      </c>
      <c r="Q139" s="226" t="str">
        <f t="shared" si="23"/>
        <v>-</v>
      </c>
      <c r="R139" s="223"/>
      <c r="S139" s="224"/>
      <c r="T139" s="224"/>
      <c r="U139" s="224"/>
      <c r="V139" s="224"/>
    </row>
    <row r="140" spans="2:22" hidden="1" outlineLevel="1" x14ac:dyDescent="0.25">
      <c r="B140" s="177">
        <f t="shared" si="21"/>
        <v>47331</v>
      </c>
      <c r="C140" s="171">
        <f>'[1]Table 5'!E140*P140</f>
        <v>0</v>
      </c>
      <c r="D140" s="172" t="str">
        <f>IFERROR(G140*IF(AND(C140&lt;0,OR(Shape_Annually="No",AND(Shape_Annually="Yes",Shape_Start&gt;YEAR(B140)))),'MWH-Split'!T133,'MWH-Split'!S133)*'MWH-Split'!U133,"")</f>
        <v/>
      </c>
      <c r="E140" s="173" t="str">
        <f>IFERROR(H140*IF(AND(C140&lt;0,OR(Shape_Annually="No",AND(Shape_Annually="Yes",Shape_Start&gt;YEAR(B140)))),'MWH-Split'!S133,'MWH-Split'!T133)*'MWH-Split'!U133,"")</f>
        <v/>
      </c>
      <c r="F140" s="172">
        <f>'[1]Table 5'!F140*P140</f>
        <v>0</v>
      </c>
      <c r="G140" s="172" t="str">
        <f>IF('MWH-Split'!N133&lt;&gt;0,'MWH-Split'!N133*P140,"")</f>
        <v/>
      </c>
      <c r="H140" s="173" t="str">
        <f>IF('MWH-Split'!O133&lt;&gt;0,'MWH-Split'!O133*P140,"")</f>
        <v/>
      </c>
      <c r="I140" s="174" t="str">
        <f t="shared" si="20"/>
        <v/>
      </c>
      <c r="J140" s="174" t="e">
        <f t="shared" si="27"/>
        <v>#VALUE!</v>
      </c>
      <c r="K140" s="175" t="e">
        <f t="shared" si="27"/>
        <v>#VALUE!</v>
      </c>
      <c r="M140" s="180">
        <f t="shared" si="22"/>
        <v>2029</v>
      </c>
      <c r="N140" s="177" t="str">
        <f t="shared" si="25"/>
        <v/>
      </c>
      <c r="P140" s="178">
        <f>IF('Monthly Levelized'!$K$5+'Monthly Levelized'!$L$5&lt;&gt;0,IFERROR(VLOOKUP(B140,'Monthly Levelized'!$G$5:$I$25,3,FALSE),P139),1)</f>
        <v>1</v>
      </c>
      <c r="Q140" s="226" t="str">
        <f t="shared" si="23"/>
        <v>-</v>
      </c>
      <c r="R140" s="223"/>
      <c r="S140" s="224"/>
      <c r="T140" s="224"/>
      <c r="U140" s="224"/>
      <c r="V140" s="224"/>
    </row>
    <row r="141" spans="2:22" hidden="1" outlineLevel="1" x14ac:dyDescent="0.25">
      <c r="B141" s="177">
        <f t="shared" si="21"/>
        <v>47362</v>
      </c>
      <c r="C141" s="171">
        <f>'[1]Table 5'!E141*P141</f>
        <v>0</v>
      </c>
      <c r="D141" s="172" t="str">
        <f>IFERROR(G141*IF(AND(C141&lt;0,OR(Shape_Annually="No",AND(Shape_Annually="Yes",Shape_Start&gt;YEAR(B141)))),'MWH-Split'!T134,'MWH-Split'!S134)*'MWH-Split'!U134,"")</f>
        <v/>
      </c>
      <c r="E141" s="173" t="str">
        <f>IFERROR(H141*IF(AND(C141&lt;0,OR(Shape_Annually="No",AND(Shape_Annually="Yes",Shape_Start&gt;YEAR(B141)))),'MWH-Split'!S134,'MWH-Split'!T134)*'MWH-Split'!U134,"")</f>
        <v/>
      </c>
      <c r="F141" s="172">
        <f>'[1]Table 5'!F141*P141</f>
        <v>0</v>
      </c>
      <c r="G141" s="172" t="str">
        <f>IF('MWH-Split'!N134&lt;&gt;0,'MWH-Split'!N134*P141,"")</f>
        <v/>
      </c>
      <c r="H141" s="173" t="str">
        <f>IF('MWH-Split'!O134&lt;&gt;0,'MWH-Split'!O134*P141,"")</f>
        <v/>
      </c>
      <c r="I141" s="174" t="str">
        <f t="shared" ref="I141:I204" si="32">IFERROR(MAX(ROUND(IF(ISNUMBER(F141),SUM(D141:E141)/SUM(G141:H141),""),2),0),"")</f>
        <v/>
      </c>
      <c r="J141" s="174" t="e">
        <f t="shared" si="27"/>
        <v>#VALUE!</v>
      </c>
      <c r="K141" s="175" t="e">
        <f t="shared" si="27"/>
        <v>#VALUE!</v>
      </c>
      <c r="M141" s="180">
        <f t="shared" si="22"/>
        <v>2029</v>
      </c>
      <c r="N141" s="177" t="str">
        <f t="shared" si="25"/>
        <v/>
      </c>
      <c r="P141" s="178">
        <f>IF('Monthly Levelized'!$K$5+'Monthly Levelized'!$L$5&lt;&gt;0,IFERROR(VLOOKUP(B141,'Monthly Levelized'!$G$5:$I$25,3,FALSE),P140),1)</f>
        <v>1</v>
      </c>
      <c r="Q141" s="226" t="str">
        <f t="shared" si="23"/>
        <v>-</v>
      </c>
      <c r="R141" s="223"/>
      <c r="S141" s="224"/>
      <c r="T141" s="224"/>
      <c r="U141" s="224"/>
      <c r="V141" s="224"/>
    </row>
    <row r="142" spans="2:22" hidden="1" outlineLevel="1" x14ac:dyDescent="0.25">
      <c r="B142" s="177">
        <f t="shared" ref="B142:B205" si="33">EDATE(B141,1)</f>
        <v>47392</v>
      </c>
      <c r="C142" s="171">
        <f>'[1]Table 5'!E142*P142</f>
        <v>0</v>
      </c>
      <c r="D142" s="172" t="str">
        <f>IFERROR(G142*IF(AND(C142&lt;0,OR(Shape_Annually="No",AND(Shape_Annually="Yes",Shape_Start&gt;YEAR(B142)))),'MWH-Split'!T135,'MWH-Split'!S135)*'MWH-Split'!U135,"")</f>
        <v/>
      </c>
      <c r="E142" s="173" t="str">
        <f>IFERROR(H142*IF(AND(C142&lt;0,OR(Shape_Annually="No",AND(Shape_Annually="Yes",Shape_Start&gt;YEAR(B142)))),'MWH-Split'!S135,'MWH-Split'!T135)*'MWH-Split'!U135,"")</f>
        <v/>
      </c>
      <c r="F142" s="172">
        <f>'[1]Table 5'!F142*P142</f>
        <v>0</v>
      </c>
      <c r="G142" s="172" t="str">
        <f>IF('MWH-Split'!N135&lt;&gt;0,'MWH-Split'!N135*P142,"")</f>
        <v/>
      </c>
      <c r="H142" s="173" t="str">
        <f>IF('MWH-Split'!O135&lt;&gt;0,'MWH-Split'!O135*P142,"")</f>
        <v/>
      </c>
      <c r="I142" s="174" t="str">
        <f t="shared" si="32"/>
        <v/>
      </c>
      <c r="J142" s="174" t="e">
        <f t="shared" si="27"/>
        <v>#VALUE!</v>
      </c>
      <c r="K142" s="175" t="e">
        <f t="shared" si="27"/>
        <v>#VALUE!</v>
      </c>
      <c r="M142" s="180">
        <f t="shared" ref="M142:M205" si="34">YEAR(B142)</f>
        <v>2029</v>
      </c>
      <c r="N142" s="177" t="str">
        <f t="shared" si="25"/>
        <v/>
      </c>
      <c r="P142" s="178">
        <f>IF('Monthly Levelized'!$K$5+'Monthly Levelized'!$L$5&lt;&gt;0,IFERROR(VLOOKUP(B142,'Monthly Levelized'!$G$5:$I$25,3,FALSE),P141),1)</f>
        <v>1</v>
      </c>
      <c r="Q142" s="226" t="str">
        <f t="shared" ref="Q142:Q205" si="35">IFERROR(IF(AND(MONTH(N142)&gt;=6,MONTH(N142)&lt;=9),"Summer","Winter"),"-")</f>
        <v>-</v>
      </c>
      <c r="R142" s="223"/>
      <c r="S142" s="224"/>
      <c r="T142" s="224"/>
      <c r="U142" s="224"/>
      <c r="V142" s="224"/>
    </row>
    <row r="143" spans="2:22" hidden="1" outlineLevel="1" x14ac:dyDescent="0.25">
      <c r="B143" s="177">
        <f t="shared" si="33"/>
        <v>47423</v>
      </c>
      <c r="C143" s="171">
        <f>'[1]Table 5'!E143*P143</f>
        <v>0</v>
      </c>
      <c r="D143" s="172" t="str">
        <f>IFERROR(G143*IF(AND(C143&lt;0,OR(Shape_Annually="No",AND(Shape_Annually="Yes",Shape_Start&gt;YEAR(B143)))),'MWH-Split'!T136,'MWH-Split'!S136)*'MWH-Split'!U136,"")</f>
        <v/>
      </c>
      <c r="E143" s="173" t="str">
        <f>IFERROR(H143*IF(AND(C143&lt;0,OR(Shape_Annually="No",AND(Shape_Annually="Yes",Shape_Start&gt;YEAR(B143)))),'MWH-Split'!S136,'MWH-Split'!T136)*'MWH-Split'!U136,"")</f>
        <v/>
      </c>
      <c r="F143" s="172">
        <f>'[1]Table 5'!F143*P143</f>
        <v>0</v>
      </c>
      <c r="G143" s="172" t="str">
        <f>IF('MWH-Split'!N136&lt;&gt;0,'MWH-Split'!N136*P143,"")</f>
        <v/>
      </c>
      <c r="H143" s="173" t="str">
        <f>IF('MWH-Split'!O136&lt;&gt;0,'MWH-Split'!O136*P143,"")</f>
        <v/>
      </c>
      <c r="I143" s="174" t="str">
        <f t="shared" si="32"/>
        <v/>
      </c>
      <c r="J143" s="174" t="e">
        <f t="shared" si="27"/>
        <v>#VALUE!</v>
      </c>
      <c r="K143" s="175" t="e">
        <f t="shared" si="27"/>
        <v>#VALUE!</v>
      </c>
      <c r="M143" s="180">
        <f t="shared" si="34"/>
        <v>2029</v>
      </c>
      <c r="N143" s="177" t="str">
        <f t="shared" si="25"/>
        <v/>
      </c>
      <c r="P143" s="178">
        <f>IF('Monthly Levelized'!$K$5+'Monthly Levelized'!$L$5&lt;&gt;0,IFERROR(VLOOKUP(B143,'Monthly Levelized'!$G$5:$I$25,3,FALSE),P142),1)</f>
        <v>1</v>
      </c>
      <c r="Q143" s="226" t="str">
        <f t="shared" si="35"/>
        <v>-</v>
      </c>
      <c r="R143" s="223"/>
      <c r="S143" s="224"/>
      <c r="T143" s="224"/>
      <c r="U143" s="224"/>
      <c r="V143" s="224"/>
    </row>
    <row r="144" spans="2:22" hidden="1" outlineLevel="1" x14ac:dyDescent="0.25">
      <c r="B144" s="188">
        <f t="shared" si="33"/>
        <v>47453</v>
      </c>
      <c r="C144" s="182">
        <f>'[1]Table 5'!E144*P144</f>
        <v>0</v>
      </c>
      <c r="D144" s="183" t="str">
        <f>IFERROR(G144*IF(AND(C144&lt;0,OR(Shape_Annually="No",AND(Shape_Annually="Yes",Shape_Start&gt;YEAR(B144)))),'MWH-Split'!T137,'MWH-Split'!S137)*'MWH-Split'!U137,"")</f>
        <v/>
      </c>
      <c r="E144" s="184" t="str">
        <f>IFERROR(H144*IF(AND(C144&lt;0,OR(Shape_Annually="No",AND(Shape_Annually="Yes",Shape_Start&gt;YEAR(B144)))),'MWH-Split'!S137,'MWH-Split'!T137)*'MWH-Split'!U137,"")</f>
        <v/>
      </c>
      <c r="F144" s="183">
        <f>'[1]Table 5'!F144*P144</f>
        <v>0</v>
      </c>
      <c r="G144" s="183" t="str">
        <f>IF('MWH-Split'!N137&lt;&gt;0,'MWH-Split'!N137*P144,"")</f>
        <v/>
      </c>
      <c r="H144" s="184" t="str">
        <f>IF('MWH-Split'!O137&lt;&gt;0,'MWH-Split'!O137*P144,"")</f>
        <v/>
      </c>
      <c r="I144" s="185" t="str">
        <f t="shared" si="32"/>
        <v/>
      </c>
      <c r="J144" s="185" t="e">
        <f t="shared" si="27"/>
        <v>#VALUE!</v>
      </c>
      <c r="K144" s="186" t="e">
        <f t="shared" si="27"/>
        <v>#VALUE!</v>
      </c>
      <c r="M144" s="187">
        <f t="shared" si="34"/>
        <v>2029</v>
      </c>
      <c r="N144" s="188" t="str">
        <f t="shared" si="25"/>
        <v/>
      </c>
      <c r="P144" s="189">
        <f>IF('Monthly Levelized'!$K$5+'Monthly Levelized'!$L$5&lt;&gt;0,IFERROR(VLOOKUP(B144,'Monthly Levelized'!$G$5:$I$25,3,FALSE),P143),1)</f>
        <v>1</v>
      </c>
      <c r="Q144" s="226" t="str">
        <f t="shared" si="35"/>
        <v>-</v>
      </c>
      <c r="R144" s="223"/>
      <c r="S144" s="224"/>
      <c r="T144" s="224"/>
      <c r="U144" s="224"/>
      <c r="V144" s="224"/>
    </row>
    <row r="145" spans="2:22" hidden="1" outlineLevel="1" x14ac:dyDescent="0.25">
      <c r="B145" s="190">
        <f t="shared" si="33"/>
        <v>47484</v>
      </c>
      <c r="C145" s="191">
        <f>'[1]Table 5'!E145*P145</f>
        <v>0</v>
      </c>
      <c r="D145" s="192" t="str">
        <f>IFERROR(G145*IF(AND(C145&lt;0,OR(Shape_Annually="No",AND(Shape_Annually="Yes",Shape_Start&gt;YEAR(B145)))),'MWH-Split'!T138,'MWH-Split'!S138)*'MWH-Split'!U138,"")</f>
        <v/>
      </c>
      <c r="E145" s="193" t="str">
        <f>IFERROR(H145*IF(AND(C145&lt;0,OR(Shape_Annually="No",AND(Shape_Annually="Yes",Shape_Start&gt;YEAR(B145)))),'MWH-Split'!S138,'MWH-Split'!T138)*'MWH-Split'!U138,"")</f>
        <v/>
      </c>
      <c r="F145" s="192">
        <f>'[1]Table 5'!F145*P145</f>
        <v>0</v>
      </c>
      <c r="G145" s="192" t="str">
        <f>IF('MWH-Split'!N138&lt;&gt;0,'MWH-Split'!N138*P145,"")</f>
        <v/>
      </c>
      <c r="H145" s="193" t="str">
        <f>IF('MWH-Split'!O138&lt;&gt;0,'MWH-Split'!O138*P145,"")</f>
        <v/>
      </c>
      <c r="I145" s="194" t="str">
        <f t="shared" si="32"/>
        <v/>
      </c>
      <c r="J145" s="194" t="e">
        <f t="shared" si="27"/>
        <v>#VALUE!</v>
      </c>
      <c r="K145" s="195" t="e">
        <f t="shared" si="27"/>
        <v>#VALUE!</v>
      </c>
      <c r="M145" s="176">
        <f t="shared" si="34"/>
        <v>2030</v>
      </c>
      <c r="N145" s="177" t="str">
        <f t="shared" si="25"/>
        <v/>
      </c>
      <c r="P145" s="196">
        <f>IF('Monthly Levelized'!$K$5+'Monthly Levelized'!$L$5&lt;&gt;0,IFERROR(VLOOKUP(B145,'Monthly Levelized'!$G$5:$I$25,3,FALSE),P144),1)</f>
        <v>1</v>
      </c>
      <c r="Q145" s="226" t="str">
        <f t="shared" si="35"/>
        <v>-</v>
      </c>
      <c r="R145" s="223"/>
      <c r="S145" s="224"/>
      <c r="T145" s="224"/>
      <c r="U145" s="224"/>
      <c r="V145" s="224"/>
    </row>
    <row r="146" spans="2:22" hidden="1" outlineLevel="1" x14ac:dyDescent="0.25">
      <c r="B146" s="177">
        <f t="shared" si="33"/>
        <v>47515</v>
      </c>
      <c r="C146" s="171">
        <f>'[1]Table 5'!E146*P146</f>
        <v>0</v>
      </c>
      <c r="D146" s="172" t="str">
        <f>IFERROR(G146*IF(AND(C146&lt;0,OR(Shape_Annually="No",AND(Shape_Annually="Yes",Shape_Start&gt;YEAR(B146)))),'MWH-Split'!T139,'MWH-Split'!S139)*'MWH-Split'!U139,"")</f>
        <v/>
      </c>
      <c r="E146" s="173" t="str">
        <f>IFERROR(H146*IF(AND(C146&lt;0,OR(Shape_Annually="No",AND(Shape_Annually="Yes",Shape_Start&gt;YEAR(B146)))),'MWH-Split'!S139,'MWH-Split'!T139)*'MWH-Split'!U139,"")</f>
        <v/>
      </c>
      <c r="F146" s="172">
        <f>'[1]Table 5'!F146*P146</f>
        <v>0</v>
      </c>
      <c r="G146" s="172" t="str">
        <f>IF('MWH-Split'!N139&lt;&gt;0,'MWH-Split'!N139*P146,"")</f>
        <v/>
      </c>
      <c r="H146" s="173" t="str">
        <f>IF('MWH-Split'!O139&lt;&gt;0,'MWH-Split'!O139*P146,"")</f>
        <v/>
      </c>
      <c r="I146" s="174" t="str">
        <f t="shared" si="32"/>
        <v/>
      </c>
      <c r="J146" s="174" t="e">
        <f t="shared" si="27"/>
        <v>#VALUE!</v>
      </c>
      <c r="K146" s="175" t="e">
        <f t="shared" si="27"/>
        <v>#VALUE!</v>
      </c>
      <c r="M146" s="180">
        <f t="shared" si="34"/>
        <v>2030</v>
      </c>
      <c r="N146" s="177" t="str">
        <f t="shared" si="25"/>
        <v/>
      </c>
      <c r="P146" s="178">
        <f>IF('Monthly Levelized'!$K$5+'Monthly Levelized'!$L$5&lt;&gt;0,IFERROR(VLOOKUP(B146,'Monthly Levelized'!$G$5:$I$25,3,FALSE),P145),1)</f>
        <v>1</v>
      </c>
      <c r="Q146" s="226" t="str">
        <f t="shared" si="35"/>
        <v>-</v>
      </c>
      <c r="R146" s="223"/>
      <c r="S146" s="224"/>
      <c r="T146" s="224"/>
      <c r="U146" s="224"/>
      <c r="V146" s="224"/>
    </row>
    <row r="147" spans="2:22" hidden="1" outlineLevel="1" x14ac:dyDescent="0.25">
      <c r="B147" s="177">
        <f t="shared" si="33"/>
        <v>47543</v>
      </c>
      <c r="C147" s="171">
        <f>'[1]Table 5'!E147*P147</f>
        <v>0</v>
      </c>
      <c r="D147" s="172" t="str">
        <f>IFERROR(G147*IF(AND(C147&lt;0,OR(Shape_Annually="No",AND(Shape_Annually="Yes",Shape_Start&gt;YEAR(B147)))),'MWH-Split'!T140,'MWH-Split'!S140)*'MWH-Split'!U140,"")</f>
        <v/>
      </c>
      <c r="E147" s="173" t="str">
        <f>IFERROR(H147*IF(AND(C147&lt;0,OR(Shape_Annually="No",AND(Shape_Annually="Yes",Shape_Start&gt;YEAR(B147)))),'MWH-Split'!S140,'MWH-Split'!T140)*'MWH-Split'!U140,"")</f>
        <v/>
      </c>
      <c r="F147" s="172">
        <f>'[1]Table 5'!F147*P147</f>
        <v>0</v>
      </c>
      <c r="G147" s="172" t="str">
        <f>IF('MWH-Split'!N140&lt;&gt;0,'MWH-Split'!N140*P147,"")</f>
        <v/>
      </c>
      <c r="H147" s="173" t="str">
        <f>IF('MWH-Split'!O140&lt;&gt;0,'MWH-Split'!O140*P147,"")</f>
        <v/>
      </c>
      <c r="I147" s="174" t="str">
        <f t="shared" si="32"/>
        <v/>
      </c>
      <c r="J147" s="174" t="e">
        <f t="shared" si="27"/>
        <v>#VALUE!</v>
      </c>
      <c r="K147" s="175" t="e">
        <f t="shared" si="27"/>
        <v>#VALUE!</v>
      </c>
      <c r="M147" s="180">
        <f t="shared" si="34"/>
        <v>2030</v>
      </c>
      <c r="N147" s="177" t="str">
        <f t="shared" si="25"/>
        <v/>
      </c>
      <c r="P147" s="178">
        <f>IF('Monthly Levelized'!$K$5+'Monthly Levelized'!$L$5&lt;&gt;0,IFERROR(VLOOKUP(B147,'Monthly Levelized'!$G$5:$I$25,3,FALSE),P146),1)</f>
        <v>1</v>
      </c>
      <c r="Q147" s="226" t="str">
        <f t="shared" si="35"/>
        <v>-</v>
      </c>
      <c r="R147" s="223"/>
      <c r="S147" s="224"/>
      <c r="T147" s="224"/>
      <c r="U147" s="224"/>
      <c r="V147" s="224"/>
    </row>
    <row r="148" spans="2:22" hidden="1" outlineLevel="1" x14ac:dyDescent="0.25">
      <c r="B148" s="177">
        <f t="shared" si="33"/>
        <v>47574</v>
      </c>
      <c r="C148" s="171">
        <f>'[1]Table 5'!E148*P148</f>
        <v>0</v>
      </c>
      <c r="D148" s="172" t="str">
        <f>IFERROR(G148*IF(AND(C148&lt;0,OR(Shape_Annually="No",AND(Shape_Annually="Yes",Shape_Start&gt;YEAR(B148)))),'MWH-Split'!T141,'MWH-Split'!S141)*'MWH-Split'!U141,"")</f>
        <v/>
      </c>
      <c r="E148" s="173" t="str">
        <f>IFERROR(H148*IF(AND(C148&lt;0,OR(Shape_Annually="No",AND(Shape_Annually="Yes",Shape_Start&gt;YEAR(B148)))),'MWH-Split'!S141,'MWH-Split'!T141)*'MWH-Split'!U141,"")</f>
        <v/>
      </c>
      <c r="F148" s="172">
        <f>'[1]Table 5'!F148*P148</f>
        <v>0</v>
      </c>
      <c r="G148" s="172" t="str">
        <f>IF('MWH-Split'!N141&lt;&gt;0,'MWH-Split'!N141*P148,"")</f>
        <v/>
      </c>
      <c r="H148" s="173" t="str">
        <f>IF('MWH-Split'!O141&lt;&gt;0,'MWH-Split'!O141*P148,"")</f>
        <v/>
      </c>
      <c r="I148" s="174" t="str">
        <f t="shared" si="32"/>
        <v/>
      </c>
      <c r="J148" s="174" t="e">
        <f t="shared" si="27"/>
        <v>#VALUE!</v>
      </c>
      <c r="K148" s="175" t="e">
        <f t="shared" si="27"/>
        <v>#VALUE!</v>
      </c>
      <c r="M148" s="180">
        <f t="shared" si="34"/>
        <v>2030</v>
      </c>
      <c r="N148" s="177" t="str">
        <f t="shared" si="25"/>
        <v/>
      </c>
      <c r="P148" s="178">
        <f>IF('Monthly Levelized'!$K$5+'Monthly Levelized'!$L$5&lt;&gt;0,IFERROR(VLOOKUP(B148,'Monthly Levelized'!$G$5:$I$25,3,FALSE),P147),1)</f>
        <v>1</v>
      </c>
      <c r="Q148" s="226" t="str">
        <f t="shared" si="35"/>
        <v>-</v>
      </c>
      <c r="R148" s="223"/>
      <c r="S148" s="224"/>
      <c r="T148" s="224"/>
      <c r="U148" s="224"/>
      <c r="V148" s="224"/>
    </row>
    <row r="149" spans="2:22" hidden="1" outlineLevel="1" x14ac:dyDescent="0.25">
      <c r="B149" s="177">
        <f t="shared" si="33"/>
        <v>47604</v>
      </c>
      <c r="C149" s="171">
        <f>'[1]Table 5'!E149*P149</f>
        <v>0</v>
      </c>
      <c r="D149" s="172" t="str">
        <f>IFERROR(G149*IF(AND(C149&lt;0,OR(Shape_Annually="No",AND(Shape_Annually="Yes",Shape_Start&gt;YEAR(B149)))),'MWH-Split'!T142,'MWH-Split'!S142)*'MWH-Split'!U142,"")</f>
        <v/>
      </c>
      <c r="E149" s="173" t="str">
        <f>IFERROR(H149*IF(AND(C149&lt;0,OR(Shape_Annually="No",AND(Shape_Annually="Yes",Shape_Start&gt;YEAR(B149)))),'MWH-Split'!S142,'MWH-Split'!T142)*'MWH-Split'!U142,"")</f>
        <v/>
      </c>
      <c r="F149" s="172">
        <f>'[1]Table 5'!F149*P149</f>
        <v>0</v>
      </c>
      <c r="G149" s="172" t="str">
        <f>IF('MWH-Split'!N142&lt;&gt;0,'MWH-Split'!N142*P149,"")</f>
        <v/>
      </c>
      <c r="H149" s="173" t="str">
        <f>IF('MWH-Split'!O142&lt;&gt;0,'MWH-Split'!O142*P149,"")</f>
        <v/>
      </c>
      <c r="I149" s="174" t="str">
        <f t="shared" si="32"/>
        <v/>
      </c>
      <c r="J149" s="174" t="e">
        <f t="shared" si="27"/>
        <v>#VALUE!</v>
      </c>
      <c r="K149" s="175" t="e">
        <f t="shared" si="27"/>
        <v>#VALUE!</v>
      </c>
      <c r="M149" s="180">
        <f t="shared" si="34"/>
        <v>2030</v>
      </c>
      <c r="N149" s="177" t="str">
        <f t="shared" si="25"/>
        <v/>
      </c>
      <c r="P149" s="178">
        <f>IF('Monthly Levelized'!$K$5+'Monthly Levelized'!$L$5&lt;&gt;0,IFERROR(VLOOKUP(B149,'Monthly Levelized'!$G$5:$I$25,3,FALSE),P148),1)</f>
        <v>1</v>
      </c>
      <c r="Q149" s="226" t="str">
        <f t="shared" si="35"/>
        <v>-</v>
      </c>
      <c r="R149" s="223"/>
      <c r="S149" s="224"/>
      <c r="T149" s="224"/>
      <c r="U149" s="224"/>
      <c r="V149" s="224"/>
    </row>
    <row r="150" spans="2:22" hidden="1" outlineLevel="1" x14ac:dyDescent="0.25">
      <c r="B150" s="177">
        <f t="shared" si="33"/>
        <v>47635</v>
      </c>
      <c r="C150" s="171">
        <f>'[1]Table 5'!E150*P150</f>
        <v>0</v>
      </c>
      <c r="D150" s="172" t="str">
        <f>IFERROR(G150*IF(AND(C150&lt;0,OR(Shape_Annually="No",AND(Shape_Annually="Yes",Shape_Start&gt;YEAR(B150)))),'MWH-Split'!T143,'MWH-Split'!S143)*'MWH-Split'!U143,"")</f>
        <v/>
      </c>
      <c r="E150" s="173" t="str">
        <f>IFERROR(H150*IF(AND(C150&lt;0,OR(Shape_Annually="No",AND(Shape_Annually="Yes",Shape_Start&gt;YEAR(B150)))),'MWH-Split'!S143,'MWH-Split'!T143)*'MWH-Split'!U143,"")</f>
        <v/>
      </c>
      <c r="F150" s="172">
        <f>'[1]Table 5'!F150*P150</f>
        <v>0</v>
      </c>
      <c r="G150" s="172" t="str">
        <f>IF('MWH-Split'!N143&lt;&gt;0,'MWH-Split'!N143*P150,"")</f>
        <v/>
      </c>
      <c r="H150" s="173" t="str">
        <f>IF('MWH-Split'!O143&lt;&gt;0,'MWH-Split'!O143*P150,"")</f>
        <v/>
      </c>
      <c r="I150" s="174" t="str">
        <f t="shared" si="32"/>
        <v/>
      </c>
      <c r="J150" s="174" t="e">
        <f t="shared" si="27"/>
        <v>#VALUE!</v>
      </c>
      <c r="K150" s="175" t="e">
        <f t="shared" si="27"/>
        <v>#VALUE!</v>
      </c>
      <c r="M150" s="180">
        <f t="shared" si="34"/>
        <v>2030</v>
      </c>
      <c r="N150" s="177" t="str">
        <f t="shared" si="25"/>
        <v/>
      </c>
      <c r="P150" s="178">
        <f>IF('Monthly Levelized'!$K$5+'Monthly Levelized'!$L$5&lt;&gt;0,IFERROR(VLOOKUP(B150,'Monthly Levelized'!$G$5:$I$25,3,FALSE),P149),1)</f>
        <v>1</v>
      </c>
      <c r="Q150" s="226" t="str">
        <f t="shared" si="35"/>
        <v>-</v>
      </c>
      <c r="R150" s="223"/>
      <c r="S150" s="224"/>
      <c r="T150" s="224"/>
      <c r="U150" s="224"/>
      <c r="V150" s="224"/>
    </row>
    <row r="151" spans="2:22" hidden="1" outlineLevel="1" x14ac:dyDescent="0.25">
      <c r="B151" s="177">
        <f t="shared" si="33"/>
        <v>47665</v>
      </c>
      <c r="C151" s="171">
        <f>'[1]Table 5'!E151*P151</f>
        <v>0</v>
      </c>
      <c r="D151" s="172" t="str">
        <f>IFERROR(G151*IF(AND(C151&lt;0,OR(Shape_Annually="No",AND(Shape_Annually="Yes",Shape_Start&gt;YEAR(B151)))),'MWH-Split'!T144,'MWH-Split'!S144)*'MWH-Split'!U144,"")</f>
        <v/>
      </c>
      <c r="E151" s="173" t="str">
        <f>IFERROR(H151*IF(AND(C151&lt;0,OR(Shape_Annually="No",AND(Shape_Annually="Yes",Shape_Start&gt;YEAR(B151)))),'MWH-Split'!S144,'MWH-Split'!T144)*'MWH-Split'!U144,"")</f>
        <v/>
      </c>
      <c r="F151" s="172">
        <f>'[1]Table 5'!F151*P151</f>
        <v>0</v>
      </c>
      <c r="G151" s="172" t="str">
        <f>IF('MWH-Split'!N144&lt;&gt;0,'MWH-Split'!N144*P151,"")</f>
        <v/>
      </c>
      <c r="H151" s="173" t="str">
        <f>IF('MWH-Split'!O144&lt;&gt;0,'MWH-Split'!O144*P151,"")</f>
        <v/>
      </c>
      <c r="I151" s="174" t="str">
        <f t="shared" si="32"/>
        <v/>
      </c>
      <c r="J151" s="174" t="e">
        <f t="shared" si="27"/>
        <v>#VALUE!</v>
      </c>
      <c r="K151" s="175" t="e">
        <f t="shared" si="27"/>
        <v>#VALUE!</v>
      </c>
      <c r="M151" s="180">
        <f t="shared" si="34"/>
        <v>2030</v>
      </c>
      <c r="N151" s="177" t="str">
        <f t="shared" si="25"/>
        <v/>
      </c>
      <c r="P151" s="178">
        <f>IF('Monthly Levelized'!$K$5+'Monthly Levelized'!$L$5&lt;&gt;0,IFERROR(VLOOKUP(B151,'Monthly Levelized'!$G$5:$I$25,3,FALSE),P150),1)</f>
        <v>1</v>
      </c>
      <c r="Q151" s="226" t="str">
        <f t="shared" si="35"/>
        <v>-</v>
      </c>
      <c r="R151" s="223"/>
      <c r="S151" s="224"/>
      <c r="T151" s="224"/>
      <c r="U151" s="224"/>
      <c r="V151" s="224"/>
    </row>
    <row r="152" spans="2:22" hidden="1" outlineLevel="1" x14ac:dyDescent="0.25">
      <c r="B152" s="177">
        <f t="shared" si="33"/>
        <v>47696</v>
      </c>
      <c r="C152" s="171">
        <f>'[1]Table 5'!E152*P152</f>
        <v>0</v>
      </c>
      <c r="D152" s="172" t="str">
        <f>IFERROR(G152*IF(AND(C152&lt;0,OR(Shape_Annually="No",AND(Shape_Annually="Yes",Shape_Start&gt;YEAR(B152)))),'MWH-Split'!T145,'MWH-Split'!S145)*'MWH-Split'!U145,"")</f>
        <v/>
      </c>
      <c r="E152" s="173" t="str">
        <f>IFERROR(H152*IF(AND(C152&lt;0,OR(Shape_Annually="No",AND(Shape_Annually="Yes",Shape_Start&gt;YEAR(B152)))),'MWH-Split'!S145,'MWH-Split'!T145)*'MWH-Split'!U145,"")</f>
        <v/>
      </c>
      <c r="F152" s="172">
        <f>'[1]Table 5'!F152*P152</f>
        <v>0</v>
      </c>
      <c r="G152" s="172" t="str">
        <f>IF('MWH-Split'!N145&lt;&gt;0,'MWH-Split'!N145*P152,"")</f>
        <v/>
      </c>
      <c r="H152" s="173" t="str">
        <f>IF('MWH-Split'!O145&lt;&gt;0,'MWH-Split'!O145*P152,"")</f>
        <v/>
      </c>
      <c r="I152" s="174" t="str">
        <f t="shared" si="32"/>
        <v/>
      </c>
      <c r="J152" s="174" t="e">
        <f t="shared" si="27"/>
        <v>#VALUE!</v>
      </c>
      <c r="K152" s="175" t="e">
        <f t="shared" si="27"/>
        <v>#VALUE!</v>
      </c>
      <c r="M152" s="180">
        <f t="shared" si="34"/>
        <v>2030</v>
      </c>
      <c r="N152" s="177" t="str">
        <f t="shared" si="25"/>
        <v/>
      </c>
      <c r="P152" s="178">
        <f>IF('Monthly Levelized'!$K$5+'Monthly Levelized'!$L$5&lt;&gt;0,IFERROR(VLOOKUP(B152,'Monthly Levelized'!$G$5:$I$25,3,FALSE),P151),1)</f>
        <v>1</v>
      </c>
      <c r="Q152" s="226" t="str">
        <f t="shared" si="35"/>
        <v>-</v>
      </c>
      <c r="R152" s="223"/>
      <c r="S152" s="224"/>
      <c r="T152" s="224"/>
      <c r="U152" s="224"/>
      <c r="V152" s="224"/>
    </row>
    <row r="153" spans="2:22" hidden="1" outlineLevel="1" x14ac:dyDescent="0.25">
      <c r="B153" s="177">
        <f t="shared" si="33"/>
        <v>47727</v>
      </c>
      <c r="C153" s="171">
        <f>'[1]Table 5'!E153*P153</f>
        <v>0</v>
      </c>
      <c r="D153" s="172" t="str">
        <f>IFERROR(G153*IF(AND(C153&lt;0,OR(Shape_Annually="No",AND(Shape_Annually="Yes",Shape_Start&gt;YEAR(B153)))),'MWH-Split'!T146,'MWH-Split'!S146)*'MWH-Split'!U146,"")</f>
        <v/>
      </c>
      <c r="E153" s="173" t="str">
        <f>IFERROR(H153*IF(AND(C153&lt;0,OR(Shape_Annually="No",AND(Shape_Annually="Yes",Shape_Start&gt;YEAR(B153)))),'MWH-Split'!S146,'MWH-Split'!T146)*'MWH-Split'!U146,"")</f>
        <v/>
      </c>
      <c r="F153" s="172">
        <f>'[1]Table 5'!F153*P153</f>
        <v>0</v>
      </c>
      <c r="G153" s="172" t="str">
        <f>IF('MWH-Split'!N146&lt;&gt;0,'MWH-Split'!N146*P153,"")</f>
        <v/>
      </c>
      <c r="H153" s="173" t="str">
        <f>IF('MWH-Split'!O146&lt;&gt;0,'MWH-Split'!O146*P153,"")</f>
        <v/>
      </c>
      <c r="I153" s="174" t="str">
        <f t="shared" si="32"/>
        <v/>
      </c>
      <c r="J153" s="174" t="e">
        <f t="shared" si="27"/>
        <v>#VALUE!</v>
      </c>
      <c r="K153" s="175" t="e">
        <f t="shared" si="27"/>
        <v>#VALUE!</v>
      </c>
      <c r="M153" s="180">
        <f t="shared" si="34"/>
        <v>2030</v>
      </c>
      <c r="N153" s="177" t="str">
        <f t="shared" si="25"/>
        <v/>
      </c>
      <c r="P153" s="178">
        <f>IF('Monthly Levelized'!$K$5+'Monthly Levelized'!$L$5&lt;&gt;0,IFERROR(VLOOKUP(B153,'Monthly Levelized'!$G$5:$I$25,3,FALSE),P152),1)</f>
        <v>1</v>
      </c>
      <c r="Q153" s="226" t="str">
        <f t="shared" si="35"/>
        <v>-</v>
      </c>
      <c r="R153" s="223"/>
      <c r="S153" s="224"/>
      <c r="T153" s="224"/>
      <c r="U153" s="224"/>
      <c r="V153" s="224"/>
    </row>
    <row r="154" spans="2:22" hidden="1" outlineLevel="1" x14ac:dyDescent="0.25">
      <c r="B154" s="177">
        <f t="shared" si="33"/>
        <v>47757</v>
      </c>
      <c r="C154" s="171">
        <f>'[1]Table 5'!E154*P154</f>
        <v>0</v>
      </c>
      <c r="D154" s="172" t="str">
        <f>IFERROR(G154*IF(AND(C154&lt;0,OR(Shape_Annually="No",AND(Shape_Annually="Yes",Shape_Start&gt;YEAR(B154)))),'MWH-Split'!T147,'MWH-Split'!S147)*'MWH-Split'!U147,"")</f>
        <v/>
      </c>
      <c r="E154" s="173" t="str">
        <f>IFERROR(H154*IF(AND(C154&lt;0,OR(Shape_Annually="No",AND(Shape_Annually="Yes",Shape_Start&gt;YEAR(B154)))),'MWH-Split'!S147,'MWH-Split'!T147)*'MWH-Split'!U147,"")</f>
        <v/>
      </c>
      <c r="F154" s="172">
        <f>'[1]Table 5'!F154*P154</f>
        <v>0</v>
      </c>
      <c r="G154" s="172" t="str">
        <f>IF('MWH-Split'!N147&lt;&gt;0,'MWH-Split'!N147*P154,"")</f>
        <v/>
      </c>
      <c r="H154" s="173" t="str">
        <f>IF('MWH-Split'!O147&lt;&gt;0,'MWH-Split'!O147*P154,"")</f>
        <v/>
      </c>
      <c r="I154" s="174" t="str">
        <f t="shared" si="32"/>
        <v/>
      </c>
      <c r="J154" s="174" t="e">
        <f t="shared" si="27"/>
        <v>#VALUE!</v>
      </c>
      <c r="K154" s="175" t="e">
        <f t="shared" si="27"/>
        <v>#VALUE!</v>
      </c>
      <c r="M154" s="180">
        <f t="shared" si="34"/>
        <v>2030</v>
      </c>
      <c r="N154" s="177" t="str">
        <f t="shared" ref="N154:N217" si="36">IF(ISNUMBER(F154),IF(F154&lt;&gt;0,B154,""),"")</f>
        <v/>
      </c>
      <c r="P154" s="178">
        <f>IF('Monthly Levelized'!$K$5+'Monthly Levelized'!$L$5&lt;&gt;0,IFERROR(VLOOKUP(B154,'Monthly Levelized'!$G$5:$I$25,3,FALSE),P153),1)</f>
        <v>1</v>
      </c>
      <c r="Q154" s="226" t="str">
        <f t="shared" si="35"/>
        <v>-</v>
      </c>
      <c r="R154" s="223"/>
      <c r="S154" s="224"/>
      <c r="T154" s="224"/>
      <c r="U154" s="224"/>
      <c r="V154" s="224"/>
    </row>
    <row r="155" spans="2:22" hidden="1" outlineLevel="1" x14ac:dyDescent="0.25">
      <c r="B155" s="177">
        <f t="shared" si="33"/>
        <v>47788</v>
      </c>
      <c r="C155" s="171">
        <f>'[1]Table 5'!E155*P155</f>
        <v>0</v>
      </c>
      <c r="D155" s="172" t="str">
        <f>IFERROR(G155*IF(AND(C155&lt;0,OR(Shape_Annually="No",AND(Shape_Annually="Yes",Shape_Start&gt;YEAR(B155)))),'MWH-Split'!T148,'MWH-Split'!S148)*'MWH-Split'!U148,"")</f>
        <v/>
      </c>
      <c r="E155" s="173" t="str">
        <f>IFERROR(H155*IF(AND(C155&lt;0,OR(Shape_Annually="No",AND(Shape_Annually="Yes",Shape_Start&gt;YEAR(B155)))),'MWH-Split'!S148,'MWH-Split'!T148)*'MWH-Split'!U148,"")</f>
        <v/>
      </c>
      <c r="F155" s="172">
        <f>'[1]Table 5'!F155*P155</f>
        <v>0</v>
      </c>
      <c r="G155" s="172" t="str">
        <f>IF('MWH-Split'!N148&lt;&gt;0,'MWH-Split'!N148*P155,"")</f>
        <v/>
      </c>
      <c r="H155" s="173" t="str">
        <f>IF('MWH-Split'!O148&lt;&gt;0,'MWH-Split'!O148*P155,"")</f>
        <v/>
      </c>
      <c r="I155" s="174" t="str">
        <f t="shared" si="32"/>
        <v/>
      </c>
      <c r="J155" s="174" t="e">
        <f t="shared" si="27"/>
        <v>#VALUE!</v>
      </c>
      <c r="K155" s="175" t="e">
        <f t="shared" si="27"/>
        <v>#VALUE!</v>
      </c>
      <c r="M155" s="180">
        <f t="shared" si="34"/>
        <v>2030</v>
      </c>
      <c r="N155" s="177" t="str">
        <f t="shared" si="36"/>
        <v/>
      </c>
      <c r="P155" s="178">
        <f>IF('Monthly Levelized'!$K$5+'Monthly Levelized'!$L$5&lt;&gt;0,IFERROR(VLOOKUP(B155,'Monthly Levelized'!$G$5:$I$25,3,FALSE),P154),1)</f>
        <v>1</v>
      </c>
      <c r="Q155" s="226" t="str">
        <f t="shared" si="35"/>
        <v>-</v>
      </c>
      <c r="R155" s="223"/>
      <c r="S155" s="224"/>
      <c r="T155" s="224"/>
      <c r="U155" s="224"/>
      <c r="V155" s="224"/>
    </row>
    <row r="156" spans="2:22" hidden="1" outlineLevel="1" x14ac:dyDescent="0.25">
      <c r="B156" s="188">
        <f t="shared" si="33"/>
        <v>47818</v>
      </c>
      <c r="C156" s="182">
        <f>'[1]Table 5'!E156*P156</f>
        <v>0</v>
      </c>
      <c r="D156" s="183" t="str">
        <f>IFERROR(G156*IF(AND(C156&lt;0,OR(Shape_Annually="No",AND(Shape_Annually="Yes",Shape_Start&gt;YEAR(B156)))),'MWH-Split'!T149,'MWH-Split'!S149)*'MWH-Split'!U149,"")</f>
        <v/>
      </c>
      <c r="E156" s="184" t="str">
        <f>IFERROR(H156*IF(AND(C156&lt;0,OR(Shape_Annually="No",AND(Shape_Annually="Yes",Shape_Start&gt;YEAR(B156)))),'MWH-Split'!S149,'MWH-Split'!T149)*'MWH-Split'!U149,"")</f>
        <v/>
      </c>
      <c r="F156" s="183">
        <f>'[1]Table 5'!F156*P156</f>
        <v>0</v>
      </c>
      <c r="G156" s="183" t="str">
        <f>IF('MWH-Split'!N149&lt;&gt;0,'MWH-Split'!N149*P156,"")</f>
        <v/>
      </c>
      <c r="H156" s="184" t="str">
        <f>IF('MWH-Split'!O149&lt;&gt;0,'MWH-Split'!O149*P156,"")</f>
        <v/>
      </c>
      <c r="I156" s="185" t="str">
        <f t="shared" si="32"/>
        <v/>
      </c>
      <c r="J156" s="185" t="e">
        <f t="shared" si="27"/>
        <v>#VALUE!</v>
      </c>
      <c r="K156" s="186" t="e">
        <f t="shared" si="27"/>
        <v>#VALUE!</v>
      </c>
      <c r="M156" s="187">
        <f t="shared" si="34"/>
        <v>2030</v>
      </c>
      <c r="N156" s="188" t="str">
        <f t="shared" si="36"/>
        <v/>
      </c>
      <c r="P156" s="189">
        <f>IF('Monthly Levelized'!$K$5+'Monthly Levelized'!$L$5&lt;&gt;0,IFERROR(VLOOKUP(B156,'Monthly Levelized'!$G$5:$I$25,3,FALSE),P155),1)</f>
        <v>1</v>
      </c>
      <c r="Q156" s="226" t="str">
        <f t="shared" si="35"/>
        <v>-</v>
      </c>
      <c r="R156" s="223"/>
      <c r="S156" s="224"/>
      <c r="T156" s="224"/>
      <c r="U156" s="224"/>
      <c r="V156" s="224"/>
    </row>
    <row r="157" spans="2:22" hidden="1" outlineLevel="1" x14ac:dyDescent="0.25">
      <c r="B157" s="190">
        <f t="shared" si="33"/>
        <v>47849</v>
      </c>
      <c r="C157" s="191">
        <f>'[1]Table 5'!E157*P157</f>
        <v>0</v>
      </c>
      <c r="D157" s="192" t="str">
        <f>IFERROR(G157*IF(AND(C157&lt;0,OR(Shape_Annually="No",AND(Shape_Annually="Yes",Shape_Start&gt;YEAR(B157)))),'MWH-Split'!T150,'MWH-Split'!S150)*'MWH-Split'!U150,"")</f>
        <v/>
      </c>
      <c r="E157" s="193" t="str">
        <f>IFERROR(H157*IF(AND(C157&lt;0,OR(Shape_Annually="No",AND(Shape_Annually="Yes",Shape_Start&gt;YEAR(B157)))),'MWH-Split'!S150,'MWH-Split'!T150)*'MWH-Split'!U150,"")</f>
        <v/>
      </c>
      <c r="F157" s="192">
        <f>'[1]Table 5'!F157*P157</f>
        <v>0</v>
      </c>
      <c r="G157" s="192" t="str">
        <f>IF('MWH-Split'!N150&lt;&gt;0,'MWH-Split'!N150*P157,"")</f>
        <v/>
      </c>
      <c r="H157" s="193" t="str">
        <f>IF('MWH-Split'!O150&lt;&gt;0,'MWH-Split'!O150*P157,"")</f>
        <v/>
      </c>
      <c r="I157" s="194" t="str">
        <f t="shared" si="32"/>
        <v/>
      </c>
      <c r="J157" s="194" t="e">
        <f t="shared" si="27"/>
        <v>#VALUE!</v>
      </c>
      <c r="K157" s="195" t="e">
        <f t="shared" si="27"/>
        <v>#VALUE!</v>
      </c>
      <c r="M157" s="176">
        <f t="shared" si="34"/>
        <v>2031</v>
      </c>
      <c r="N157" s="177" t="str">
        <f t="shared" si="36"/>
        <v/>
      </c>
      <c r="P157" s="196">
        <f>IF('Monthly Levelized'!$K$5+'Monthly Levelized'!$L$5&lt;&gt;0,IFERROR(VLOOKUP(B157,'Monthly Levelized'!$G$5:$I$25,3,FALSE),P156),1)</f>
        <v>1</v>
      </c>
      <c r="Q157" s="226" t="str">
        <f t="shared" si="35"/>
        <v>-</v>
      </c>
      <c r="R157" s="223"/>
      <c r="S157" s="224"/>
      <c r="T157" s="224"/>
      <c r="U157" s="224"/>
      <c r="V157" s="224"/>
    </row>
    <row r="158" spans="2:22" hidden="1" outlineLevel="1" x14ac:dyDescent="0.25">
      <c r="B158" s="177">
        <f t="shared" si="33"/>
        <v>47880</v>
      </c>
      <c r="C158" s="171">
        <f>'[1]Table 5'!E158*P158</f>
        <v>0</v>
      </c>
      <c r="D158" s="172" t="str">
        <f>IFERROR(G158*IF(AND(C158&lt;0,OR(Shape_Annually="No",AND(Shape_Annually="Yes",Shape_Start&gt;YEAR(B158)))),'MWH-Split'!T151,'MWH-Split'!S151)*'MWH-Split'!U151,"")</f>
        <v/>
      </c>
      <c r="E158" s="173" t="str">
        <f>IFERROR(H158*IF(AND(C158&lt;0,OR(Shape_Annually="No",AND(Shape_Annually="Yes",Shape_Start&gt;YEAR(B158)))),'MWH-Split'!S151,'MWH-Split'!T151)*'MWH-Split'!U151,"")</f>
        <v/>
      </c>
      <c r="F158" s="172">
        <f>'[1]Table 5'!F158*P158</f>
        <v>0</v>
      </c>
      <c r="G158" s="172" t="str">
        <f>IF('MWH-Split'!N151&lt;&gt;0,'MWH-Split'!N151*P158,"")</f>
        <v/>
      </c>
      <c r="H158" s="173" t="str">
        <f>IF('MWH-Split'!O151&lt;&gt;0,'MWH-Split'!O151*P158,"")</f>
        <v/>
      </c>
      <c r="I158" s="174" t="str">
        <f t="shared" si="32"/>
        <v/>
      </c>
      <c r="J158" s="174" t="e">
        <f t="shared" si="27"/>
        <v>#VALUE!</v>
      </c>
      <c r="K158" s="175" t="e">
        <f t="shared" si="27"/>
        <v>#VALUE!</v>
      </c>
      <c r="M158" s="180">
        <f t="shared" si="34"/>
        <v>2031</v>
      </c>
      <c r="N158" s="177" t="str">
        <f t="shared" si="36"/>
        <v/>
      </c>
      <c r="P158" s="178">
        <f>IF('Monthly Levelized'!$K$5+'Monthly Levelized'!$L$5&lt;&gt;0,IFERROR(VLOOKUP(B158,'Monthly Levelized'!$G$5:$I$25,3,FALSE),P157),1)</f>
        <v>1</v>
      </c>
      <c r="Q158" s="226" t="str">
        <f t="shared" si="35"/>
        <v>-</v>
      </c>
      <c r="R158" s="223"/>
      <c r="S158" s="224"/>
      <c r="T158" s="224"/>
      <c r="U158" s="224"/>
      <c r="V158" s="224"/>
    </row>
    <row r="159" spans="2:22" hidden="1" outlineLevel="1" x14ac:dyDescent="0.25">
      <c r="B159" s="177">
        <f t="shared" si="33"/>
        <v>47908</v>
      </c>
      <c r="C159" s="171">
        <f>'[1]Table 5'!E159*P159</f>
        <v>0</v>
      </c>
      <c r="D159" s="172" t="str">
        <f>IFERROR(G159*IF(AND(C159&lt;0,OR(Shape_Annually="No",AND(Shape_Annually="Yes",Shape_Start&gt;YEAR(B159)))),'MWH-Split'!T152,'MWH-Split'!S152)*'MWH-Split'!U152,"")</f>
        <v/>
      </c>
      <c r="E159" s="173" t="str">
        <f>IFERROR(H159*IF(AND(C159&lt;0,OR(Shape_Annually="No",AND(Shape_Annually="Yes",Shape_Start&gt;YEAR(B159)))),'MWH-Split'!S152,'MWH-Split'!T152)*'MWH-Split'!U152,"")</f>
        <v/>
      </c>
      <c r="F159" s="172">
        <f>'[1]Table 5'!F159*P159</f>
        <v>0</v>
      </c>
      <c r="G159" s="172" t="str">
        <f>IF('MWH-Split'!N152&lt;&gt;0,'MWH-Split'!N152*P159,"")</f>
        <v/>
      </c>
      <c r="H159" s="173" t="str">
        <f>IF('MWH-Split'!O152&lt;&gt;0,'MWH-Split'!O152*P159,"")</f>
        <v/>
      </c>
      <c r="I159" s="174" t="str">
        <f t="shared" si="32"/>
        <v/>
      </c>
      <c r="J159" s="174" t="e">
        <f t="shared" si="27"/>
        <v>#VALUE!</v>
      </c>
      <c r="K159" s="175" t="e">
        <f t="shared" si="27"/>
        <v>#VALUE!</v>
      </c>
      <c r="M159" s="180">
        <f t="shared" si="34"/>
        <v>2031</v>
      </c>
      <c r="N159" s="177" t="str">
        <f t="shared" si="36"/>
        <v/>
      </c>
      <c r="P159" s="178">
        <f>IF('Monthly Levelized'!$K$5+'Monthly Levelized'!$L$5&lt;&gt;0,IFERROR(VLOOKUP(B159,'Monthly Levelized'!$G$5:$I$25,3,FALSE),P158),1)</f>
        <v>1</v>
      </c>
      <c r="Q159" s="226" t="str">
        <f t="shared" si="35"/>
        <v>-</v>
      </c>
      <c r="R159" s="223"/>
      <c r="S159" s="224"/>
      <c r="T159" s="224"/>
      <c r="U159" s="224"/>
      <c r="V159" s="224"/>
    </row>
    <row r="160" spans="2:22" hidden="1" outlineLevel="1" x14ac:dyDescent="0.25">
      <c r="B160" s="177">
        <f t="shared" si="33"/>
        <v>47939</v>
      </c>
      <c r="C160" s="171">
        <f>'[1]Table 5'!E160*P160</f>
        <v>0</v>
      </c>
      <c r="D160" s="172" t="str">
        <f>IFERROR(G160*IF(AND(C160&lt;0,OR(Shape_Annually="No",AND(Shape_Annually="Yes",Shape_Start&gt;YEAR(B160)))),'MWH-Split'!T153,'MWH-Split'!S153)*'MWH-Split'!U153,"")</f>
        <v/>
      </c>
      <c r="E160" s="173" t="str">
        <f>IFERROR(H160*IF(AND(C160&lt;0,OR(Shape_Annually="No",AND(Shape_Annually="Yes",Shape_Start&gt;YEAR(B160)))),'MWH-Split'!S153,'MWH-Split'!T153)*'MWH-Split'!U153,"")</f>
        <v/>
      </c>
      <c r="F160" s="172">
        <f>'[1]Table 5'!F160*P160</f>
        <v>0</v>
      </c>
      <c r="G160" s="172" t="str">
        <f>IF('MWH-Split'!N153&lt;&gt;0,'MWH-Split'!N153*P160,"")</f>
        <v/>
      </c>
      <c r="H160" s="173" t="str">
        <f>IF('MWH-Split'!O153&lt;&gt;0,'MWH-Split'!O153*P160,"")</f>
        <v/>
      </c>
      <c r="I160" s="174" t="str">
        <f t="shared" si="32"/>
        <v/>
      </c>
      <c r="J160" s="174" t="e">
        <f t="shared" si="27"/>
        <v>#VALUE!</v>
      </c>
      <c r="K160" s="175" t="e">
        <f t="shared" si="27"/>
        <v>#VALUE!</v>
      </c>
      <c r="M160" s="180">
        <f t="shared" si="34"/>
        <v>2031</v>
      </c>
      <c r="N160" s="177" t="str">
        <f t="shared" si="36"/>
        <v/>
      </c>
      <c r="P160" s="178">
        <f>IF('Monthly Levelized'!$K$5+'Monthly Levelized'!$L$5&lt;&gt;0,IFERROR(VLOOKUP(B160,'Monthly Levelized'!$G$5:$I$25,3,FALSE),P159),1)</f>
        <v>1</v>
      </c>
      <c r="Q160" s="226" t="str">
        <f t="shared" si="35"/>
        <v>-</v>
      </c>
      <c r="R160" s="223"/>
      <c r="S160" s="224"/>
      <c r="T160" s="224"/>
      <c r="U160" s="224"/>
      <c r="V160" s="224"/>
    </row>
    <row r="161" spans="2:22" hidden="1" outlineLevel="1" x14ac:dyDescent="0.25">
      <c r="B161" s="177">
        <f t="shared" si="33"/>
        <v>47969</v>
      </c>
      <c r="C161" s="171">
        <f>'[1]Table 5'!E161*P161</f>
        <v>0</v>
      </c>
      <c r="D161" s="172" t="str">
        <f>IFERROR(G161*IF(AND(C161&lt;0,OR(Shape_Annually="No",AND(Shape_Annually="Yes",Shape_Start&gt;YEAR(B161)))),'MWH-Split'!T154,'MWH-Split'!S154)*'MWH-Split'!U154,"")</f>
        <v/>
      </c>
      <c r="E161" s="173" t="str">
        <f>IFERROR(H161*IF(AND(C161&lt;0,OR(Shape_Annually="No",AND(Shape_Annually="Yes",Shape_Start&gt;YEAR(B161)))),'MWH-Split'!S154,'MWH-Split'!T154)*'MWH-Split'!U154,"")</f>
        <v/>
      </c>
      <c r="F161" s="172">
        <f>'[1]Table 5'!F161*P161</f>
        <v>0</v>
      </c>
      <c r="G161" s="172" t="str">
        <f>IF('MWH-Split'!N154&lt;&gt;0,'MWH-Split'!N154*P161,"")</f>
        <v/>
      </c>
      <c r="H161" s="173" t="str">
        <f>IF('MWH-Split'!O154&lt;&gt;0,'MWH-Split'!O154*P161,"")</f>
        <v/>
      </c>
      <c r="I161" s="174" t="str">
        <f t="shared" si="32"/>
        <v/>
      </c>
      <c r="J161" s="174" t="e">
        <f t="shared" si="27"/>
        <v>#VALUE!</v>
      </c>
      <c r="K161" s="175" t="e">
        <f t="shared" si="27"/>
        <v>#VALUE!</v>
      </c>
      <c r="M161" s="180">
        <f t="shared" si="34"/>
        <v>2031</v>
      </c>
      <c r="N161" s="177" t="str">
        <f t="shared" si="36"/>
        <v/>
      </c>
      <c r="P161" s="178">
        <f>IF('Monthly Levelized'!$K$5+'Monthly Levelized'!$L$5&lt;&gt;0,IFERROR(VLOOKUP(B161,'Monthly Levelized'!$G$5:$I$25,3,FALSE),P160),1)</f>
        <v>1</v>
      </c>
      <c r="Q161" s="226" t="str">
        <f t="shared" si="35"/>
        <v>-</v>
      </c>
      <c r="R161" s="223"/>
      <c r="S161" s="224"/>
      <c r="T161" s="224"/>
      <c r="U161" s="224"/>
      <c r="V161" s="224"/>
    </row>
    <row r="162" spans="2:22" hidden="1" outlineLevel="1" x14ac:dyDescent="0.25">
      <c r="B162" s="177">
        <f t="shared" si="33"/>
        <v>48000</v>
      </c>
      <c r="C162" s="171">
        <f>'[1]Table 5'!E162*P162</f>
        <v>0</v>
      </c>
      <c r="D162" s="172" t="str">
        <f>IFERROR(G162*IF(AND(C162&lt;0,OR(Shape_Annually="No",AND(Shape_Annually="Yes",Shape_Start&gt;YEAR(B162)))),'MWH-Split'!T155,'MWH-Split'!S155)*'MWH-Split'!U155,"")</f>
        <v/>
      </c>
      <c r="E162" s="173" t="str">
        <f>IFERROR(H162*IF(AND(C162&lt;0,OR(Shape_Annually="No",AND(Shape_Annually="Yes",Shape_Start&gt;YEAR(B162)))),'MWH-Split'!S155,'MWH-Split'!T155)*'MWH-Split'!U155,"")</f>
        <v/>
      </c>
      <c r="F162" s="172">
        <f>'[1]Table 5'!F162*P162</f>
        <v>0</v>
      </c>
      <c r="G162" s="172" t="str">
        <f>IF('MWH-Split'!N155&lt;&gt;0,'MWH-Split'!N155*P162,"")</f>
        <v/>
      </c>
      <c r="H162" s="173" t="str">
        <f>IF('MWH-Split'!O155&lt;&gt;0,'MWH-Split'!O155*P162,"")</f>
        <v/>
      </c>
      <c r="I162" s="174" t="str">
        <f t="shared" si="32"/>
        <v/>
      </c>
      <c r="J162" s="174" t="e">
        <f t="shared" si="27"/>
        <v>#VALUE!</v>
      </c>
      <c r="K162" s="175" t="e">
        <f t="shared" si="27"/>
        <v>#VALUE!</v>
      </c>
      <c r="M162" s="180">
        <f t="shared" si="34"/>
        <v>2031</v>
      </c>
      <c r="N162" s="177" t="str">
        <f t="shared" si="36"/>
        <v/>
      </c>
      <c r="P162" s="178">
        <f>IF('Monthly Levelized'!$K$5+'Monthly Levelized'!$L$5&lt;&gt;0,IFERROR(VLOOKUP(B162,'Monthly Levelized'!$G$5:$I$25,3,FALSE),P161),1)</f>
        <v>1</v>
      </c>
      <c r="Q162" s="226" t="str">
        <f t="shared" si="35"/>
        <v>-</v>
      </c>
      <c r="R162" s="223"/>
      <c r="S162" s="224"/>
      <c r="T162" s="224"/>
      <c r="U162" s="224"/>
      <c r="V162" s="224"/>
    </row>
    <row r="163" spans="2:22" hidden="1" outlineLevel="1" x14ac:dyDescent="0.25">
      <c r="B163" s="177">
        <f t="shared" si="33"/>
        <v>48030</v>
      </c>
      <c r="C163" s="171">
        <f>'[1]Table 5'!E163*P163</f>
        <v>0</v>
      </c>
      <c r="D163" s="172" t="str">
        <f>IFERROR(G163*IF(AND(C163&lt;0,OR(Shape_Annually="No",AND(Shape_Annually="Yes",Shape_Start&gt;YEAR(B163)))),'MWH-Split'!T156,'MWH-Split'!S156)*'MWH-Split'!U156,"")</f>
        <v/>
      </c>
      <c r="E163" s="173" t="str">
        <f>IFERROR(H163*IF(AND(C163&lt;0,OR(Shape_Annually="No",AND(Shape_Annually="Yes",Shape_Start&gt;YEAR(B163)))),'MWH-Split'!S156,'MWH-Split'!T156)*'MWH-Split'!U156,"")</f>
        <v/>
      </c>
      <c r="F163" s="172">
        <f>'[1]Table 5'!F163*P163</f>
        <v>0</v>
      </c>
      <c r="G163" s="172" t="str">
        <f>IF('MWH-Split'!N156&lt;&gt;0,'MWH-Split'!N156*P163,"")</f>
        <v/>
      </c>
      <c r="H163" s="173" t="str">
        <f>IF('MWH-Split'!O156&lt;&gt;0,'MWH-Split'!O156*P163,"")</f>
        <v/>
      </c>
      <c r="I163" s="174" t="str">
        <f t="shared" si="32"/>
        <v/>
      </c>
      <c r="J163" s="174" t="e">
        <f t="shared" ref="J163:K178" si="37">MAX(ROUND(IF(ISNUMBER(G163),D163/G163,""),2),0)</f>
        <v>#VALUE!</v>
      </c>
      <c r="K163" s="175" t="e">
        <f t="shared" si="37"/>
        <v>#VALUE!</v>
      </c>
      <c r="M163" s="180">
        <f t="shared" si="34"/>
        <v>2031</v>
      </c>
      <c r="N163" s="177" t="str">
        <f t="shared" si="36"/>
        <v/>
      </c>
      <c r="P163" s="178">
        <f>IF('Monthly Levelized'!$K$5+'Monthly Levelized'!$L$5&lt;&gt;0,IFERROR(VLOOKUP(B163,'Monthly Levelized'!$G$5:$I$25,3,FALSE),P162),1)</f>
        <v>1</v>
      </c>
      <c r="Q163" s="226" t="str">
        <f t="shared" si="35"/>
        <v>-</v>
      </c>
      <c r="R163" s="223"/>
      <c r="S163" s="224"/>
      <c r="T163" s="224"/>
      <c r="U163" s="224"/>
      <c r="V163" s="224"/>
    </row>
    <row r="164" spans="2:22" hidden="1" outlineLevel="1" x14ac:dyDescent="0.25">
      <c r="B164" s="177">
        <f t="shared" si="33"/>
        <v>48061</v>
      </c>
      <c r="C164" s="171">
        <f>'[1]Table 5'!E164*P164</f>
        <v>0</v>
      </c>
      <c r="D164" s="172" t="str">
        <f>IFERROR(G164*IF(AND(C164&lt;0,OR(Shape_Annually="No",AND(Shape_Annually="Yes",Shape_Start&gt;YEAR(B164)))),'MWH-Split'!T157,'MWH-Split'!S157)*'MWH-Split'!U157,"")</f>
        <v/>
      </c>
      <c r="E164" s="173" t="str">
        <f>IFERROR(H164*IF(AND(C164&lt;0,OR(Shape_Annually="No",AND(Shape_Annually="Yes",Shape_Start&gt;YEAR(B164)))),'MWH-Split'!S157,'MWH-Split'!T157)*'MWH-Split'!U157,"")</f>
        <v/>
      </c>
      <c r="F164" s="172">
        <f>'[1]Table 5'!F164*P164</f>
        <v>0</v>
      </c>
      <c r="G164" s="172" t="str">
        <f>IF('MWH-Split'!N157&lt;&gt;0,'MWH-Split'!N157*P164,"")</f>
        <v/>
      </c>
      <c r="H164" s="173" t="str">
        <f>IF('MWH-Split'!O157&lt;&gt;0,'MWH-Split'!O157*P164,"")</f>
        <v/>
      </c>
      <c r="I164" s="174" t="str">
        <f t="shared" si="32"/>
        <v/>
      </c>
      <c r="J164" s="174" t="e">
        <f t="shared" si="37"/>
        <v>#VALUE!</v>
      </c>
      <c r="K164" s="175" t="e">
        <f t="shared" si="37"/>
        <v>#VALUE!</v>
      </c>
      <c r="M164" s="180">
        <f t="shared" si="34"/>
        <v>2031</v>
      </c>
      <c r="N164" s="177" t="str">
        <f t="shared" si="36"/>
        <v/>
      </c>
      <c r="P164" s="178">
        <f>IF('Monthly Levelized'!$K$5+'Monthly Levelized'!$L$5&lt;&gt;0,IFERROR(VLOOKUP(B164,'Monthly Levelized'!$G$5:$I$25,3,FALSE),P163),1)</f>
        <v>1</v>
      </c>
      <c r="Q164" s="226" t="str">
        <f t="shared" si="35"/>
        <v>-</v>
      </c>
      <c r="R164" s="223"/>
      <c r="S164" s="224"/>
      <c r="T164" s="224"/>
      <c r="U164" s="224"/>
      <c r="V164" s="224"/>
    </row>
    <row r="165" spans="2:22" hidden="1" outlineLevel="1" x14ac:dyDescent="0.25">
      <c r="B165" s="177">
        <f t="shared" si="33"/>
        <v>48092</v>
      </c>
      <c r="C165" s="171">
        <f>'[1]Table 5'!E165*P165</f>
        <v>0</v>
      </c>
      <c r="D165" s="172" t="str">
        <f>IFERROR(G165*IF(AND(C165&lt;0,OR(Shape_Annually="No",AND(Shape_Annually="Yes",Shape_Start&gt;YEAR(B165)))),'MWH-Split'!T158,'MWH-Split'!S158)*'MWH-Split'!U158,"")</f>
        <v/>
      </c>
      <c r="E165" s="173" t="str">
        <f>IFERROR(H165*IF(AND(C165&lt;0,OR(Shape_Annually="No",AND(Shape_Annually="Yes",Shape_Start&gt;YEAR(B165)))),'MWH-Split'!S158,'MWH-Split'!T158)*'MWH-Split'!U158,"")</f>
        <v/>
      </c>
      <c r="F165" s="172">
        <f>'[1]Table 5'!F165*P165</f>
        <v>0</v>
      </c>
      <c r="G165" s="172" t="str">
        <f>IF('MWH-Split'!N158&lt;&gt;0,'MWH-Split'!N158*P165,"")</f>
        <v/>
      </c>
      <c r="H165" s="173" t="str">
        <f>IF('MWH-Split'!O158&lt;&gt;0,'MWH-Split'!O158*P165,"")</f>
        <v/>
      </c>
      <c r="I165" s="174" t="str">
        <f t="shared" si="32"/>
        <v/>
      </c>
      <c r="J165" s="174" t="e">
        <f t="shared" si="37"/>
        <v>#VALUE!</v>
      </c>
      <c r="K165" s="175" t="e">
        <f t="shared" si="37"/>
        <v>#VALUE!</v>
      </c>
      <c r="M165" s="180">
        <f t="shared" si="34"/>
        <v>2031</v>
      </c>
      <c r="N165" s="177" t="str">
        <f t="shared" si="36"/>
        <v/>
      </c>
      <c r="P165" s="178">
        <f>IF('Monthly Levelized'!$K$5+'Monthly Levelized'!$L$5&lt;&gt;0,IFERROR(VLOOKUP(B165,'Monthly Levelized'!$G$5:$I$25,3,FALSE),P164),1)</f>
        <v>1</v>
      </c>
      <c r="Q165" s="226" t="str">
        <f t="shared" si="35"/>
        <v>-</v>
      </c>
      <c r="R165" s="223"/>
      <c r="S165" s="224"/>
      <c r="T165" s="224"/>
      <c r="U165" s="224"/>
      <c r="V165" s="224"/>
    </row>
    <row r="166" spans="2:22" hidden="1" outlineLevel="1" x14ac:dyDescent="0.25">
      <c r="B166" s="177">
        <f t="shared" si="33"/>
        <v>48122</v>
      </c>
      <c r="C166" s="171">
        <f>'[1]Table 5'!E166*P166</f>
        <v>0</v>
      </c>
      <c r="D166" s="172" t="str">
        <f>IFERROR(G166*IF(AND(C166&lt;0,OR(Shape_Annually="No",AND(Shape_Annually="Yes",Shape_Start&gt;YEAR(B166)))),'MWH-Split'!T159,'MWH-Split'!S159)*'MWH-Split'!U159,"")</f>
        <v/>
      </c>
      <c r="E166" s="173" t="str">
        <f>IFERROR(H166*IF(AND(C166&lt;0,OR(Shape_Annually="No",AND(Shape_Annually="Yes",Shape_Start&gt;YEAR(B166)))),'MWH-Split'!S159,'MWH-Split'!T159)*'MWH-Split'!U159,"")</f>
        <v/>
      </c>
      <c r="F166" s="172">
        <f>'[1]Table 5'!F166*P166</f>
        <v>0</v>
      </c>
      <c r="G166" s="172" t="str">
        <f>IF('MWH-Split'!N159&lt;&gt;0,'MWH-Split'!N159*P166,"")</f>
        <v/>
      </c>
      <c r="H166" s="173" t="str">
        <f>IF('MWH-Split'!O159&lt;&gt;0,'MWH-Split'!O159*P166,"")</f>
        <v/>
      </c>
      <c r="I166" s="174" t="str">
        <f t="shared" si="32"/>
        <v/>
      </c>
      <c r="J166" s="174" t="e">
        <f t="shared" si="37"/>
        <v>#VALUE!</v>
      </c>
      <c r="K166" s="175" t="e">
        <f t="shared" si="37"/>
        <v>#VALUE!</v>
      </c>
      <c r="M166" s="180">
        <f t="shared" si="34"/>
        <v>2031</v>
      </c>
      <c r="N166" s="177" t="str">
        <f t="shared" si="36"/>
        <v/>
      </c>
      <c r="P166" s="178">
        <f>IF('Monthly Levelized'!$K$5+'Monthly Levelized'!$L$5&lt;&gt;0,IFERROR(VLOOKUP(B166,'Monthly Levelized'!$G$5:$I$25,3,FALSE),P165),1)</f>
        <v>1</v>
      </c>
      <c r="Q166" s="226" t="str">
        <f t="shared" si="35"/>
        <v>-</v>
      </c>
      <c r="R166" s="223"/>
      <c r="S166" s="224"/>
      <c r="T166" s="224"/>
      <c r="U166" s="224"/>
      <c r="V166" s="224"/>
    </row>
    <row r="167" spans="2:22" hidden="1" outlineLevel="1" x14ac:dyDescent="0.25">
      <c r="B167" s="177">
        <f t="shared" si="33"/>
        <v>48153</v>
      </c>
      <c r="C167" s="171">
        <f>'[1]Table 5'!E167*P167</f>
        <v>0</v>
      </c>
      <c r="D167" s="172" t="str">
        <f>IFERROR(G167*IF(AND(C167&lt;0,OR(Shape_Annually="No",AND(Shape_Annually="Yes",Shape_Start&gt;YEAR(B167)))),'MWH-Split'!T160,'MWH-Split'!S160)*'MWH-Split'!U160,"")</f>
        <v/>
      </c>
      <c r="E167" s="173" t="str">
        <f>IFERROR(H167*IF(AND(C167&lt;0,OR(Shape_Annually="No",AND(Shape_Annually="Yes",Shape_Start&gt;YEAR(B167)))),'MWH-Split'!S160,'MWH-Split'!T160)*'MWH-Split'!U160,"")</f>
        <v/>
      </c>
      <c r="F167" s="172">
        <f>'[1]Table 5'!F167*P167</f>
        <v>0</v>
      </c>
      <c r="G167" s="172" t="str">
        <f>IF('MWH-Split'!N160&lt;&gt;0,'MWH-Split'!N160*P167,"")</f>
        <v/>
      </c>
      <c r="H167" s="173" t="str">
        <f>IF('MWH-Split'!O160&lt;&gt;0,'MWH-Split'!O160*P167,"")</f>
        <v/>
      </c>
      <c r="I167" s="174" t="str">
        <f t="shared" si="32"/>
        <v/>
      </c>
      <c r="J167" s="174" t="e">
        <f t="shared" si="37"/>
        <v>#VALUE!</v>
      </c>
      <c r="K167" s="175" t="e">
        <f t="shared" si="37"/>
        <v>#VALUE!</v>
      </c>
      <c r="M167" s="180">
        <f t="shared" si="34"/>
        <v>2031</v>
      </c>
      <c r="N167" s="177" t="str">
        <f t="shared" si="36"/>
        <v/>
      </c>
      <c r="P167" s="178">
        <f>IF('Monthly Levelized'!$K$5+'Monthly Levelized'!$L$5&lt;&gt;0,IFERROR(VLOOKUP(B167,'Monthly Levelized'!$G$5:$I$25,3,FALSE),P166),1)</f>
        <v>1</v>
      </c>
      <c r="Q167" s="226" t="str">
        <f t="shared" si="35"/>
        <v>-</v>
      </c>
      <c r="R167" s="223"/>
      <c r="S167" s="224"/>
      <c r="T167" s="224"/>
      <c r="U167" s="224"/>
      <c r="V167" s="224"/>
    </row>
    <row r="168" spans="2:22" hidden="1" outlineLevel="1" x14ac:dyDescent="0.25">
      <c r="B168" s="188">
        <f t="shared" si="33"/>
        <v>48183</v>
      </c>
      <c r="C168" s="182">
        <f>'[1]Table 5'!E168*P168</f>
        <v>0</v>
      </c>
      <c r="D168" s="183" t="str">
        <f>IFERROR(G168*IF(AND(C168&lt;0,OR(Shape_Annually="No",AND(Shape_Annually="Yes",Shape_Start&gt;YEAR(B168)))),'MWH-Split'!T161,'MWH-Split'!S161)*'MWH-Split'!U161,"")</f>
        <v/>
      </c>
      <c r="E168" s="184" t="str">
        <f>IFERROR(H168*IF(AND(C168&lt;0,OR(Shape_Annually="No",AND(Shape_Annually="Yes",Shape_Start&gt;YEAR(B168)))),'MWH-Split'!S161,'MWH-Split'!T161)*'MWH-Split'!U161,"")</f>
        <v/>
      </c>
      <c r="F168" s="183">
        <f>'[1]Table 5'!F168*P168</f>
        <v>0</v>
      </c>
      <c r="G168" s="183" t="str">
        <f>IF('MWH-Split'!N161&lt;&gt;0,'MWH-Split'!N161*P168,"")</f>
        <v/>
      </c>
      <c r="H168" s="184" t="str">
        <f>IF('MWH-Split'!O161&lt;&gt;0,'MWH-Split'!O161*P168,"")</f>
        <v/>
      </c>
      <c r="I168" s="185" t="str">
        <f t="shared" si="32"/>
        <v/>
      </c>
      <c r="J168" s="185" t="e">
        <f t="shared" si="37"/>
        <v>#VALUE!</v>
      </c>
      <c r="K168" s="186" t="e">
        <f t="shared" si="37"/>
        <v>#VALUE!</v>
      </c>
      <c r="M168" s="187">
        <f t="shared" si="34"/>
        <v>2031</v>
      </c>
      <c r="N168" s="188" t="str">
        <f t="shared" si="36"/>
        <v/>
      </c>
      <c r="P168" s="189">
        <f>IF('Monthly Levelized'!$K$5+'Monthly Levelized'!$L$5&lt;&gt;0,IFERROR(VLOOKUP(B168,'Monthly Levelized'!$G$5:$I$25,3,FALSE),P167),1)</f>
        <v>1</v>
      </c>
      <c r="Q168" s="226" t="str">
        <f t="shared" si="35"/>
        <v>-</v>
      </c>
      <c r="R168" s="223"/>
      <c r="S168" s="224"/>
      <c r="T168" s="224"/>
      <c r="U168" s="224"/>
      <c r="V168" s="224"/>
    </row>
    <row r="169" spans="2:22" hidden="1" outlineLevel="1" x14ac:dyDescent="0.25">
      <c r="B169" s="190">
        <f t="shared" si="33"/>
        <v>48214</v>
      </c>
      <c r="C169" s="191">
        <f>'[1]Table 5'!E169*P169</f>
        <v>0</v>
      </c>
      <c r="D169" s="192" t="str">
        <f>IFERROR(G169*IF(AND(C169&lt;0,OR(Shape_Annually="No",AND(Shape_Annually="Yes",Shape_Start&gt;YEAR(B169)))),'MWH-Split'!T162,'MWH-Split'!S162)*'MWH-Split'!U162,"")</f>
        <v/>
      </c>
      <c r="E169" s="193" t="str">
        <f>IFERROR(H169*IF(AND(C169&lt;0,OR(Shape_Annually="No",AND(Shape_Annually="Yes",Shape_Start&gt;YEAR(B169)))),'MWH-Split'!S162,'MWH-Split'!T162)*'MWH-Split'!U162,"")</f>
        <v/>
      </c>
      <c r="F169" s="192">
        <f>'[1]Table 5'!F169*P169</f>
        <v>0</v>
      </c>
      <c r="G169" s="192" t="str">
        <f>IF('MWH-Split'!N162&lt;&gt;0,'MWH-Split'!N162*P169,"")</f>
        <v/>
      </c>
      <c r="H169" s="193" t="str">
        <f>IF('MWH-Split'!O162&lt;&gt;0,'MWH-Split'!O162*P169,"")</f>
        <v/>
      </c>
      <c r="I169" s="194" t="str">
        <f t="shared" si="32"/>
        <v/>
      </c>
      <c r="J169" s="194" t="e">
        <f t="shared" si="37"/>
        <v>#VALUE!</v>
      </c>
      <c r="K169" s="195" t="e">
        <f t="shared" si="37"/>
        <v>#VALUE!</v>
      </c>
      <c r="M169" s="176">
        <f t="shared" si="34"/>
        <v>2032</v>
      </c>
      <c r="N169" s="177" t="str">
        <f t="shared" si="36"/>
        <v/>
      </c>
      <c r="P169" s="196">
        <f>IF('Monthly Levelized'!$K$5+'Monthly Levelized'!$L$5&lt;&gt;0,IFERROR(VLOOKUP(B169,'Monthly Levelized'!$G$5:$I$25,3,FALSE),P168),1)</f>
        <v>1</v>
      </c>
      <c r="Q169" s="226" t="str">
        <f t="shared" si="35"/>
        <v>-</v>
      </c>
      <c r="R169" s="223"/>
      <c r="S169" s="224"/>
      <c r="T169" s="224"/>
      <c r="U169" s="224"/>
      <c r="V169" s="224"/>
    </row>
    <row r="170" spans="2:22" hidden="1" outlineLevel="1" x14ac:dyDescent="0.25">
      <c r="B170" s="177">
        <f t="shared" si="33"/>
        <v>48245</v>
      </c>
      <c r="C170" s="171">
        <f>'[1]Table 5'!E170*P170</f>
        <v>0</v>
      </c>
      <c r="D170" s="172" t="str">
        <f>IFERROR(G170*IF(AND(C170&lt;0,OR(Shape_Annually="No",AND(Shape_Annually="Yes",Shape_Start&gt;YEAR(B170)))),'MWH-Split'!T163,'MWH-Split'!S163)*'MWH-Split'!U163,"")</f>
        <v/>
      </c>
      <c r="E170" s="173" t="str">
        <f>IFERROR(H170*IF(AND(C170&lt;0,OR(Shape_Annually="No",AND(Shape_Annually="Yes",Shape_Start&gt;YEAR(B170)))),'MWH-Split'!S163,'MWH-Split'!T163)*'MWH-Split'!U163,"")</f>
        <v/>
      </c>
      <c r="F170" s="172">
        <f>'[1]Table 5'!F170*P170</f>
        <v>0</v>
      </c>
      <c r="G170" s="172" t="str">
        <f>IF('MWH-Split'!N163&lt;&gt;0,'MWH-Split'!N163*P170,"")</f>
        <v/>
      </c>
      <c r="H170" s="173" t="str">
        <f>IF('MWH-Split'!O163&lt;&gt;0,'MWH-Split'!O163*P170,"")</f>
        <v/>
      </c>
      <c r="I170" s="174" t="str">
        <f t="shared" si="32"/>
        <v/>
      </c>
      <c r="J170" s="174" t="e">
        <f t="shared" si="37"/>
        <v>#VALUE!</v>
      </c>
      <c r="K170" s="175" t="e">
        <f t="shared" si="37"/>
        <v>#VALUE!</v>
      </c>
      <c r="M170" s="180">
        <f t="shared" si="34"/>
        <v>2032</v>
      </c>
      <c r="N170" s="177" t="str">
        <f t="shared" si="36"/>
        <v/>
      </c>
      <c r="P170" s="178">
        <f>IF('Monthly Levelized'!$K$5+'Monthly Levelized'!$L$5&lt;&gt;0,IFERROR(VLOOKUP(B170,'Monthly Levelized'!$G$5:$I$25,3,FALSE),P169),1)</f>
        <v>1</v>
      </c>
      <c r="Q170" s="226" t="str">
        <f t="shared" si="35"/>
        <v>-</v>
      </c>
      <c r="R170" s="223"/>
      <c r="S170" s="224"/>
      <c r="T170" s="224"/>
      <c r="U170" s="224"/>
      <c r="V170" s="224"/>
    </row>
    <row r="171" spans="2:22" hidden="1" outlineLevel="1" x14ac:dyDescent="0.25">
      <c r="B171" s="177">
        <f t="shared" si="33"/>
        <v>48274</v>
      </c>
      <c r="C171" s="171">
        <f>'[1]Table 5'!E171*P171</f>
        <v>0</v>
      </c>
      <c r="D171" s="172" t="str">
        <f>IFERROR(G171*IF(AND(C171&lt;0,OR(Shape_Annually="No",AND(Shape_Annually="Yes",Shape_Start&gt;YEAR(B171)))),'MWH-Split'!T164,'MWH-Split'!S164)*'MWH-Split'!U164,"")</f>
        <v/>
      </c>
      <c r="E171" s="173" t="str">
        <f>IFERROR(H171*IF(AND(C171&lt;0,OR(Shape_Annually="No",AND(Shape_Annually="Yes",Shape_Start&gt;YEAR(B171)))),'MWH-Split'!S164,'MWH-Split'!T164)*'MWH-Split'!U164,"")</f>
        <v/>
      </c>
      <c r="F171" s="172">
        <f>'[1]Table 5'!F171*P171</f>
        <v>0</v>
      </c>
      <c r="G171" s="172" t="str">
        <f>IF('MWH-Split'!N164&lt;&gt;0,'MWH-Split'!N164*P171,"")</f>
        <v/>
      </c>
      <c r="H171" s="173" t="str">
        <f>IF('MWH-Split'!O164&lt;&gt;0,'MWH-Split'!O164*P171,"")</f>
        <v/>
      </c>
      <c r="I171" s="174" t="str">
        <f t="shared" si="32"/>
        <v/>
      </c>
      <c r="J171" s="174" t="e">
        <f t="shared" si="37"/>
        <v>#VALUE!</v>
      </c>
      <c r="K171" s="175" t="e">
        <f t="shared" si="37"/>
        <v>#VALUE!</v>
      </c>
      <c r="M171" s="180">
        <f t="shared" si="34"/>
        <v>2032</v>
      </c>
      <c r="N171" s="177" t="str">
        <f t="shared" si="36"/>
        <v/>
      </c>
      <c r="P171" s="178">
        <f>IF('Monthly Levelized'!$K$5+'Monthly Levelized'!$L$5&lt;&gt;0,IFERROR(VLOOKUP(B171,'Monthly Levelized'!$G$5:$I$25,3,FALSE),P170),1)</f>
        <v>1</v>
      </c>
      <c r="Q171" s="226" t="str">
        <f t="shared" si="35"/>
        <v>-</v>
      </c>
      <c r="R171" s="223"/>
      <c r="S171" s="224"/>
      <c r="T171" s="224"/>
      <c r="U171" s="224"/>
      <c r="V171" s="224"/>
    </row>
    <row r="172" spans="2:22" hidden="1" outlineLevel="1" x14ac:dyDescent="0.25">
      <c r="B172" s="177">
        <f t="shared" si="33"/>
        <v>48305</v>
      </c>
      <c r="C172" s="171">
        <f>'[1]Table 5'!E172*P172</f>
        <v>0</v>
      </c>
      <c r="D172" s="172" t="str">
        <f>IFERROR(G172*IF(AND(C172&lt;0,OR(Shape_Annually="No",AND(Shape_Annually="Yes",Shape_Start&gt;YEAR(B172)))),'MWH-Split'!T165,'MWH-Split'!S165)*'MWH-Split'!U165,"")</f>
        <v/>
      </c>
      <c r="E172" s="173" t="str">
        <f>IFERROR(H172*IF(AND(C172&lt;0,OR(Shape_Annually="No",AND(Shape_Annually="Yes",Shape_Start&gt;YEAR(B172)))),'MWH-Split'!S165,'MWH-Split'!T165)*'MWH-Split'!U165,"")</f>
        <v/>
      </c>
      <c r="F172" s="172">
        <f>'[1]Table 5'!F172*P172</f>
        <v>0</v>
      </c>
      <c r="G172" s="172" t="str">
        <f>IF('MWH-Split'!N165&lt;&gt;0,'MWH-Split'!N165*P172,"")</f>
        <v/>
      </c>
      <c r="H172" s="173" t="str">
        <f>IF('MWH-Split'!O165&lt;&gt;0,'MWH-Split'!O165*P172,"")</f>
        <v/>
      </c>
      <c r="I172" s="174" t="str">
        <f t="shared" si="32"/>
        <v/>
      </c>
      <c r="J172" s="174" t="e">
        <f t="shared" si="37"/>
        <v>#VALUE!</v>
      </c>
      <c r="K172" s="175" t="e">
        <f t="shared" si="37"/>
        <v>#VALUE!</v>
      </c>
      <c r="M172" s="180">
        <f t="shared" si="34"/>
        <v>2032</v>
      </c>
      <c r="N172" s="177" t="str">
        <f t="shared" si="36"/>
        <v/>
      </c>
      <c r="P172" s="178">
        <f>IF('Monthly Levelized'!$K$5+'Monthly Levelized'!$L$5&lt;&gt;0,IFERROR(VLOOKUP(B172,'Monthly Levelized'!$G$5:$I$25,3,FALSE),P171),1)</f>
        <v>1</v>
      </c>
      <c r="Q172" s="226" t="str">
        <f t="shared" si="35"/>
        <v>-</v>
      </c>
      <c r="R172" s="223"/>
      <c r="S172" s="224"/>
      <c r="T172" s="224"/>
      <c r="U172" s="224"/>
      <c r="V172" s="224"/>
    </row>
    <row r="173" spans="2:22" hidden="1" outlineLevel="1" x14ac:dyDescent="0.25">
      <c r="B173" s="177">
        <f t="shared" si="33"/>
        <v>48335</v>
      </c>
      <c r="C173" s="171">
        <f>'[1]Table 5'!E173*P173</f>
        <v>0</v>
      </c>
      <c r="D173" s="172" t="str">
        <f>IFERROR(G173*IF(AND(C173&lt;0,OR(Shape_Annually="No",AND(Shape_Annually="Yes",Shape_Start&gt;YEAR(B173)))),'MWH-Split'!T166,'MWH-Split'!S166)*'MWH-Split'!U166,"")</f>
        <v/>
      </c>
      <c r="E173" s="173" t="str">
        <f>IFERROR(H173*IF(AND(C173&lt;0,OR(Shape_Annually="No",AND(Shape_Annually="Yes",Shape_Start&gt;YEAR(B173)))),'MWH-Split'!S166,'MWH-Split'!T166)*'MWH-Split'!U166,"")</f>
        <v/>
      </c>
      <c r="F173" s="172">
        <f>'[1]Table 5'!F173*P173</f>
        <v>0</v>
      </c>
      <c r="G173" s="172" t="str">
        <f>IF('MWH-Split'!N166&lt;&gt;0,'MWH-Split'!N166*P173,"")</f>
        <v/>
      </c>
      <c r="H173" s="173" t="str">
        <f>IF('MWH-Split'!O166&lt;&gt;0,'MWH-Split'!O166*P173,"")</f>
        <v/>
      </c>
      <c r="I173" s="174" t="str">
        <f t="shared" si="32"/>
        <v/>
      </c>
      <c r="J173" s="174" t="e">
        <f t="shared" si="37"/>
        <v>#VALUE!</v>
      </c>
      <c r="K173" s="175" t="e">
        <f t="shared" si="37"/>
        <v>#VALUE!</v>
      </c>
      <c r="M173" s="180">
        <f t="shared" si="34"/>
        <v>2032</v>
      </c>
      <c r="N173" s="177" t="str">
        <f t="shared" si="36"/>
        <v/>
      </c>
      <c r="P173" s="178">
        <f>IF('Monthly Levelized'!$K$5+'Monthly Levelized'!$L$5&lt;&gt;0,IFERROR(VLOOKUP(B173,'Monthly Levelized'!$G$5:$I$25,3,FALSE),P172),1)</f>
        <v>1</v>
      </c>
      <c r="Q173" s="226" t="str">
        <f t="shared" si="35"/>
        <v>-</v>
      </c>
      <c r="R173" s="223"/>
      <c r="S173" s="224"/>
      <c r="T173" s="224"/>
      <c r="U173" s="224"/>
      <c r="V173" s="224"/>
    </row>
    <row r="174" spans="2:22" hidden="1" outlineLevel="1" x14ac:dyDescent="0.25">
      <c r="B174" s="177">
        <f t="shared" si="33"/>
        <v>48366</v>
      </c>
      <c r="C174" s="171">
        <f>'[1]Table 5'!E174*P174</f>
        <v>0</v>
      </c>
      <c r="D174" s="172" t="str">
        <f>IFERROR(G174*IF(AND(C174&lt;0,OR(Shape_Annually="No",AND(Shape_Annually="Yes",Shape_Start&gt;YEAR(B174)))),'MWH-Split'!T167,'MWH-Split'!S167)*'MWH-Split'!U167,"")</f>
        <v/>
      </c>
      <c r="E174" s="173" t="str">
        <f>IFERROR(H174*IF(AND(C174&lt;0,OR(Shape_Annually="No",AND(Shape_Annually="Yes",Shape_Start&gt;YEAR(B174)))),'MWH-Split'!S167,'MWH-Split'!T167)*'MWH-Split'!U167,"")</f>
        <v/>
      </c>
      <c r="F174" s="172">
        <f>'[1]Table 5'!F174*P174</f>
        <v>0</v>
      </c>
      <c r="G174" s="172" t="str">
        <f>IF('MWH-Split'!N167&lt;&gt;0,'MWH-Split'!N167*P174,"")</f>
        <v/>
      </c>
      <c r="H174" s="173" t="str">
        <f>IF('MWH-Split'!O167&lt;&gt;0,'MWH-Split'!O167*P174,"")</f>
        <v/>
      </c>
      <c r="I174" s="174" t="str">
        <f t="shared" si="32"/>
        <v/>
      </c>
      <c r="J174" s="174" t="e">
        <f t="shared" si="37"/>
        <v>#VALUE!</v>
      </c>
      <c r="K174" s="175" t="e">
        <f t="shared" si="37"/>
        <v>#VALUE!</v>
      </c>
      <c r="M174" s="180">
        <f t="shared" si="34"/>
        <v>2032</v>
      </c>
      <c r="N174" s="177" t="str">
        <f t="shared" si="36"/>
        <v/>
      </c>
      <c r="P174" s="178">
        <f>IF('Monthly Levelized'!$K$5+'Monthly Levelized'!$L$5&lt;&gt;0,IFERROR(VLOOKUP(B174,'Monthly Levelized'!$G$5:$I$25,3,FALSE),P173),1)</f>
        <v>1</v>
      </c>
      <c r="Q174" s="226" t="str">
        <f t="shared" si="35"/>
        <v>-</v>
      </c>
      <c r="R174" s="223"/>
      <c r="S174" s="224"/>
      <c r="T174" s="224"/>
      <c r="U174" s="224"/>
      <c r="V174" s="224"/>
    </row>
    <row r="175" spans="2:22" hidden="1" outlineLevel="1" x14ac:dyDescent="0.25">
      <c r="B175" s="177">
        <f t="shared" si="33"/>
        <v>48396</v>
      </c>
      <c r="C175" s="171">
        <f>'[1]Table 5'!E175*P175</f>
        <v>0</v>
      </c>
      <c r="D175" s="172" t="str">
        <f>IFERROR(G175*IF(AND(C175&lt;0,OR(Shape_Annually="No",AND(Shape_Annually="Yes",Shape_Start&gt;YEAR(B175)))),'MWH-Split'!T168,'MWH-Split'!S168)*'MWH-Split'!U168,"")</f>
        <v/>
      </c>
      <c r="E175" s="173" t="str">
        <f>IFERROR(H175*IF(AND(C175&lt;0,OR(Shape_Annually="No",AND(Shape_Annually="Yes",Shape_Start&gt;YEAR(B175)))),'MWH-Split'!S168,'MWH-Split'!T168)*'MWH-Split'!U168,"")</f>
        <v/>
      </c>
      <c r="F175" s="172">
        <f>'[1]Table 5'!F175*P175</f>
        <v>0</v>
      </c>
      <c r="G175" s="172" t="str">
        <f>IF('MWH-Split'!N168&lt;&gt;0,'MWH-Split'!N168*P175,"")</f>
        <v/>
      </c>
      <c r="H175" s="173" t="str">
        <f>IF('MWH-Split'!O168&lt;&gt;0,'MWH-Split'!O168*P175,"")</f>
        <v/>
      </c>
      <c r="I175" s="174" t="str">
        <f t="shared" si="32"/>
        <v/>
      </c>
      <c r="J175" s="174" t="e">
        <f t="shared" si="37"/>
        <v>#VALUE!</v>
      </c>
      <c r="K175" s="175" t="e">
        <f t="shared" si="37"/>
        <v>#VALUE!</v>
      </c>
      <c r="M175" s="180">
        <f t="shared" si="34"/>
        <v>2032</v>
      </c>
      <c r="N175" s="177" t="str">
        <f t="shared" si="36"/>
        <v/>
      </c>
      <c r="P175" s="178">
        <f>IF('Monthly Levelized'!$K$5+'Monthly Levelized'!$L$5&lt;&gt;0,IFERROR(VLOOKUP(B175,'Monthly Levelized'!$G$5:$I$25,3,FALSE),P174),1)</f>
        <v>1</v>
      </c>
      <c r="Q175" s="226" t="str">
        <f t="shared" si="35"/>
        <v>-</v>
      </c>
      <c r="R175" s="223"/>
      <c r="S175" s="224"/>
      <c r="T175" s="224"/>
      <c r="U175" s="224"/>
      <c r="V175" s="224"/>
    </row>
    <row r="176" spans="2:22" hidden="1" outlineLevel="1" x14ac:dyDescent="0.25">
      <c r="B176" s="177">
        <f t="shared" si="33"/>
        <v>48427</v>
      </c>
      <c r="C176" s="171">
        <f>'[1]Table 5'!E176*P176</f>
        <v>0</v>
      </c>
      <c r="D176" s="172" t="str">
        <f>IFERROR(G176*IF(AND(C176&lt;0,OR(Shape_Annually="No",AND(Shape_Annually="Yes",Shape_Start&gt;YEAR(B176)))),'MWH-Split'!T169,'MWH-Split'!S169)*'MWH-Split'!U169,"")</f>
        <v/>
      </c>
      <c r="E176" s="173" t="str">
        <f>IFERROR(H176*IF(AND(C176&lt;0,OR(Shape_Annually="No",AND(Shape_Annually="Yes",Shape_Start&gt;YEAR(B176)))),'MWH-Split'!S169,'MWH-Split'!T169)*'MWH-Split'!U169,"")</f>
        <v/>
      </c>
      <c r="F176" s="172">
        <f>'[1]Table 5'!F176*P176</f>
        <v>0</v>
      </c>
      <c r="G176" s="172" t="str">
        <f>IF('MWH-Split'!N169&lt;&gt;0,'MWH-Split'!N169*P176,"")</f>
        <v/>
      </c>
      <c r="H176" s="173" t="str">
        <f>IF('MWH-Split'!O169&lt;&gt;0,'MWH-Split'!O169*P176,"")</f>
        <v/>
      </c>
      <c r="I176" s="174" t="str">
        <f t="shared" si="32"/>
        <v/>
      </c>
      <c r="J176" s="174" t="e">
        <f t="shared" si="37"/>
        <v>#VALUE!</v>
      </c>
      <c r="K176" s="175" t="e">
        <f t="shared" si="37"/>
        <v>#VALUE!</v>
      </c>
      <c r="M176" s="180">
        <f t="shared" si="34"/>
        <v>2032</v>
      </c>
      <c r="N176" s="177" t="str">
        <f t="shared" si="36"/>
        <v/>
      </c>
      <c r="P176" s="178">
        <f>IF('Monthly Levelized'!$K$5+'Monthly Levelized'!$L$5&lt;&gt;0,IFERROR(VLOOKUP(B176,'Monthly Levelized'!$G$5:$I$25,3,FALSE),P175),1)</f>
        <v>1</v>
      </c>
      <c r="Q176" s="226" t="str">
        <f t="shared" si="35"/>
        <v>-</v>
      </c>
      <c r="R176" s="223"/>
      <c r="S176" s="224"/>
      <c r="T176" s="224"/>
      <c r="U176" s="224"/>
      <c r="V176" s="224"/>
    </row>
    <row r="177" spans="2:22" hidden="1" outlineLevel="1" x14ac:dyDescent="0.25">
      <c r="B177" s="177">
        <f t="shared" si="33"/>
        <v>48458</v>
      </c>
      <c r="C177" s="171">
        <f>'[1]Table 5'!E177*P177</f>
        <v>0</v>
      </c>
      <c r="D177" s="172" t="str">
        <f>IFERROR(G177*IF(AND(C177&lt;0,OR(Shape_Annually="No",AND(Shape_Annually="Yes",Shape_Start&gt;YEAR(B177)))),'MWH-Split'!T170,'MWH-Split'!S170)*'MWH-Split'!U170,"")</f>
        <v/>
      </c>
      <c r="E177" s="173" t="str">
        <f>IFERROR(H177*IF(AND(C177&lt;0,OR(Shape_Annually="No",AND(Shape_Annually="Yes",Shape_Start&gt;YEAR(B177)))),'MWH-Split'!S170,'MWH-Split'!T170)*'MWH-Split'!U170,"")</f>
        <v/>
      </c>
      <c r="F177" s="172">
        <f>'[1]Table 5'!F177*P177</f>
        <v>0</v>
      </c>
      <c r="G177" s="172" t="str">
        <f>IF('MWH-Split'!N170&lt;&gt;0,'MWH-Split'!N170*P177,"")</f>
        <v/>
      </c>
      <c r="H177" s="173" t="str">
        <f>IF('MWH-Split'!O170&lt;&gt;0,'MWH-Split'!O170*P177,"")</f>
        <v/>
      </c>
      <c r="I177" s="174" t="str">
        <f t="shared" si="32"/>
        <v/>
      </c>
      <c r="J177" s="174" t="e">
        <f t="shared" si="37"/>
        <v>#VALUE!</v>
      </c>
      <c r="K177" s="175" t="e">
        <f t="shared" si="37"/>
        <v>#VALUE!</v>
      </c>
      <c r="M177" s="180">
        <f t="shared" si="34"/>
        <v>2032</v>
      </c>
      <c r="N177" s="177" t="str">
        <f t="shared" si="36"/>
        <v/>
      </c>
      <c r="P177" s="178">
        <f>IF('Monthly Levelized'!$K$5+'Monthly Levelized'!$L$5&lt;&gt;0,IFERROR(VLOOKUP(B177,'Monthly Levelized'!$G$5:$I$25,3,FALSE),P176),1)</f>
        <v>1</v>
      </c>
      <c r="Q177" s="226" t="str">
        <f t="shared" si="35"/>
        <v>-</v>
      </c>
      <c r="R177" s="223"/>
      <c r="S177" s="224"/>
      <c r="T177" s="224"/>
      <c r="U177" s="224"/>
      <c r="V177" s="224"/>
    </row>
    <row r="178" spans="2:22" hidden="1" outlineLevel="1" x14ac:dyDescent="0.25">
      <c r="B178" s="177">
        <f t="shared" si="33"/>
        <v>48488</v>
      </c>
      <c r="C178" s="171">
        <f>'[1]Table 5'!E178*P178</f>
        <v>0</v>
      </c>
      <c r="D178" s="172" t="str">
        <f>IFERROR(G178*IF(AND(C178&lt;0,OR(Shape_Annually="No",AND(Shape_Annually="Yes",Shape_Start&gt;YEAR(B178)))),'MWH-Split'!T171,'MWH-Split'!S171)*'MWH-Split'!U171,"")</f>
        <v/>
      </c>
      <c r="E178" s="173" t="str">
        <f>IFERROR(H178*IF(AND(C178&lt;0,OR(Shape_Annually="No",AND(Shape_Annually="Yes",Shape_Start&gt;YEAR(B178)))),'MWH-Split'!S171,'MWH-Split'!T171)*'MWH-Split'!U171,"")</f>
        <v/>
      </c>
      <c r="F178" s="172">
        <f>'[1]Table 5'!F178*P178</f>
        <v>0</v>
      </c>
      <c r="G178" s="172" t="str">
        <f>IF('MWH-Split'!N171&lt;&gt;0,'MWH-Split'!N171*P178,"")</f>
        <v/>
      </c>
      <c r="H178" s="173" t="str">
        <f>IF('MWH-Split'!O171&lt;&gt;0,'MWH-Split'!O171*P178,"")</f>
        <v/>
      </c>
      <c r="I178" s="174" t="str">
        <f t="shared" si="32"/>
        <v/>
      </c>
      <c r="J178" s="174" t="e">
        <f t="shared" si="37"/>
        <v>#VALUE!</v>
      </c>
      <c r="K178" s="175" t="e">
        <f t="shared" si="37"/>
        <v>#VALUE!</v>
      </c>
      <c r="M178" s="180">
        <f t="shared" si="34"/>
        <v>2032</v>
      </c>
      <c r="N178" s="177" t="str">
        <f t="shared" si="36"/>
        <v/>
      </c>
      <c r="P178" s="178">
        <f>IF('Monthly Levelized'!$K$5+'Monthly Levelized'!$L$5&lt;&gt;0,IFERROR(VLOOKUP(B178,'Monthly Levelized'!$G$5:$I$25,3,FALSE),P177),1)</f>
        <v>1</v>
      </c>
      <c r="Q178" s="226" t="str">
        <f t="shared" si="35"/>
        <v>-</v>
      </c>
      <c r="R178" s="223"/>
      <c r="S178" s="224"/>
      <c r="T178" s="224"/>
      <c r="U178" s="224"/>
      <c r="V178" s="224"/>
    </row>
    <row r="179" spans="2:22" hidden="1" outlineLevel="1" x14ac:dyDescent="0.25">
      <c r="B179" s="177">
        <f t="shared" si="33"/>
        <v>48519</v>
      </c>
      <c r="C179" s="171">
        <f>'[1]Table 5'!E179*P179</f>
        <v>0</v>
      </c>
      <c r="D179" s="172" t="str">
        <f>IFERROR(G179*IF(AND(C179&lt;0,OR(Shape_Annually="No",AND(Shape_Annually="Yes",Shape_Start&gt;YEAR(B179)))),'MWH-Split'!T172,'MWH-Split'!S172)*'MWH-Split'!U172,"")</f>
        <v/>
      </c>
      <c r="E179" s="173" t="str">
        <f>IFERROR(H179*IF(AND(C179&lt;0,OR(Shape_Annually="No",AND(Shape_Annually="Yes",Shape_Start&gt;YEAR(B179)))),'MWH-Split'!S172,'MWH-Split'!T172)*'MWH-Split'!U172,"")</f>
        <v/>
      </c>
      <c r="F179" s="172">
        <f>'[1]Table 5'!F179*P179</f>
        <v>0</v>
      </c>
      <c r="G179" s="172" t="str">
        <f>IF('MWH-Split'!N172&lt;&gt;0,'MWH-Split'!N172*P179,"")</f>
        <v/>
      </c>
      <c r="H179" s="173" t="str">
        <f>IF('MWH-Split'!O172&lt;&gt;0,'MWH-Split'!O172*P179,"")</f>
        <v/>
      </c>
      <c r="I179" s="174" t="str">
        <f t="shared" si="32"/>
        <v/>
      </c>
      <c r="J179" s="174" t="e">
        <f t="shared" ref="J179:K192" si="38">MAX(ROUND(IF(ISNUMBER(G179),D179/G179,""),2),0)</f>
        <v>#VALUE!</v>
      </c>
      <c r="K179" s="175" t="e">
        <f t="shared" si="38"/>
        <v>#VALUE!</v>
      </c>
      <c r="M179" s="180">
        <f t="shared" si="34"/>
        <v>2032</v>
      </c>
      <c r="N179" s="177" t="str">
        <f t="shared" si="36"/>
        <v/>
      </c>
      <c r="P179" s="178">
        <f>IF('Monthly Levelized'!$K$5+'Monthly Levelized'!$L$5&lt;&gt;0,IFERROR(VLOOKUP(B179,'Monthly Levelized'!$G$5:$I$25,3,FALSE),P178),1)</f>
        <v>1</v>
      </c>
      <c r="Q179" s="226" t="str">
        <f t="shared" si="35"/>
        <v>-</v>
      </c>
      <c r="R179" s="223"/>
      <c r="S179" s="224"/>
      <c r="T179" s="224"/>
      <c r="U179" s="224"/>
      <c r="V179" s="224"/>
    </row>
    <row r="180" spans="2:22" hidden="1" outlineLevel="1" x14ac:dyDescent="0.25">
      <c r="B180" s="188">
        <f t="shared" si="33"/>
        <v>48549</v>
      </c>
      <c r="C180" s="182">
        <f>'[1]Table 5'!E180*P180</f>
        <v>0</v>
      </c>
      <c r="D180" s="172" t="str">
        <f>IFERROR(G180*IF(AND(C180&lt;0,OR(Shape_Annually="No",AND(Shape_Annually="Yes",Shape_Start&gt;YEAR(B180)))),'MWH-Split'!T173,'MWH-Split'!S173)*'MWH-Split'!U173,"")</f>
        <v/>
      </c>
      <c r="E180" s="173" t="str">
        <f>IFERROR(H180*IF(AND(C180&lt;0,OR(Shape_Annually="No",AND(Shape_Annually="Yes",Shape_Start&gt;YEAR(B180)))),'MWH-Split'!S173,'MWH-Split'!T173)*'MWH-Split'!U173,"")</f>
        <v/>
      </c>
      <c r="F180" s="183">
        <f>'[1]Table 5'!F180*P180</f>
        <v>0</v>
      </c>
      <c r="G180" s="172" t="str">
        <f>IF('MWH-Split'!N173&lt;&gt;0,'MWH-Split'!N173*P180,"")</f>
        <v/>
      </c>
      <c r="H180" s="173" t="str">
        <f>IF('MWH-Split'!O173&lt;&gt;0,'MWH-Split'!O173*P180,"")</f>
        <v/>
      </c>
      <c r="I180" s="185" t="str">
        <f t="shared" si="32"/>
        <v/>
      </c>
      <c r="J180" s="185" t="e">
        <f t="shared" si="38"/>
        <v>#VALUE!</v>
      </c>
      <c r="K180" s="186" t="e">
        <f t="shared" si="38"/>
        <v>#VALUE!</v>
      </c>
      <c r="M180" s="187">
        <f t="shared" si="34"/>
        <v>2032</v>
      </c>
      <c r="N180" s="188" t="str">
        <f t="shared" si="36"/>
        <v/>
      </c>
      <c r="P180" s="189">
        <f>IF('Monthly Levelized'!$K$5+'Monthly Levelized'!$L$5&lt;&gt;0,IFERROR(VLOOKUP(B180,'Monthly Levelized'!$G$5:$I$25,3,FALSE),P179),1)</f>
        <v>1</v>
      </c>
      <c r="Q180" s="226" t="str">
        <f t="shared" si="35"/>
        <v>-</v>
      </c>
      <c r="R180" s="223"/>
      <c r="S180" s="224"/>
      <c r="T180" s="224"/>
      <c r="U180" s="224"/>
      <c r="V180" s="224"/>
    </row>
    <row r="181" spans="2:22" hidden="1" outlineLevel="1" x14ac:dyDescent="0.25">
      <c r="B181" s="190">
        <f t="shared" si="33"/>
        <v>48580</v>
      </c>
      <c r="C181" s="191">
        <f>'[1]Table 5'!E181*P181</f>
        <v>0</v>
      </c>
      <c r="D181" s="172" t="str">
        <f>IFERROR(G181*IF(AND(C181&lt;0,OR(Shape_Annually="No",AND(Shape_Annually="Yes",Shape_Start&gt;YEAR(B181)))),'MWH-Split'!T174,'MWH-Split'!S174)*'MWH-Split'!U174,"")</f>
        <v/>
      </c>
      <c r="E181" s="173" t="str">
        <f>IFERROR(H181*IF(AND(C181&lt;0,OR(Shape_Annually="No",AND(Shape_Annually="Yes",Shape_Start&gt;YEAR(B181)))),'MWH-Split'!S174,'MWH-Split'!T174)*'MWH-Split'!U174,"")</f>
        <v/>
      </c>
      <c r="F181" s="192">
        <f>'[1]Table 5'!F181*P181</f>
        <v>0</v>
      </c>
      <c r="G181" s="172" t="str">
        <f>IF('MWH-Split'!N174&lt;&gt;0,'MWH-Split'!N174*P181,"")</f>
        <v/>
      </c>
      <c r="H181" s="173" t="str">
        <f>IF('MWH-Split'!O174&lt;&gt;0,'MWH-Split'!O174*P181,"")</f>
        <v/>
      </c>
      <c r="I181" s="194" t="str">
        <f t="shared" si="32"/>
        <v/>
      </c>
      <c r="J181" s="194" t="e">
        <f t="shared" si="38"/>
        <v>#VALUE!</v>
      </c>
      <c r="K181" s="195" t="e">
        <f t="shared" si="38"/>
        <v>#VALUE!</v>
      </c>
      <c r="M181" s="176">
        <f t="shared" si="34"/>
        <v>2033</v>
      </c>
      <c r="N181" s="177" t="str">
        <f t="shared" si="36"/>
        <v/>
      </c>
      <c r="P181" s="196">
        <f>IF('Monthly Levelized'!$K$5+'Monthly Levelized'!$L$5&lt;&gt;0,IFERROR(VLOOKUP(B181,'Monthly Levelized'!$G$5:$I$25,3,FALSE),P180),1)</f>
        <v>1</v>
      </c>
      <c r="Q181" s="226" t="str">
        <f t="shared" si="35"/>
        <v>-</v>
      </c>
      <c r="R181" s="223"/>
      <c r="S181" s="224"/>
      <c r="T181" s="224"/>
      <c r="U181" s="224"/>
      <c r="V181" s="224"/>
    </row>
    <row r="182" spans="2:22" hidden="1" outlineLevel="1" x14ac:dyDescent="0.25">
      <c r="B182" s="177">
        <f t="shared" si="33"/>
        <v>48611</v>
      </c>
      <c r="C182" s="171">
        <f>'[1]Table 5'!E182*P182</f>
        <v>0</v>
      </c>
      <c r="D182" s="172" t="str">
        <f>IFERROR(G182*IF(AND(C182&lt;0,OR(Shape_Annually="No",AND(Shape_Annually="Yes",Shape_Start&gt;YEAR(B182)))),'MWH-Split'!T175,'MWH-Split'!S175)*'MWH-Split'!U175,"")</f>
        <v/>
      </c>
      <c r="E182" s="173" t="str">
        <f>IFERROR(H182*IF(AND(C182&lt;0,OR(Shape_Annually="No",AND(Shape_Annually="Yes",Shape_Start&gt;YEAR(B182)))),'MWH-Split'!S175,'MWH-Split'!T175)*'MWH-Split'!U175,"")</f>
        <v/>
      </c>
      <c r="F182" s="172">
        <f>'[1]Table 5'!F182*P182</f>
        <v>0</v>
      </c>
      <c r="G182" s="172" t="str">
        <f>IF('MWH-Split'!N175&lt;&gt;0,'MWH-Split'!N175*P182,"")</f>
        <v/>
      </c>
      <c r="H182" s="173" t="str">
        <f>IF('MWH-Split'!O175&lt;&gt;0,'MWH-Split'!O175*P182,"")</f>
        <v/>
      </c>
      <c r="I182" s="174" t="str">
        <f t="shared" si="32"/>
        <v/>
      </c>
      <c r="J182" s="174" t="e">
        <f t="shared" si="38"/>
        <v>#VALUE!</v>
      </c>
      <c r="K182" s="175" t="e">
        <f t="shared" si="38"/>
        <v>#VALUE!</v>
      </c>
      <c r="M182" s="180">
        <f t="shared" si="34"/>
        <v>2033</v>
      </c>
      <c r="N182" s="177" t="str">
        <f t="shared" si="36"/>
        <v/>
      </c>
      <c r="P182" s="178">
        <f>IF('Monthly Levelized'!$K$5+'Monthly Levelized'!$L$5&lt;&gt;0,IFERROR(VLOOKUP(B182,'Monthly Levelized'!$G$5:$I$25,3,FALSE),P181),1)</f>
        <v>1</v>
      </c>
      <c r="Q182" s="226" t="str">
        <f t="shared" si="35"/>
        <v>-</v>
      </c>
      <c r="R182" s="223"/>
      <c r="S182" s="224"/>
      <c r="T182" s="224"/>
      <c r="U182" s="224"/>
      <c r="V182" s="224"/>
    </row>
    <row r="183" spans="2:22" hidden="1" outlineLevel="1" x14ac:dyDescent="0.25">
      <c r="B183" s="177">
        <f t="shared" si="33"/>
        <v>48639</v>
      </c>
      <c r="C183" s="171">
        <f>'[1]Table 5'!E183*P183</f>
        <v>0</v>
      </c>
      <c r="D183" s="172" t="str">
        <f>IFERROR(G183*IF(AND(C183&lt;0,OR(Shape_Annually="No",AND(Shape_Annually="Yes",Shape_Start&gt;YEAR(B183)))),'MWH-Split'!T176,'MWH-Split'!S176)*'MWH-Split'!U176,"")</f>
        <v/>
      </c>
      <c r="E183" s="173" t="str">
        <f>IFERROR(H183*IF(AND(C183&lt;0,OR(Shape_Annually="No",AND(Shape_Annually="Yes",Shape_Start&gt;YEAR(B183)))),'MWH-Split'!S176,'MWH-Split'!T176)*'MWH-Split'!U176,"")</f>
        <v/>
      </c>
      <c r="F183" s="172">
        <f>'[1]Table 5'!F183*P183</f>
        <v>0</v>
      </c>
      <c r="G183" s="172" t="str">
        <f>IF('MWH-Split'!N176&lt;&gt;0,'MWH-Split'!N176*P183,"")</f>
        <v/>
      </c>
      <c r="H183" s="173" t="str">
        <f>IF('MWH-Split'!O176&lt;&gt;0,'MWH-Split'!O176*P183,"")</f>
        <v/>
      </c>
      <c r="I183" s="174" t="str">
        <f t="shared" si="32"/>
        <v/>
      </c>
      <c r="J183" s="174" t="e">
        <f t="shared" si="38"/>
        <v>#VALUE!</v>
      </c>
      <c r="K183" s="175" t="e">
        <f t="shared" si="38"/>
        <v>#VALUE!</v>
      </c>
      <c r="M183" s="180">
        <f t="shared" si="34"/>
        <v>2033</v>
      </c>
      <c r="N183" s="177" t="str">
        <f t="shared" si="36"/>
        <v/>
      </c>
      <c r="P183" s="178">
        <f>IF('Monthly Levelized'!$K$5+'Monthly Levelized'!$L$5&lt;&gt;0,IFERROR(VLOOKUP(B183,'Monthly Levelized'!$G$5:$I$25,3,FALSE),P182),1)</f>
        <v>1</v>
      </c>
      <c r="Q183" s="226" t="str">
        <f t="shared" si="35"/>
        <v>-</v>
      </c>
      <c r="R183" s="223"/>
      <c r="S183" s="224"/>
      <c r="T183" s="224"/>
      <c r="U183" s="224"/>
      <c r="V183" s="224"/>
    </row>
    <row r="184" spans="2:22" hidden="1" outlineLevel="1" x14ac:dyDescent="0.25">
      <c r="B184" s="177">
        <f t="shared" si="33"/>
        <v>48670</v>
      </c>
      <c r="C184" s="171">
        <f>'[1]Table 5'!E184*P184</f>
        <v>0</v>
      </c>
      <c r="D184" s="172" t="str">
        <f>IFERROR(G184*IF(AND(C184&lt;0,OR(Shape_Annually="No",AND(Shape_Annually="Yes",Shape_Start&gt;YEAR(B184)))),'MWH-Split'!T177,'MWH-Split'!S177)*'MWH-Split'!U177,"")</f>
        <v/>
      </c>
      <c r="E184" s="173" t="str">
        <f>IFERROR(H184*IF(AND(C184&lt;0,OR(Shape_Annually="No",AND(Shape_Annually="Yes",Shape_Start&gt;YEAR(B184)))),'MWH-Split'!S177,'MWH-Split'!T177)*'MWH-Split'!U177,"")</f>
        <v/>
      </c>
      <c r="F184" s="172">
        <f>'[1]Table 5'!F184*P184</f>
        <v>0</v>
      </c>
      <c r="G184" s="172" t="str">
        <f>IF('MWH-Split'!N177&lt;&gt;0,'MWH-Split'!N177*P184,"")</f>
        <v/>
      </c>
      <c r="H184" s="173" t="str">
        <f>IF('MWH-Split'!O177&lt;&gt;0,'MWH-Split'!O177*P184,"")</f>
        <v/>
      </c>
      <c r="I184" s="174" t="str">
        <f t="shared" si="32"/>
        <v/>
      </c>
      <c r="J184" s="174" t="e">
        <f t="shared" si="38"/>
        <v>#VALUE!</v>
      </c>
      <c r="K184" s="175" t="e">
        <f t="shared" si="38"/>
        <v>#VALUE!</v>
      </c>
      <c r="M184" s="180">
        <f t="shared" si="34"/>
        <v>2033</v>
      </c>
      <c r="N184" s="177" t="str">
        <f t="shared" si="36"/>
        <v/>
      </c>
      <c r="P184" s="178">
        <f>IF('Monthly Levelized'!$K$5+'Monthly Levelized'!$L$5&lt;&gt;0,IFERROR(VLOOKUP(B184,'Monthly Levelized'!$G$5:$I$25,3,FALSE),P183),1)</f>
        <v>1</v>
      </c>
      <c r="Q184" s="226" t="str">
        <f t="shared" si="35"/>
        <v>-</v>
      </c>
      <c r="R184" s="223"/>
      <c r="S184" s="224"/>
      <c r="T184" s="224"/>
      <c r="U184" s="224"/>
      <c r="V184" s="224"/>
    </row>
    <row r="185" spans="2:22" hidden="1" outlineLevel="1" x14ac:dyDescent="0.25">
      <c r="B185" s="177">
        <f t="shared" si="33"/>
        <v>48700</v>
      </c>
      <c r="C185" s="171">
        <f>'[1]Table 5'!E185*P185</f>
        <v>0</v>
      </c>
      <c r="D185" s="172" t="str">
        <f>IFERROR(G185*IF(AND(C185&lt;0,OR(Shape_Annually="No",AND(Shape_Annually="Yes",Shape_Start&gt;YEAR(B185)))),'MWH-Split'!T178,'MWH-Split'!S178)*'MWH-Split'!U178,"")</f>
        <v/>
      </c>
      <c r="E185" s="173" t="str">
        <f>IFERROR(H185*IF(AND(C185&lt;0,OR(Shape_Annually="No",AND(Shape_Annually="Yes",Shape_Start&gt;YEAR(B185)))),'MWH-Split'!S178,'MWH-Split'!T178)*'MWH-Split'!U178,"")</f>
        <v/>
      </c>
      <c r="F185" s="172">
        <f>'[1]Table 5'!F185*P185</f>
        <v>0</v>
      </c>
      <c r="G185" s="172" t="str">
        <f>IF('MWH-Split'!N178&lt;&gt;0,'MWH-Split'!N178*P185,"")</f>
        <v/>
      </c>
      <c r="H185" s="173" t="str">
        <f>IF('MWH-Split'!O178&lt;&gt;0,'MWH-Split'!O178*P185,"")</f>
        <v/>
      </c>
      <c r="I185" s="174" t="str">
        <f t="shared" si="32"/>
        <v/>
      </c>
      <c r="J185" s="174" t="e">
        <f t="shared" si="38"/>
        <v>#VALUE!</v>
      </c>
      <c r="K185" s="175" t="e">
        <f t="shared" si="38"/>
        <v>#VALUE!</v>
      </c>
      <c r="M185" s="180">
        <f t="shared" si="34"/>
        <v>2033</v>
      </c>
      <c r="N185" s="177" t="str">
        <f t="shared" si="36"/>
        <v/>
      </c>
      <c r="P185" s="178">
        <f>IF('Monthly Levelized'!$K$5+'Monthly Levelized'!$L$5&lt;&gt;0,IFERROR(VLOOKUP(B185,'Monthly Levelized'!$G$5:$I$25,3,FALSE),P184),1)</f>
        <v>1</v>
      </c>
      <c r="Q185" s="226" t="str">
        <f t="shared" si="35"/>
        <v>-</v>
      </c>
      <c r="R185" s="223"/>
      <c r="S185" s="224"/>
      <c r="T185" s="224"/>
      <c r="U185" s="224"/>
      <c r="V185" s="224"/>
    </row>
    <row r="186" spans="2:22" hidden="1" outlineLevel="1" x14ac:dyDescent="0.25">
      <c r="B186" s="177">
        <f t="shared" si="33"/>
        <v>48731</v>
      </c>
      <c r="C186" s="171">
        <f>'[1]Table 5'!E186*P186</f>
        <v>0</v>
      </c>
      <c r="D186" s="172" t="str">
        <f>IFERROR(G186*IF(AND(C186&lt;0,OR(Shape_Annually="No",AND(Shape_Annually="Yes",Shape_Start&gt;YEAR(B186)))),'MWH-Split'!T179,'MWH-Split'!S179)*'MWH-Split'!U179,"")</f>
        <v/>
      </c>
      <c r="E186" s="173" t="str">
        <f>IFERROR(H186*IF(AND(C186&lt;0,OR(Shape_Annually="No",AND(Shape_Annually="Yes",Shape_Start&gt;YEAR(B186)))),'MWH-Split'!S179,'MWH-Split'!T179)*'MWH-Split'!U179,"")</f>
        <v/>
      </c>
      <c r="F186" s="172">
        <f>'[1]Table 5'!F186*P186</f>
        <v>0</v>
      </c>
      <c r="G186" s="172" t="str">
        <f>IF('MWH-Split'!N179&lt;&gt;0,'MWH-Split'!N179*P186,"")</f>
        <v/>
      </c>
      <c r="H186" s="173" t="str">
        <f>IF('MWH-Split'!O179&lt;&gt;0,'MWH-Split'!O179*P186,"")</f>
        <v/>
      </c>
      <c r="I186" s="174" t="str">
        <f t="shared" si="32"/>
        <v/>
      </c>
      <c r="J186" s="174" t="e">
        <f t="shared" si="38"/>
        <v>#VALUE!</v>
      </c>
      <c r="K186" s="175" t="e">
        <f t="shared" si="38"/>
        <v>#VALUE!</v>
      </c>
      <c r="M186" s="180">
        <f t="shared" si="34"/>
        <v>2033</v>
      </c>
      <c r="N186" s="177" t="str">
        <f t="shared" si="36"/>
        <v/>
      </c>
      <c r="P186" s="178">
        <f>IF('Monthly Levelized'!$K$5+'Monthly Levelized'!$L$5&lt;&gt;0,IFERROR(VLOOKUP(B186,'Monthly Levelized'!$G$5:$I$25,3,FALSE),P185),1)</f>
        <v>1</v>
      </c>
      <c r="Q186" s="226" t="str">
        <f t="shared" si="35"/>
        <v>-</v>
      </c>
      <c r="R186" s="223"/>
      <c r="S186" s="224"/>
      <c r="T186" s="224"/>
      <c r="U186" s="224"/>
      <c r="V186" s="224"/>
    </row>
    <row r="187" spans="2:22" hidden="1" outlineLevel="1" x14ac:dyDescent="0.25">
      <c r="B187" s="177">
        <f t="shared" si="33"/>
        <v>48761</v>
      </c>
      <c r="C187" s="171">
        <f>'[1]Table 5'!E187*P187</f>
        <v>0</v>
      </c>
      <c r="D187" s="172" t="str">
        <f>IFERROR(G187*IF(AND(C187&lt;0,OR(Shape_Annually="No",AND(Shape_Annually="Yes",Shape_Start&gt;YEAR(B187)))),'MWH-Split'!T180,'MWH-Split'!S180)*'MWH-Split'!U180,"")</f>
        <v/>
      </c>
      <c r="E187" s="173" t="str">
        <f>IFERROR(H187*IF(AND(C187&lt;0,OR(Shape_Annually="No",AND(Shape_Annually="Yes",Shape_Start&gt;YEAR(B187)))),'MWH-Split'!S180,'MWH-Split'!T180)*'MWH-Split'!U180,"")</f>
        <v/>
      </c>
      <c r="F187" s="172">
        <f>'[1]Table 5'!F187*P187</f>
        <v>0</v>
      </c>
      <c r="G187" s="172" t="str">
        <f>IF('MWH-Split'!N180&lt;&gt;0,'MWH-Split'!N180*P187,"")</f>
        <v/>
      </c>
      <c r="H187" s="173" t="str">
        <f>IF('MWH-Split'!O180&lt;&gt;0,'MWH-Split'!O180*P187,"")</f>
        <v/>
      </c>
      <c r="I187" s="174" t="str">
        <f t="shared" si="32"/>
        <v/>
      </c>
      <c r="J187" s="174" t="e">
        <f t="shared" si="38"/>
        <v>#VALUE!</v>
      </c>
      <c r="K187" s="175" t="e">
        <f t="shared" si="38"/>
        <v>#VALUE!</v>
      </c>
      <c r="M187" s="180">
        <f t="shared" si="34"/>
        <v>2033</v>
      </c>
      <c r="N187" s="177" t="str">
        <f t="shared" si="36"/>
        <v/>
      </c>
      <c r="P187" s="178">
        <f>IF('Monthly Levelized'!$K$5+'Monthly Levelized'!$L$5&lt;&gt;0,IFERROR(VLOOKUP(B187,'Monthly Levelized'!$G$5:$I$25,3,FALSE),P186),1)</f>
        <v>1</v>
      </c>
      <c r="Q187" s="226" t="str">
        <f t="shared" si="35"/>
        <v>-</v>
      </c>
      <c r="R187" s="223"/>
      <c r="S187" s="224"/>
      <c r="T187" s="224"/>
      <c r="U187" s="224"/>
      <c r="V187" s="224"/>
    </row>
    <row r="188" spans="2:22" hidden="1" outlineLevel="1" x14ac:dyDescent="0.25">
      <c r="B188" s="177">
        <f t="shared" si="33"/>
        <v>48792</v>
      </c>
      <c r="C188" s="171">
        <f>'[1]Table 5'!E188*P188</f>
        <v>0</v>
      </c>
      <c r="D188" s="172" t="str">
        <f>IFERROR(G188*IF(AND(C188&lt;0,OR(Shape_Annually="No",AND(Shape_Annually="Yes",Shape_Start&gt;YEAR(B188)))),'MWH-Split'!T181,'MWH-Split'!S181)*'MWH-Split'!U181,"")</f>
        <v/>
      </c>
      <c r="E188" s="173" t="str">
        <f>IFERROR(H188*IF(AND(C188&lt;0,OR(Shape_Annually="No",AND(Shape_Annually="Yes",Shape_Start&gt;YEAR(B188)))),'MWH-Split'!S181,'MWH-Split'!T181)*'MWH-Split'!U181,"")</f>
        <v/>
      </c>
      <c r="F188" s="172">
        <f>'[1]Table 5'!F188*P188</f>
        <v>0</v>
      </c>
      <c r="G188" s="172" t="str">
        <f>IF('MWH-Split'!N181&lt;&gt;0,'MWH-Split'!N181*P188,"")</f>
        <v/>
      </c>
      <c r="H188" s="173" t="str">
        <f>IF('MWH-Split'!O181&lt;&gt;0,'MWH-Split'!O181*P188,"")</f>
        <v/>
      </c>
      <c r="I188" s="174" t="str">
        <f t="shared" si="32"/>
        <v/>
      </c>
      <c r="J188" s="174" t="e">
        <f t="shared" si="38"/>
        <v>#VALUE!</v>
      </c>
      <c r="K188" s="175" t="e">
        <f t="shared" si="38"/>
        <v>#VALUE!</v>
      </c>
      <c r="M188" s="180">
        <f t="shared" si="34"/>
        <v>2033</v>
      </c>
      <c r="N188" s="177" t="str">
        <f t="shared" si="36"/>
        <v/>
      </c>
      <c r="P188" s="178">
        <f>IF('Monthly Levelized'!$K$5+'Monthly Levelized'!$L$5&lt;&gt;0,IFERROR(VLOOKUP(B188,'Monthly Levelized'!$G$5:$I$25,3,FALSE),P187),1)</f>
        <v>1</v>
      </c>
      <c r="Q188" s="226" t="str">
        <f t="shared" si="35"/>
        <v>-</v>
      </c>
      <c r="R188" s="223"/>
      <c r="S188" s="224"/>
      <c r="T188" s="224"/>
      <c r="U188" s="224"/>
      <c r="V188" s="224"/>
    </row>
    <row r="189" spans="2:22" hidden="1" outlineLevel="1" x14ac:dyDescent="0.25">
      <c r="B189" s="177">
        <f t="shared" si="33"/>
        <v>48823</v>
      </c>
      <c r="C189" s="171">
        <f>'[1]Table 5'!E189*P189</f>
        <v>0</v>
      </c>
      <c r="D189" s="172" t="str">
        <f>IFERROR(G189*IF(AND(C189&lt;0,OR(Shape_Annually="No",AND(Shape_Annually="Yes",Shape_Start&gt;YEAR(B189)))),'MWH-Split'!T182,'MWH-Split'!S182)*'MWH-Split'!U182,"")</f>
        <v/>
      </c>
      <c r="E189" s="173" t="str">
        <f>IFERROR(H189*IF(AND(C189&lt;0,OR(Shape_Annually="No",AND(Shape_Annually="Yes",Shape_Start&gt;YEAR(B189)))),'MWH-Split'!S182,'MWH-Split'!T182)*'MWH-Split'!U182,"")</f>
        <v/>
      </c>
      <c r="F189" s="172">
        <f>'[1]Table 5'!F189*P189</f>
        <v>0</v>
      </c>
      <c r="G189" s="172" t="str">
        <f>IF('MWH-Split'!N182&lt;&gt;0,'MWH-Split'!N182*P189,"")</f>
        <v/>
      </c>
      <c r="H189" s="173" t="str">
        <f>IF('MWH-Split'!O182&lt;&gt;0,'MWH-Split'!O182*P189,"")</f>
        <v/>
      </c>
      <c r="I189" s="174" t="str">
        <f t="shared" si="32"/>
        <v/>
      </c>
      <c r="J189" s="174" t="e">
        <f t="shared" si="38"/>
        <v>#VALUE!</v>
      </c>
      <c r="K189" s="175" t="e">
        <f t="shared" si="38"/>
        <v>#VALUE!</v>
      </c>
      <c r="M189" s="180">
        <f t="shared" si="34"/>
        <v>2033</v>
      </c>
      <c r="N189" s="177" t="str">
        <f t="shared" si="36"/>
        <v/>
      </c>
      <c r="P189" s="178">
        <f>IF('Monthly Levelized'!$K$5+'Monthly Levelized'!$L$5&lt;&gt;0,IFERROR(VLOOKUP(B189,'Monthly Levelized'!$G$5:$I$25,3,FALSE),P188),1)</f>
        <v>1</v>
      </c>
      <c r="Q189" s="226" t="str">
        <f t="shared" si="35"/>
        <v>-</v>
      </c>
      <c r="R189" s="223"/>
      <c r="S189" s="224"/>
      <c r="T189" s="224"/>
      <c r="U189" s="224"/>
      <c r="V189" s="224"/>
    </row>
    <row r="190" spans="2:22" hidden="1" outlineLevel="1" x14ac:dyDescent="0.25">
      <c r="B190" s="177">
        <f t="shared" si="33"/>
        <v>48853</v>
      </c>
      <c r="C190" s="171">
        <f>'[1]Table 5'!E190*P190</f>
        <v>0</v>
      </c>
      <c r="D190" s="172" t="str">
        <f>IFERROR(G190*IF(AND(C190&lt;0,OR(Shape_Annually="No",AND(Shape_Annually="Yes",Shape_Start&gt;YEAR(B190)))),'MWH-Split'!T183,'MWH-Split'!S183)*'MWH-Split'!U183,"")</f>
        <v/>
      </c>
      <c r="E190" s="173" t="str">
        <f>IFERROR(H190*IF(AND(C190&lt;0,OR(Shape_Annually="No",AND(Shape_Annually="Yes",Shape_Start&gt;YEAR(B190)))),'MWH-Split'!S183,'MWH-Split'!T183)*'MWH-Split'!U183,"")</f>
        <v/>
      </c>
      <c r="F190" s="172">
        <f>'[1]Table 5'!F190*P190</f>
        <v>0</v>
      </c>
      <c r="G190" s="172" t="str">
        <f>IF('MWH-Split'!N183&lt;&gt;0,'MWH-Split'!N183*P190,"")</f>
        <v/>
      </c>
      <c r="H190" s="173" t="str">
        <f>IF('MWH-Split'!O183&lt;&gt;0,'MWH-Split'!O183*P190,"")</f>
        <v/>
      </c>
      <c r="I190" s="174" t="str">
        <f t="shared" si="32"/>
        <v/>
      </c>
      <c r="J190" s="174" t="e">
        <f t="shared" si="38"/>
        <v>#VALUE!</v>
      </c>
      <c r="K190" s="175" t="e">
        <f t="shared" si="38"/>
        <v>#VALUE!</v>
      </c>
      <c r="M190" s="180">
        <f t="shared" si="34"/>
        <v>2033</v>
      </c>
      <c r="N190" s="177" t="str">
        <f t="shared" si="36"/>
        <v/>
      </c>
      <c r="P190" s="178">
        <f>IF('Monthly Levelized'!$K$5+'Monthly Levelized'!$L$5&lt;&gt;0,IFERROR(VLOOKUP(B190,'Monthly Levelized'!$G$5:$I$25,3,FALSE),P189),1)</f>
        <v>1</v>
      </c>
      <c r="Q190" s="226" t="str">
        <f t="shared" si="35"/>
        <v>-</v>
      </c>
      <c r="R190" s="223"/>
      <c r="S190" s="224"/>
      <c r="T190" s="224"/>
      <c r="U190" s="224"/>
      <c r="V190" s="224"/>
    </row>
    <row r="191" spans="2:22" hidden="1" outlineLevel="1" x14ac:dyDescent="0.25">
      <c r="B191" s="177">
        <f t="shared" si="33"/>
        <v>48884</v>
      </c>
      <c r="C191" s="171">
        <f>'[1]Table 5'!E191*P191</f>
        <v>0</v>
      </c>
      <c r="D191" s="172" t="str">
        <f>IFERROR(G191*IF(AND(C191&lt;0,OR(Shape_Annually="No",AND(Shape_Annually="Yes",Shape_Start&gt;YEAR(B191)))),'MWH-Split'!T184,'MWH-Split'!S184)*'MWH-Split'!U184,"")</f>
        <v/>
      </c>
      <c r="E191" s="173" t="str">
        <f>IFERROR(H191*IF(AND(C191&lt;0,OR(Shape_Annually="No",AND(Shape_Annually="Yes",Shape_Start&gt;YEAR(B191)))),'MWH-Split'!S184,'MWH-Split'!T184)*'MWH-Split'!U184,"")</f>
        <v/>
      </c>
      <c r="F191" s="172">
        <f>'[1]Table 5'!F191*P191</f>
        <v>0</v>
      </c>
      <c r="G191" s="172" t="str">
        <f>IF('MWH-Split'!N184&lt;&gt;0,'MWH-Split'!N184*P191,"")</f>
        <v/>
      </c>
      <c r="H191" s="173" t="str">
        <f>IF('MWH-Split'!O184&lt;&gt;0,'MWH-Split'!O184*P191,"")</f>
        <v/>
      </c>
      <c r="I191" s="174" t="str">
        <f t="shared" si="32"/>
        <v/>
      </c>
      <c r="J191" s="174" t="e">
        <f t="shared" si="38"/>
        <v>#VALUE!</v>
      </c>
      <c r="K191" s="175" t="e">
        <f t="shared" si="38"/>
        <v>#VALUE!</v>
      </c>
      <c r="M191" s="180">
        <f t="shared" si="34"/>
        <v>2033</v>
      </c>
      <c r="N191" s="177" t="str">
        <f t="shared" si="36"/>
        <v/>
      </c>
      <c r="P191" s="178">
        <f>IF('Monthly Levelized'!$K$5+'Monthly Levelized'!$L$5&lt;&gt;0,IFERROR(VLOOKUP(B191,'Monthly Levelized'!$G$5:$I$25,3,FALSE),P190),1)</f>
        <v>1</v>
      </c>
      <c r="Q191" s="226" t="str">
        <f t="shared" si="35"/>
        <v>-</v>
      </c>
      <c r="R191" s="223"/>
      <c r="S191" s="224"/>
      <c r="T191" s="224"/>
      <c r="U191" s="224"/>
      <c r="V191" s="224"/>
    </row>
    <row r="192" spans="2:22" hidden="1" outlineLevel="1" x14ac:dyDescent="0.25">
      <c r="B192" s="188">
        <f t="shared" si="33"/>
        <v>48914</v>
      </c>
      <c r="C192" s="182">
        <f>'[1]Table 5'!E192*P192</f>
        <v>0</v>
      </c>
      <c r="D192" s="172" t="str">
        <f>IFERROR(G192*IF(AND(C192&lt;0,OR(Shape_Annually="No",AND(Shape_Annually="Yes",Shape_Start&gt;YEAR(B192)))),'MWH-Split'!T185,'MWH-Split'!S185)*'MWH-Split'!U185,"")</f>
        <v/>
      </c>
      <c r="E192" s="173" t="str">
        <f>IFERROR(H192*IF(AND(C192&lt;0,OR(Shape_Annually="No",AND(Shape_Annually="Yes",Shape_Start&gt;YEAR(B192)))),'MWH-Split'!S185,'MWH-Split'!T185)*'MWH-Split'!U185,"")</f>
        <v/>
      </c>
      <c r="F192" s="183">
        <f>'[1]Table 5'!F192*P192</f>
        <v>0</v>
      </c>
      <c r="G192" s="172" t="str">
        <f>IF('MWH-Split'!N185&lt;&gt;0,'MWH-Split'!N185*P192,"")</f>
        <v/>
      </c>
      <c r="H192" s="173" t="str">
        <f>IF('MWH-Split'!O185&lt;&gt;0,'MWH-Split'!O185*P192,"")</f>
        <v/>
      </c>
      <c r="I192" s="185" t="str">
        <f t="shared" si="32"/>
        <v/>
      </c>
      <c r="J192" s="185" t="e">
        <f t="shared" si="38"/>
        <v>#VALUE!</v>
      </c>
      <c r="K192" s="186" t="e">
        <f t="shared" si="38"/>
        <v>#VALUE!</v>
      </c>
      <c r="M192" s="187">
        <f t="shared" si="34"/>
        <v>2033</v>
      </c>
      <c r="N192" s="188" t="str">
        <f t="shared" si="36"/>
        <v/>
      </c>
      <c r="P192" s="189">
        <f>IF('Monthly Levelized'!$K$5+'Monthly Levelized'!$L$5&lt;&gt;0,IFERROR(VLOOKUP(B192,'Monthly Levelized'!$G$5:$I$25,3,FALSE),P191),1)</f>
        <v>1</v>
      </c>
      <c r="Q192" s="226" t="str">
        <f t="shared" si="35"/>
        <v>-</v>
      </c>
      <c r="R192" s="223"/>
      <c r="S192" s="224"/>
      <c r="T192" s="224"/>
      <c r="U192" s="224"/>
      <c r="V192" s="224"/>
    </row>
    <row r="193" spans="2:22" hidden="1" x14ac:dyDescent="0.25">
      <c r="B193" s="190">
        <f t="shared" si="33"/>
        <v>48945</v>
      </c>
      <c r="C193" s="191">
        <f>'[1]Table 5'!E193*P193</f>
        <v>0</v>
      </c>
      <c r="D193" s="172" t="str">
        <f>IFERROR(G193*IF(AND(C193&lt;0,OR(Shape_Annually="No",AND(Shape_Annually="Yes",Shape_Start&gt;YEAR(B193)))),'MWH-Split'!T186,'MWH-Split'!S186)*'MWH-Split'!U186,"")</f>
        <v/>
      </c>
      <c r="E193" s="173" t="str">
        <f>IFERROR(H193*IF(AND(C193&lt;0,OR(Shape_Annually="No",AND(Shape_Annually="Yes",Shape_Start&gt;YEAR(B193)))),'MWH-Split'!S186,'MWH-Split'!T186)*'MWH-Split'!U186,"")</f>
        <v/>
      </c>
      <c r="F193" s="192">
        <f>'[1]Table 5'!F193*P193</f>
        <v>0</v>
      </c>
      <c r="G193" s="172" t="str">
        <f>IF('MWH-Split'!N186&lt;&gt;0,'MWH-Split'!N186*P193,"")</f>
        <v/>
      </c>
      <c r="H193" s="173" t="str">
        <f>IF('MWH-Split'!O186&lt;&gt;0,'MWH-Split'!O186*P193,"")</f>
        <v/>
      </c>
      <c r="I193" s="194" t="str">
        <f t="shared" si="32"/>
        <v/>
      </c>
      <c r="J193" s="194">
        <f t="shared" ref="J193:J252" si="39">MAX(ROUND(IFERROR(D193/G193,0),2),0)</f>
        <v>0</v>
      </c>
      <c r="K193" s="195">
        <f t="shared" ref="K193:K252" si="40">MAX(ROUND(IFERROR(E193/H193,0),2),0)</f>
        <v>0</v>
      </c>
      <c r="M193" s="176">
        <f t="shared" si="34"/>
        <v>2034</v>
      </c>
      <c r="N193" s="177" t="str">
        <f t="shared" si="36"/>
        <v/>
      </c>
      <c r="P193" s="196">
        <f>IF('Monthly Levelized'!$K$5+'Monthly Levelized'!$L$5&lt;&gt;0,IFERROR(VLOOKUP(B193,'Monthly Levelized'!$G$5:$I$25,3,FALSE),P192),1)</f>
        <v>1</v>
      </c>
      <c r="Q193" s="226" t="str">
        <f t="shared" si="35"/>
        <v>-</v>
      </c>
      <c r="R193" s="223"/>
      <c r="S193" s="224"/>
      <c r="T193" s="224"/>
      <c r="U193" s="224"/>
      <c r="V193" s="224"/>
    </row>
    <row r="194" spans="2:22" hidden="1" x14ac:dyDescent="0.25">
      <c r="B194" s="177">
        <f t="shared" si="33"/>
        <v>48976</v>
      </c>
      <c r="C194" s="171">
        <f>'[1]Table 5'!E194*P194</f>
        <v>0</v>
      </c>
      <c r="D194" s="172" t="str">
        <f>IFERROR(G194*IF(AND(C194&lt;0,OR(Shape_Annually="No",AND(Shape_Annually="Yes",Shape_Start&gt;YEAR(B194)))),'MWH-Split'!T187,'MWH-Split'!S187)*'MWH-Split'!U187,"")</f>
        <v/>
      </c>
      <c r="E194" s="173" t="str">
        <f>IFERROR(H194*IF(AND(C194&lt;0,OR(Shape_Annually="No",AND(Shape_Annually="Yes",Shape_Start&gt;YEAR(B194)))),'MWH-Split'!S187,'MWH-Split'!T187)*'MWH-Split'!U187,"")</f>
        <v/>
      </c>
      <c r="F194" s="172">
        <f>'[1]Table 5'!F194*P194</f>
        <v>0</v>
      </c>
      <c r="G194" s="172" t="str">
        <f>IF('MWH-Split'!N187&lt;&gt;0,'MWH-Split'!N187*P194,"")</f>
        <v/>
      </c>
      <c r="H194" s="173" t="str">
        <f>IF('MWH-Split'!O187&lt;&gt;0,'MWH-Split'!O187*P194,"")</f>
        <v/>
      </c>
      <c r="I194" s="174" t="str">
        <f t="shared" si="32"/>
        <v/>
      </c>
      <c r="J194" s="174">
        <f t="shared" si="39"/>
        <v>0</v>
      </c>
      <c r="K194" s="175">
        <f t="shared" si="40"/>
        <v>0</v>
      </c>
      <c r="M194" s="180">
        <f t="shared" si="34"/>
        <v>2034</v>
      </c>
      <c r="N194" s="177" t="str">
        <f t="shared" si="36"/>
        <v/>
      </c>
      <c r="P194" s="178">
        <f>IF('Monthly Levelized'!$K$5+'Monthly Levelized'!$L$5&lt;&gt;0,IFERROR(VLOOKUP(B194,'Monthly Levelized'!$G$5:$I$25,3,FALSE),P193),1)</f>
        <v>1</v>
      </c>
      <c r="Q194" s="226" t="str">
        <f t="shared" si="35"/>
        <v>-</v>
      </c>
      <c r="R194" s="223"/>
      <c r="S194" s="224"/>
      <c r="T194" s="224"/>
      <c r="U194" s="224"/>
      <c r="V194" s="224"/>
    </row>
    <row r="195" spans="2:22" hidden="1" x14ac:dyDescent="0.25">
      <c r="B195" s="177">
        <f t="shared" si="33"/>
        <v>49004</v>
      </c>
      <c r="C195" s="171">
        <f>'[1]Table 5'!E195*P195</f>
        <v>0</v>
      </c>
      <c r="D195" s="172" t="str">
        <f>IFERROR(G195*IF(AND(C195&lt;0,OR(Shape_Annually="No",AND(Shape_Annually="Yes",Shape_Start&gt;YEAR(B195)))),'MWH-Split'!T188,'MWH-Split'!S188)*'MWH-Split'!U188,"")</f>
        <v/>
      </c>
      <c r="E195" s="173" t="str">
        <f>IFERROR(H195*IF(AND(C195&lt;0,OR(Shape_Annually="No",AND(Shape_Annually="Yes",Shape_Start&gt;YEAR(B195)))),'MWH-Split'!S188,'MWH-Split'!T188)*'MWH-Split'!U188,"")</f>
        <v/>
      </c>
      <c r="F195" s="172">
        <f>'[1]Table 5'!F195*P195</f>
        <v>0</v>
      </c>
      <c r="G195" s="172" t="str">
        <f>IF('MWH-Split'!N188&lt;&gt;0,'MWH-Split'!N188*P195,"")</f>
        <v/>
      </c>
      <c r="H195" s="173" t="str">
        <f>IF('MWH-Split'!O188&lt;&gt;0,'MWH-Split'!O188*P195,"")</f>
        <v/>
      </c>
      <c r="I195" s="174" t="str">
        <f t="shared" si="32"/>
        <v/>
      </c>
      <c r="J195" s="174">
        <f t="shared" si="39"/>
        <v>0</v>
      </c>
      <c r="K195" s="175">
        <f t="shared" si="40"/>
        <v>0</v>
      </c>
      <c r="M195" s="180">
        <f t="shared" si="34"/>
        <v>2034</v>
      </c>
      <c r="N195" s="177" t="str">
        <f t="shared" si="36"/>
        <v/>
      </c>
      <c r="P195" s="178">
        <f>IF('Monthly Levelized'!$K$5+'Monthly Levelized'!$L$5&lt;&gt;0,IFERROR(VLOOKUP(B195,'Monthly Levelized'!$G$5:$I$25,3,FALSE),P194),1)</f>
        <v>1</v>
      </c>
      <c r="Q195" s="226" t="str">
        <f t="shared" si="35"/>
        <v>-</v>
      </c>
      <c r="R195" s="223"/>
      <c r="S195" s="224"/>
      <c r="T195" s="224"/>
      <c r="U195" s="224"/>
      <c r="V195" s="224"/>
    </row>
    <row r="196" spans="2:22" hidden="1" x14ac:dyDescent="0.25">
      <c r="B196" s="177">
        <f t="shared" si="33"/>
        <v>49035</v>
      </c>
      <c r="C196" s="171">
        <f>'[1]Table 5'!E196*P196</f>
        <v>0</v>
      </c>
      <c r="D196" s="172" t="str">
        <f>IFERROR(G196*IF(AND(C196&lt;0,OR(Shape_Annually="No",AND(Shape_Annually="Yes",Shape_Start&gt;YEAR(B196)))),'MWH-Split'!T189,'MWH-Split'!S189)*'MWH-Split'!U189,"")</f>
        <v/>
      </c>
      <c r="E196" s="173" t="str">
        <f>IFERROR(H196*IF(AND(C196&lt;0,OR(Shape_Annually="No",AND(Shape_Annually="Yes",Shape_Start&gt;YEAR(B196)))),'MWH-Split'!S189,'MWH-Split'!T189)*'MWH-Split'!U189,"")</f>
        <v/>
      </c>
      <c r="F196" s="172">
        <f>'[1]Table 5'!F196*P196</f>
        <v>0</v>
      </c>
      <c r="G196" s="172" t="str">
        <f>IF('MWH-Split'!N189&lt;&gt;0,'MWH-Split'!N189*P196,"")</f>
        <v/>
      </c>
      <c r="H196" s="173" t="str">
        <f>IF('MWH-Split'!O189&lt;&gt;0,'MWH-Split'!O189*P196,"")</f>
        <v/>
      </c>
      <c r="I196" s="174" t="str">
        <f t="shared" si="32"/>
        <v/>
      </c>
      <c r="J196" s="174">
        <f t="shared" si="39"/>
        <v>0</v>
      </c>
      <c r="K196" s="175">
        <f t="shared" si="40"/>
        <v>0</v>
      </c>
      <c r="M196" s="180">
        <f t="shared" si="34"/>
        <v>2034</v>
      </c>
      <c r="N196" s="177" t="str">
        <f t="shared" si="36"/>
        <v/>
      </c>
      <c r="P196" s="178">
        <f>IF('Monthly Levelized'!$K$5+'Monthly Levelized'!$L$5&lt;&gt;0,IFERROR(VLOOKUP(B196,'Monthly Levelized'!$G$5:$I$25,3,FALSE),P195),1)</f>
        <v>1</v>
      </c>
      <c r="Q196" s="226" t="str">
        <f t="shared" si="35"/>
        <v>-</v>
      </c>
      <c r="R196" s="223"/>
      <c r="S196" s="224"/>
      <c r="T196" s="224"/>
      <c r="U196" s="224"/>
      <c r="V196" s="224"/>
    </row>
    <row r="197" spans="2:22" hidden="1" x14ac:dyDescent="0.25">
      <c r="B197" s="177">
        <f t="shared" si="33"/>
        <v>49065</v>
      </c>
      <c r="C197" s="171">
        <f>'[1]Table 5'!E197*P197</f>
        <v>0</v>
      </c>
      <c r="D197" s="172" t="str">
        <f>IFERROR(G197*IF(AND(C197&lt;0,OR(Shape_Annually="No",AND(Shape_Annually="Yes",Shape_Start&gt;YEAR(B197)))),'MWH-Split'!T190,'MWH-Split'!S190)*'MWH-Split'!U190,"")</f>
        <v/>
      </c>
      <c r="E197" s="173" t="str">
        <f>IFERROR(H197*IF(AND(C197&lt;0,OR(Shape_Annually="No",AND(Shape_Annually="Yes",Shape_Start&gt;YEAR(B197)))),'MWH-Split'!S190,'MWH-Split'!T190)*'MWH-Split'!U190,"")</f>
        <v/>
      </c>
      <c r="F197" s="172">
        <f>'[1]Table 5'!F197*P197</f>
        <v>0</v>
      </c>
      <c r="G197" s="172" t="str">
        <f>IF('MWH-Split'!N190&lt;&gt;0,'MWH-Split'!N190*P197,"")</f>
        <v/>
      </c>
      <c r="H197" s="173" t="str">
        <f>IF('MWH-Split'!O190&lt;&gt;0,'MWH-Split'!O190*P197,"")</f>
        <v/>
      </c>
      <c r="I197" s="174" t="str">
        <f t="shared" si="32"/>
        <v/>
      </c>
      <c r="J197" s="174">
        <f t="shared" si="39"/>
        <v>0</v>
      </c>
      <c r="K197" s="175">
        <f t="shared" si="40"/>
        <v>0</v>
      </c>
      <c r="M197" s="180">
        <f t="shared" si="34"/>
        <v>2034</v>
      </c>
      <c r="N197" s="177" t="str">
        <f t="shared" si="36"/>
        <v/>
      </c>
      <c r="P197" s="178">
        <f>IF('Monthly Levelized'!$K$5+'Monthly Levelized'!$L$5&lt;&gt;0,IFERROR(VLOOKUP(B197,'Monthly Levelized'!$G$5:$I$25,3,FALSE),P196),1)</f>
        <v>1</v>
      </c>
      <c r="Q197" s="226" t="str">
        <f t="shared" si="35"/>
        <v>-</v>
      </c>
      <c r="R197" s="223"/>
      <c r="S197" s="224"/>
      <c r="T197" s="224"/>
      <c r="U197" s="224"/>
      <c r="V197" s="224"/>
    </row>
    <row r="198" spans="2:22" hidden="1" x14ac:dyDescent="0.25">
      <c r="B198" s="177">
        <f t="shared" si="33"/>
        <v>49096</v>
      </c>
      <c r="C198" s="171">
        <f>'[1]Table 5'!E198*P198</f>
        <v>0</v>
      </c>
      <c r="D198" s="172" t="str">
        <f>IFERROR(G198*IF(AND(C198&lt;0,OR(Shape_Annually="No",AND(Shape_Annually="Yes",Shape_Start&gt;YEAR(B198)))),'MWH-Split'!T191,'MWH-Split'!S191)*'MWH-Split'!U191,"")</f>
        <v/>
      </c>
      <c r="E198" s="173" t="str">
        <f>IFERROR(H198*IF(AND(C198&lt;0,OR(Shape_Annually="No",AND(Shape_Annually="Yes",Shape_Start&gt;YEAR(B198)))),'MWH-Split'!S191,'MWH-Split'!T191)*'MWH-Split'!U191,"")</f>
        <v/>
      </c>
      <c r="F198" s="172">
        <f>'[1]Table 5'!F198*P198</f>
        <v>0</v>
      </c>
      <c r="G198" s="172" t="str">
        <f>IF('MWH-Split'!N191&lt;&gt;0,'MWH-Split'!N191*P198,"")</f>
        <v/>
      </c>
      <c r="H198" s="173" t="str">
        <f>IF('MWH-Split'!O191&lt;&gt;0,'MWH-Split'!O191*P198,"")</f>
        <v/>
      </c>
      <c r="I198" s="174" t="str">
        <f t="shared" si="32"/>
        <v/>
      </c>
      <c r="J198" s="174">
        <f t="shared" si="39"/>
        <v>0</v>
      </c>
      <c r="K198" s="175">
        <f t="shared" si="40"/>
        <v>0</v>
      </c>
      <c r="M198" s="180">
        <f t="shared" si="34"/>
        <v>2034</v>
      </c>
      <c r="N198" s="177" t="str">
        <f t="shared" si="36"/>
        <v/>
      </c>
      <c r="P198" s="178">
        <f>IF('Monthly Levelized'!$K$5+'Monthly Levelized'!$L$5&lt;&gt;0,IFERROR(VLOOKUP(B198,'Monthly Levelized'!$G$5:$I$25,3,FALSE),P197),1)</f>
        <v>1</v>
      </c>
      <c r="Q198" s="226" t="str">
        <f t="shared" si="35"/>
        <v>-</v>
      </c>
      <c r="R198" s="223"/>
      <c r="S198" s="224"/>
      <c r="T198" s="224"/>
      <c r="U198" s="224"/>
      <c r="V198" s="224"/>
    </row>
    <row r="199" spans="2:22" hidden="1" x14ac:dyDescent="0.25">
      <c r="B199" s="177">
        <f t="shared" si="33"/>
        <v>49126</v>
      </c>
      <c r="C199" s="171">
        <f>'[1]Table 5'!E199*P199</f>
        <v>0</v>
      </c>
      <c r="D199" s="172" t="str">
        <f>IFERROR(G199*IF(AND(C199&lt;0,OR(Shape_Annually="No",AND(Shape_Annually="Yes",Shape_Start&gt;YEAR(B199)))),'MWH-Split'!T192,'MWH-Split'!S192)*'MWH-Split'!U192,"")</f>
        <v/>
      </c>
      <c r="E199" s="173" t="str">
        <f>IFERROR(H199*IF(AND(C199&lt;0,OR(Shape_Annually="No",AND(Shape_Annually="Yes",Shape_Start&gt;YEAR(B199)))),'MWH-Split'!S192,'MWH-Split'!T192)*'MWH-Split'!U192,"")</f>
        <v/>
      </c>
      <c r="F199" s="172">
        <f>'[1]Table 5'!F199*P199</f>
        <v>0</v>
      </c>
      <c r="G199" s="172" t="str">
        <f>IF('MWH-Split'!N192&lt;&gt;0,'MWH-Split'!N192*P199,"")</f>
        <v/>
      </c>
      <c r="H199" s="173" t="str">
        <f>IF('MWH-Split'!O192&lt;&gt;0,'MWH-Split'!O192*P199,"")</f>
        <v/>
      </c>
      <c r="I199" s="174" t="str">
        <f t="shared" si="32"/>
        <v/>
      </c>
      <c r="J199" s="174">
        <f t="shared" si="39"/>
        <v>0</v>
      </c>
      <c r="K199" s="175">
        <f t="shared" si="40"/>
        <v>0</v>
      </c>
      <c r="M199" s="180">
        <f t="shared" si="34"/>
        <v>2034</v>
      </c>
      <c r="N199" s="177" t="str">
        <f t="shared" si="36"/>
        <v/>
      </c>
      <c r="P199" s="178">
        <f>IF('Monthly Levelized'!$K$5+'Monthly Levelized'!$L$5&lt;&gt;0,IFERROR(VLOOKUP(B199,'Monthly Levelized'!$G$5:$I$25,3,FALSE),P198),1)</f>
        <v>1</v>
      </c>
      <c r="Q199" s="226" t="str">
        <f t="shared" si="35"/>
        <v>-</v>
      </c>
      <c r="R199" s="223"/>
      <c r="S199" s="224"/>
      <c r="T199" s="224"/>
      <c r="U199" s="224"/>
      <c r="V199" s="224"/>
    </row>
    <row r="200" spans="2:22" hidden="1" x14ac:dyDescent="0.25">
      <c r="B200" s="177">
        <f t="shared" si="33"/>
        <v>49157</v>
      </c>
      <c r="C200" s="171">
        <f>'[1]Table 5'!E200*P200</f>
        <v>0</v>
      </c>
      <c r="D200" s="172" t="str">
        <f>IFERROR(G200*IF(AND(C200&lt;0,OR(Shape_Annually="No",AND(Shape_Annually="Yes",Shape_Start&gt;YEAR(B200)))),'MWH-Split'!T193,'MWH-Split'!S193)*'MWH-Split'!U193,"")</f>
        <v/>
      </c>
      <c r="E200" s="173" t="str">
        <f>IFERROR(H200*IF(AND(C200&lt;0,OR(Shape_Annually="No",AND(Shape_Annually="Yes",Shape_Start&gt;YEAR(B200)))),'MWH-Split'!S193,'MWH-Split'!T193)*'MWH-Split'!U193,"")</f>
        <v/>
      </c>
      <c r="F200" s="172">
        <f>'[1]Table 5'!F200*P200</f>
        <v>0</v>
      </c>
      <c r="G200" s="172" t="str">
        <f>IF('MWH-Split'!N193&lt;&gt;0,'MWH-Split'!N193*P200,"")</f>
        <v/>
      </c>
      <c r="H200" s="173" t="str">
        <f>IF('MWH-Split'!O193&lt;&gt;0,'MWH-Split'!O193*P200,"")</f>
        <v/>
      </c>
      <c r="I200" s="174" t="str">
        <f t="shared" si="32"/>
        <v/>
      </c>
      <c r="J200" s="174">
        <f t="shared" si="39"/>
        <v>0</v>
      </c>
      <c r="K200" s="175">
        <f t="shared" si="40"/>
        <v>0</v>
      </c>
      <c r="M200" s="180">
        <f t="shared" si="34"/>
        <v>2034</v>
      </c>
      <c r="N200" s="177" t="str">
        <f t="shared" si="36"/>
        <v/>
      </c>
      <c r="P200" s="178">
        <f>IF('Monthly Levelized'!$K$5+'Monthly Levelized'!$L$5&lt;&gt;0,IFERROR(VLOOKUP(B200,'Monthly Levelized'!$G$5:$I$25,3,FALSE),P199),1)</f>
        <v>1</v>
      </c>
      <c r="Q200" s="226" t="str">
        <f t="shared" si="35"/>
        <v>-</v>
      </c>
      <c r="R200" s="223"/>
      <c r="S200" s="224"/>
      <c r="T200" s="224"/>
      <c r="U200" s="224"/>
      <c r="V200" s="224"/>
    </row>
    <row r="201" spans="2:22" hidden="1" x14ac:dyDescent="0.25">
      <c r="B201" s="177">
        <f t="shared" si="33"/>
        <v>49188</v>
      </c>
      <c r="C201" s="171">
        <f>'[1]Table 5'!E201*P201</f>
        <v>0</v>
      </c>
      <c r="D201" s="172" t="str">
        <f>IFERROR(G201*IF(AND(C201&lt;0,OR(Shape_Annually="No",AND(Shape_Annually="Yes",Shape_Start&gt;YEAR(B201)))),'MWH-Split'!T194,'MWH-Split'!S194)*'MWH-Split'!U194,"")</f>
        <v/>
      </c>
      <c r="E201" s="173" t="str">
        <f>IFERROR(H201*IF(AND(C201&lt;0,OR(Shape_Annually="No",AND(Shape_Annually="Yes",Shape_Start&gt;YEAR(B201)))),'MWH-Split'!S194,'MWH-Split'!T194)*'MWH-Split'!U194,"")</f>
        <v/>
      </c>
      <c r="F201" s="172">
        <f>'[1]Table 5'!F201*P201</f>
        <v>0</v>
      </c>
      <c r="G201" s="172" t="str">
        <f>IF('MWH-Split'!N194&lt;&gt;0,'MWH-Split'!N194*P201,"")</f>
        <v/>
      </c>
      <c r="H201" s="173" t="str">
        <f>IF('MWH-Split'!O194&lt;&gt;0,'MWH-Split'!O194*P201,"")</f>
        <v/>
      </c>
      <c r="I201" s="174" t="str">
        <f t="shared" si="32"/>
        <v/>
      </c>
      <c r="J201" s="174">
        <f t="shared" si="39"/>
        <v>0</v>
      </c>
      <c r="K201" s="175">
        <f t="shared" si="40"/>
        <v>0</v>
      </c>
      <c r="M201" s="180">
        <f t="shared" si="34"/>
        <v>2034</v>
      </c>
      <c r="N201" s="177" t="str">
        <f t="shared" si="36"/>
        <v/>
      </c>
      <c r="P201" s="178">
        <f>IF('Monthly Levelized'!$K$5+'Monthly Levelized'!$L$5&lt;&gt;0,IFERROR(VLOOKUP(B201,'Monthly Levelized'!$G$5:$I$25,3,FALSE),P200),1)</f>
        <v>1</v>
      </c>
      <c r="Q201" s="226" t="str">
        <f t="shared" si="35"/>
        <v>-</v>
      </c>
      <c r="R201" s="223"/>
      <c r="S201" s="224"/>
      <c r="T201" s="224"/>
      <c r="U201" s="224"/>
      <c r="V201" s="224"/>
    </row>
    <row r="202" spans="2:22" hidden="1" x14ac:dyDescent="0.25">
      <c r="B202" s="177">
        <f t="shared" si="33"/>
        <v>49218</v>
      </c>
      <c r="C202" s="171">
        <f>'[1]Table 5'!E202*P202</f>
        <v>0</v>
      </c>
      <c r="D202" s="172" t="str">
        <f>IFERROR(G202*IF(AND(C202&lt;0,OR(Shape_Annually="No",AND(Shape_Annually="Yes",Shape_Start&gt;YEAR(B202)))),'MWH-Split'!T195,'MWH-Split'!S195)*'MWH-Split'!U195,"")</f>
        <v/>
      </c>
      <c r="E202" s="173" t="str">
        <f>IFERROR(H202*IF(AND(C202&lt;0,OR(Shape_Annually="No",AND(Shape_Annually="Yes",Shape_Start&gt;YEAR(B202)))),'MWH-Split'!S195,'MWH-Split'!T195)*'MWH-Split'!U195,"")</f>
        <v/>
      </c>
      <c r="F202" s="172">
        <f>'[1]Table 5'!F202*P202</f>
        <v>0</v>
      </c>
      <c r="G202" s="172" t="str">
        <f>IF('MWH-Split'!N195&lt;&gt;0,'MWH-Split'!N195*P202,"")</f>
        <v/>
      </c>
      <c r="H202" s="173" t="str">
        <f>IF('MWH-Split'!O195&lt;&gt;0,'MWH-Split'!O195*P202,"")</f>
        <v/>
      </c>
      <c r="I202" s="174" t="str">
        <f t="shared" si="32"/>
        <v/>
      </c>
      <c r="J202" s="174">
        <f t="shared" si="39"/>
        <v>0</v>
      </c>
      <c r="K202" s="175">
        <f t="shared" si="40"/>
        <v>0</v>
      </c>
      <c r="M202" s="180">
        <f t="shared" si="34"/>
        <v>2034</v>
      </c>
      <c r="N202" s="177" t="str">
        <f t="shared" si="36"/>
        <v/>
      </c>
      <c r="P202" s="178">
        <f>IF('Monthly Levelized'!$K$5+'Monthly Levelized'!$L$5&lt;&gt;0,IFERROR(VLOOKUP(B202,'Monthly Levelized'!$G$5:$I$25,3,FALSE),P201),1)</f>
        <v>1</v>
      </c>
      <c r="Q202" s="226" t="str">
        <f t="shared" si="35"/>
        <v>-</v>
      </c>
      <c r="R202" s="223"/>
      <c r="S202" s="224"/>
      <c r="T202" s="224"/>
      <c r="U202" s="224"/>
      <c r="V202" s="224"/>
    </row>
    <row r="203" spans="2:22" hidden="1" x14ac:dyDescent="0.25">
      <c r="B203" s="177">
        <f t="shared" si="33"/>
        <v>49249</v>
      </c>
      <c r="C203" s="171">
        <f>'[1]Table 5'!E203*P203</f>
        <v>0</v>
      </c>
      <c r="D203" s="172" t="str">
        <f>IFERROR(G203*IF(AND(C203&lt;0,OR(Shape_Annually="No",AND(Shape_Annually="Yes",Shape_Start&gt;YEAR(B203)))),'MWH-Split'!T196,'MWH-Split'!S196)*'MWH-Split'!U196,"")</f>
        <v/>
      </c>
      <c r="E203" s="173" t="str">
        <f>IFERROR(H203*IF(AND(C203&lt;0,OR(Shape_Annually="No",AND(Shape_Annually="Yes",Shape_Start&gt;YEAR(B203)))),'MWH-Split'!S196,'MWH-Split'!T196)*'MWH-Split'!U196,"")</f>
        <v/>
      </c>
      <c r="F203" s="172">
        <f>'[1]Table 5'!F203*P203</f>
        <v>0</v>
      </c>
      <c r="G203" s="172" t="str">
        <f>IF('MWH-Split'!N196&lt;&gt;0,'MWH-Split'!N196*P203,"")</f>
        <v/>
      </c>
      <c r="H203" s="173" t="str">
        <f>IF('MWH-Split'!O196&lt;&gt;0,'MWH-Split'!O196*P203,"")</f>
        <v/>
      </c>
      <c r="I203" s="174" t="str">
        <f t="shared" si="32"/>
        <v/>
      </c>
      <c r="J203" s="174">
        <f t="shared" si="39"/>
        <v>0</v>
      </c>
      <c r="K203" s="175">
        <f t="shared" si="40"/>
        <v>0</v>
      </c>
      <c r="M203" s="180">
        <f t="shared" si="34"/>
        <v>2034</v>
      </c>
      <c r="N203" s="177" t="str">
        <f t="shared" si="36"/>
        <v/>
      </c>
      <c r="P203" s="178">
        <f>IF('Monthly Levelized'!$K$5+'Monthly Levelized'!$L$5&lt;&gt;0,IFERROR(VLOOKUP(B203,'Monthly Levelized'!$G$5:$I$25,3,FALSE),P202),1)</f>
        <v>1</v>
      </c>
      <c r="Q203" s="226" t="str">
        <f t="shared" si="35"/>
        <v>-</v>
      </c>
      <c r="R203" s="223"/>
      <c r="S203" s="224"/>
      <c r="T203" s="224"/>
      <c r="U203" s="224"/>
      <c r="V203" s="224"/>
    </row>
    <row r="204" spans="2:22" hidden="1" x14ac:dyDescent="0.25">
      <c r="B204" s="188">
        <f t="shared" si="33"/>
        <v>49279</v>
      </c>
      <c r="C204" s="182">
        <f>'[1]Table 5'!E204*P204</f>
        <v>0</v>
      </c>
      <c r="D204" s="183" t="str">
        <f>IFERROR(G204*IF(AND(C204&lt;0,OR(Shape_Annually="No",AND(Shape_Annually="Yes",Shape_Start&gt;YEAR(B204)))),'MWH-Split'!T197,'MWH-Split'!S197)*'MWH-Split'!U197,"")</f>
        <v/>
      </c>
      <c r="E204" s="184" t="str">
        <f>IFERROR(H204*IF(AND(C204&lt;0,OR(Shape_Annually="No",AND(Shape_Annually="Yes",Shape_Start&gt;YEAR(B204)))),'MWH-Split'!S197,'MWH-Split'!T197)*'MWH-Split'!U197,"")</f>
        <v/>
      </c>
      <c r="F204" s="183">
        <f>'[1]Table 5'!F204*P204</f>
        <v>0</v>
      </c>
      <c r="G204" s="183" t="str">
        <f>IF('MWH-Split'!N197&lt;&gt;0,'MWH-Split'!N197*P204,"")</f>
        <v/>
      </c>
      <c r="H204" s="184" t="str">
        <f>IF('MWH-Split'!O197&lt;&gt;0,'MWH-Split'!O197*P204,"")</f>
        <v/>
      </c>
      <c r="I204" s="185" t="str">
        <f t="shared" si="32"/>
        <v/>
      </c>
      <c r="J204" s="185">
        <f t="shared" si="39"/>
        <v>0</v>
      </c>
      <c r="K204" s="186">
        <f t="shared" si="40"/>
        <v>0</v>
      </c>
      <c r="M204" s="187">
        <f t="shared" si="34"/>
        <v>2034</v>
      </c>
      <c r="N204" s="188" t="str">
        <f t="shared" si="36"/>
        <v/>
      </c>
      <c r="P204" s="189">
        <f>IF('Monthly Levelized'!$K$5+'Monthly Levelized'!$L$5&lt;&gt;0,IFERROR(VLOOKUP(B204,'Monthly Levelized'!$G$5:$I$25,3,FALSE),P203),1)</f>
        <v>1</v>
      </c>
      <c r="Q204" s="226" t="str">
        <f t="shared" si="35"/>
        <v>-</v>
      </c>
      <c r="R204" s="223"/>
      <c r="S204" s="224"/>
      <c r="T204" s="224"/>
      <c r="U204" s="224"/>
      <c r="V204" s="224"/>
    </row>
    <row r="205" spans="2:22" hidden="1" outlineLevel="1" x14ac:dyDescent="0.25">
      <c r="B205" s="190">
        <f t="shared" si="33"/>
        <v>49310</v>
      </c>
      <c r="C205" s="191">
        <f>'[1]Table 5'!E205*P205</f>
        <v>0</v>
      </c>
      <c r="D205" s="192" t="str">
        <f>IFERROR(G205*IF(AND(C205&lt;0,OR(Shape_Annually="No",AND(Shape_Annually="Yes",Shape_Start&gt;YEAR(B205)))),'MWH-Split'!T198,'MWH-Split'!S198)*'MWH-Split'!U198,"")</f>
        <v/>
      </c>
      <c r="E205" s="193" t="str">
        <f>IFERROR(H205*IF(AND(C205&lt;0,OR(Shape_Annually="No",AND(Shape_Annually="Yes",Shape_Start&gt;YEAR(B205)))),'MWH-Split'!S198,'MWH-Split'!T198)*'MWH-Split'!U198,"")</f>
        <v/>
      </c>
      <c r="F205" s="192">
        <f>'[1]Table 5'!F205*P205</f>
        <v>0</v>
      </c>
      <c r="G205" s="192" t="str">
        <f>IF('MWH-Split'!N198&lt;&gt;0,'MWH-Split'!N198*P205,"")</f>
        <v/>
      </c>
      <c r="H205" s="193" t="str">
        <f>IF('MWH-Split'!O198&lt;&gt;0,'MWH-Split'!O198*P205,"")</f>
        <v/>
      </c>
      <c r="I205" s="194" t="str">
        <f t="shared" ref="I205:I252" si="41">IFERROR(MAX(ROUND(IF(ISNUMBER(F205),SUM(D205:E205)/SUM(G205:H205),""),2),0),"")</f>
        <v/>
      </c>
      <c r="J205" s="194">
        <f t="shared" si="39"/>
        <v>0</v>
      </c>
      <c r="K205" s="195">
        <f t="shared" si="40"/>
        <v>0</v>
      </c>
      <c r="M205" s="176">
        <f t="shared" si="34"/>
        <v>2035</v>
      </c>
      <c r="N205" s="177" t="str">
        <f t="shared" si="36"/>
        <v/>
      </c>
      <c r="P205" s="196">
        <f>IF('Monthly Levelized'!$K$5+'Monthly Levelized'!$L$5&lt;&gt;0,IFERROR(VLOOKUP(B205,'Monthly Levelized'!$G$5:$I$25,3,FALSE),P204),1)</f>
        <v>1</v>
      </c>
      <c r="Q205" s="226" t="str">
        <f t="shared" si="35"/>
        <v>-</v>
      </c>
      <c r="R205" s="223"/>
      <c r="S205" s="224"/>
      <c r="T205" s="224"/>
      <c r="U205" s="224"/>
      <c r="V205" s="224"/>
    </row>
    <row r="206" spans="2:22" hidden="1" outlineLevel="1" x14ac:dyDescent="0.25">
      <c r="B206" s="177">
        <f t="shared" ref="B206:B264" si="42">EDATE(B205,1)</f>
        <v>49341</v>
      </c>
      <c r="C206" s="171">
        <f>'[1]Table 5'!E206*P206</f>
        <v>0</v>
      </c>
      <c r="D206" s="172" t="str">
        <f>IFERROR(G206*IF(AND(C206&lt;0,OR(Shape_Annually="No",AND(Shape_Annually="Yes",Shape_Start&gt;YEAR(B206)))),'MWH-Split'!T199,'MWH-Split'!S199)*'MWH-Split'!U199,"")</f>
        <v/>
      </c>
      <c r="E206" s="173" t="str">
        <f>IFERROR(H206*IF(AND(C206&lt;0,OR(Shape_Annually="No",AND(Shape_Annually="Yes",Shape_Start&gt;YEAR(B206)))),'MWH-Split'!S199,'MWH-Split'!T199)*'MWH-Split'!U199,"")</f>
        <v/>
      </c>
      <c r="F206" s="172">
        <f>'[1]Table 5'!F206*P206</f>
        <v>0</v>
      </c>
      <c r="G206" s="172" t="str">
        <f>IF('MWH-Split'!N199&lt;&gt;0,'MWH-Split'!N199*P206,"")</f>
        <v/>
      </c>
      <c r="H206" s="173" t="str">
        <f>IF('MWH-Split'!O199&lt;&gt;0,'MWH-Split'!O199*P206,"")</f>
        <v/>
      </c>
      <c r="I206" s="174" t="str">
        <f t="shared" si="41"/>
        <v/>
      </c>
      <c r="J206" s="174">
        <f t="shared" si="39"/>
        <v>0</v>
      </c>
      <c r="K206" s="175">
        <f t="shared" si="40"/>
        <v>0</v>
      </c>
      <c r="M206" s="180">
        <f t="shared" ref="M206:M264" si="43">YEAR(B206)</f>
        <v>2035</v>
      </c>
      <c r="N206" s="177" t="str">
        <f t="shared" si="36"/>
        <v/>
      </c>
      <c r="P206" s="178">
        <f>IF('Monthly Levelized'!$K$5+'Monthly Levelized'!$L$5&lt;&gt;0,IFERROR(VLOOKUP(B206,'Monthly Levelized'!$G$5:$I$25,3,FALSE),P205),1)</f>
        <v>1</v>
      </c>
      <c r="Q206" s="226" t="str">
        <f t="shared" ref="Q206:Q264" si="44">IFERROR(IF(AND(MONTH(N206)&gt;=6,MONTH(N206)&lt;=9),"Summer","Winter"),"-")</f>
        <v>-</v>
      </c>
      <c r="R206" s="223"/>
      <c r="S206" s="224"/>
      <c r="T206" s="224"/>
      <c r="U206" s="224"/>
      <c r="V206" s="224"/>
    </row>
    <row r="207" spans="2:22" hidden="1" outlineLevel="1" x14ac:dyDescent="0.25">
      <c r="B207" s="177">
        <f t="shared" si="42"/>
        <v>49369</v>
      </c>
      <c r="C207" s="171">
        <f>'[1]Table 5'!E207*P207</f>
        <v>0</v>
      </c>
      <c r="D207" s="172" t="str">
        <f>IFERROR(G207*IF(AND(C207&lt;0,OR(Shape_Annually="No",AND(Shape_Annually="Yes",Shape_Start&gt;YEAR(B207)))),'MWH-Split'!T200,'MWH-Split'!S200)*'MWH-Split'!U200,"")</f>
        <v/>
      </c>
      <c r="E207" s="173" t="str">
        <f>IFERROR(H207*IF(AND(C207&lt;0,OR(Shape_Annually="No",AND(Shape_Annually="Yes",Shape_Start&gt;YEAR(B207)))),'MWH-Split'!S200,'MWH-Split'!T200)*'MWH-Split'!U200,"")</f>
        <v/>
      </c>
      <c r="F207" s="172">
        <f>'[1]Table 5'!F207*P207</f>
        <v>0</v>
      </c>
      <c r="G207" s="172" t="str">
        <f>IF('MWH-Split'!N200&lt;&gt;0,'MWH-Split'!N200*P207,"")</f>
        <v/>
      </c>
      <c r="H207" s="173" t="str">
        <f>IF('MWH-Split'!O200&lt;&gt;0,'MWH-Split'!O200*P207,"")</f>
        <v/>
      </c>
      <c r="I207" s="174" t="str">
        <f t="shared" si="41"/>
        <v/>
      </c>
      <c r="J207" s="174">
        <f t="shared" si="39"/>
        <v>0</v>
      </c>
      <c r="K207" s="175">
        <f t="shared" si="40"/>
        <v>0</v>
      </c>
      <c r="M207" s="180">
        <f t="shared" si="43"/>
        <v>2035</v>
      </c>
      <c r="N207" s="177" t="str">
        <f t="shared" si="36"/>
        <v/>
      </c>
      <c r="P207" s="178">
        <f>IF('Monthly Levelized'!$K$5+'Monthly Levelized'!$L$5&lt;&gt;0,IFERROR(VLOOKUP(B207,'Monthly Levelized'!$G$5:$I$25,3,FALSE),P206),1)</f>
        <v>1</v>
      </c>
      <c r="Q207" s="226" t="str">
        <f t="shared" si="44"/>
        <v>-</v>
      </c>
      <c r="R207" s="223"/>
      <c r="S207" s="224"/>
      <c r="T207" s="224"/>
      <c r="U207" s="224"/>
      <c r="V207" s="224"/>
    </row>
    <row r="208" spans="2:22" hidden="1" outlineLevel="1" x14ac:dyDescent="0.25">
      <c r="B208" s="177">
        <f t="shared" si="42"/>
        <v>49400</v>
      </c>
      <c r="C208" s="171">
        <f>'[1]Table 5'!E208*P208</f>
        <v>0</v>
      </c>
      <c r="D208" s="172" t="str">
        <f>IFERROR(G208*IF(AND(C208&lt;0,OR(Shape_Annually="No",AND(Shape_Annually="Yes",Shape_Start&gt;YEAR(B208)))),'MWH-Split'!T201,'MWH-Split'!S201)*'MWH-Split'!U201,"")</f>
        <v/>
      </c>
      <c r="E208" s="173" t="str">
        <f>IFERROR(H208*IF(AND(C208&lt;0,OR(Shape_Annually="No",AND(Shape_Annually="Yes",Shape_Start&gt;YEAR(B208)))),'MWH-Split'!S201,'MWH-Split'!T201)*'MWH-Split'!U201,"")</f>
        <v/>
      </c>
      <c r="F208" s="172">
        <f>'[1]Table 5'!F208*P208</f>
        <v>0</v>
      </c>
      <c r="G208" s="172" t="str">
        <f>IF('MWH-Split'!N201&lt;&gt;0,'MWH-Split'!N201*P208,"")</f>
        <v/>
      </c>
      <c r="H208" s="173" t="str">
        <f>IF('MWH-Split'!O201&lt;&gt;0,'MWH-Split'!O201*P208,"")</f>
        <v/>
      </c>
      <c r="I208" s="174" t="str">
        <f t="shared" si="41"/>
        <v/>
      </c>
      <c r="J208" s="174">
        <f t="shared" si="39"/>
        <v>0</v>
      </c>
      <c r="K208" s="175">
        <f t="shared" si="40"/>
        <v>0</v>
      </c>
      <c r="M208" s="180">
        <f t="shared" si="43"/>
        <v>2035</v>
      </c>
      <c r="N208" s="177" t="str">
        <f t="shared" si="36"/>
        <v/>
      </c>
      <c r="P208" s="178">
        <f>IF('Monthly Levelized'!$K$5+'Monthly Levelized'!$L$5&lt;&gt;0,IFERROR(VLOOKUP(B208,'Monthly Levelized'!$G$5:$I$25,3,FALSE),P207),1)</f>
        <v>1</v>
      </c>
      <c r="Q208" s="226" t="str">
        <f t="shared" si="44"/>
        <v>-</v>
      </c>
      <c r="R208" s="223"/>
      <c r="S208" s="224"/>
      <c r="T208" s="224"/>
      <c r="U208" s="224"/>
      <c r="V208" s="224"/>
    </row>
    <row r="209" spans="2:22" hidden="1" outlineLevel="1" x14ac:dyDescent="0.25">
      <c r="B209" s="177">
        <f t="shared" si="42"/>
        <v>49430</v>
      </c>
      <c r="C209" s="171">
        <f>'[1]Table 5'!E209*P209</f>
        <v>0</v>
      </c>
      <c r="D209" s="172" t="str">
        <f>IFERROR(G209*IF(AND(C209&lt;0,OR(Shape_Annually="No",AND(Shape_Annually="Yes",Shape_Start&gt;YEAR(B209)))),'MWH-Split'!T202,'MWH-Split'!S202)*'MWH-Split'!U202,"")</f>
        <v/>
      </c>
      <c r="E209" s="173" t="str">
        <f>IFERROR(H209*IF(AND(C209&lt;0,OR(Shape_Annually="No",AND(Shape_Annually="Yes",Shape_Start&gt;YEAR(B209)))),'MWH-Split'!S202,'MWH-Split'!T202)*'MWH-Split'!U202,"")</f>
        <v/>
      </c>
      <c r="F209" s="172">
        <f>'[1]Table 5'!F209*P209</f>
        <v>0</v>
      </c>
      <c r="G209" s="172" t="str">
        <f>IF('MWH-Split'!N202&lt;&gt;0,'MWH-Split'!N202*P209,"")</f>
        <v/>
      </c>
      <c r="H209" s="173" t="str">
        <f>IF('MWH-Split'!O202&lt;&gt;0,'MWH-Split'!O202*P209,"")</f>
        <v/>
      </c>
      <c r="I209" s="174" t="str">
        <f t="shared" si="41"/>
        <v/>
      </c>
      <c r="J209" s="174">
        <f t="shared" si="39"/>
        <v>0</v>
      </c>
      <c r="K209" s="175">
        <f t="shared" si="40"/>
        <v>0</v>
      </c>
      <c r="M209" s="180">
        <f t="shared" si="43"/>
        <v>2035</v>
      </c>
      <c r="N209" s="177" t="str">
        <f t="shared" si="36"/>
        <v/>
      </c>
      <c r="P209" s="178">
        <f>IF('Monthly Levelized'!$K$5+'Monthly Levelized'!$L$5&lt;&gt;0,IFERROR(VLOOKUP(B209,'Monthly Levelized'!$G$5:$I$25,3,FALSE),P208),1)</f>
        <v>1</v>
      </c>
      <c r="Q209" s="226" t="str">
        <f t="shared" si="44"/>
        <v>-</v>
      </c>
      <c r="R209" s="223"/>
      <c r="S209" s="224"/>
      <c r="T209" s="224"/>
      <c r="U209" s="224"/>
      <c r="V209" s="224"/>
    </row>
    <row r="210" spans="2:22" hidden="1" outlineLevel="1" x14ac:dyDescent="0.25">
      <c r="B210" s="177">
        <f t="shared" si="42"/>
        <v>49461</v>
      </c>
      <c r="C210" s="171">
        <f>'[1]Table 5'!E210*P210</f>
        <v>0</v>
      </c>
      <c r="D210" s="172" t="str">
        <f>IFERROR(G210*IF(AND(C210&lt;0,OR(Shape_Annually="No",AND(Shape_Annually="Yes",Shape_Start&gt;YEAR(B210)))),'MWH-Split'!T203,'MWH-Split'!S203)*'MWH-Split'!U203,"")</f>
        <v/>
      </c>
      <c r="E210" s="173" t="str">
        <f>IFERROR(H210*IF(AND(C210&lt;0,OR(Shape_Annually="No",AND(Shape_Annually="Yes",Shape_Start&gt;YEAR(B210)))),'MWH-Split'!S203,'MWH-Split'!T203)*'MWH-Split'!U203,"")</f>
        <v/>
      </c>
      <c r="F210" s="172">
        <f>'[1]Table 5'!F210*P210</f>
        <v>0</v>
      </c>
      <c r="G210" s="172" t="str">
        <f>IF('MWH-Split'!N203&lt;&gt;0,'MWH-Split'!N203*P210,"")</f>
        <v/>
      </c>
      <c r="H210" s="173" t="str">
        <f>IF('MWH-Split'!O203&lt;&gt;0,'MWH-Split'!O203*P210,"")</f>
        <v/>
      </c>
      <c r="I210" s="174" t="str">
        <f t="shared" si="41"/>
        <v/>
      </c>
      <c r="J210" s="174">
        <f t="shared" si="39"/>
        <v>0</v>
      </c>
      <c r="K210" s="175">
        <f t="shared" si="40"/>
        <v>0</v>
      </c>
      <c r="M210" s="180">
        <f t="shared" si="43"/>
        <v>2035</v>
      </c>
      <c r="N210" s="177" t="str">
        <f t="shared" si="36"/>
        <v/>
      </c>
      <c r="P210" s="178">
        <f>IF('Monthly Levelized'!$K$5+'Monthly Levelized'!$L$5&lt;&gt;0,IFERROR(VLOOKUP(B210,'Monthly Levelized'!$G$5:$I$25,3,FALSE),P209),1)</f>
        <v>1</v>
      </c>
      <c r="Q210" s="226" t="str">
        <f t="shared" si="44"/>
        <v>-</v>
      </c>
      <c r="R210" s="223"/>
      <c r="S210" s="224"/>
      <c r="T210" s="224"/>
      <c r="U210" s="224"/>
      <c r="V210" s="224"/>
    </row>
    <row r="211" spans="2:22" hidden="1" outlineLevel="1" x14ac:dyDescent="0.25">
      <c r="B211" s="177">
        <f t="shared" si="42"/>
        <v>49491</v>
      </c>
      <c r="C211" s="171">
        <f>'[1]Table 5'!E211*P211</f>
        <v>0</v>
      </c>
      <c r="D211" s="172" t="str">
        <f>IFERROR(G211*IF(AND(C211&lt;0,OR(Shape_Annually="No",AND(Shape_Annually="Yes",Shape_Start&gt;YEAR(B211)))),'MWH-Split'!T204,'MWH-Split'!S204)*'MWH-Split'!U204,"")</f>
        <v/>
      </c>
      <c r="E211" s="173" t="str">
        <f>IFERROR(H211*IF(AND(C211&lt;0,OR(Shape_Annually="No",AND(Shape_Annually="Yes",Shape_Start&gt;YEAR(B211)))),'MWH-Split'!S204,'MWH-Split'!T204)*'MWH-Split'!U204,"")</f>
        <v/>
      </c>
      <c r="F211" s="172">
        <f>'[1]Table 5'!F211*P211</f>
        <v>0</v>
      </c>
      <c r="G211" s="172" t="str">
        <f>IF('MWH-Split'!N204&lt;&gt;0,'MWH-Split'!N204*P211,"")</f>
        <v/>
      </c>
      <c r="H211" s="173" t="str">
        <f>IF('MWH-Split'!O204&lt;&gt;0,'MWH-Split'!O204*P211,"")</f>
        <v/>
      </c>
      <c r="I211" s="174" t="str">
        <f t="shared" si="41"/>
        <v/>
      </c>
      <c r="J211" s="174">
        <f t="shared" si="39"/>
        <v>0</v>
      </c>
      <c r="K211" s="175">
        <f t="shared" si="40"/>
        <v>0</v>
      </c>
      <c r="M211" s="180">
        <f t="shared" si="43"/>
        <v>2035</v>
      </c>
      <c r="N211" s="177" t="str">
        <f t="shared" si="36"/>
        <v/>
      </c>
      <c r="P211" s="178">
        <f>IF('Monthly Levelized'!$K$5+'Monthly Levelized'!$L$5&lt;&gt;0,IFERROR(VLOOKUP(B211,'Monthly Levelized'!$G$5:$I$25,3,FALSE),P210),1)</f>
        <v>1</v>
      </c>
      <c r="Q211" s="226" t="str">
        <f t="shared" si="44"/>
        <v>-</v>
      </c>
      <c r="R211" s="223"/>
      <c r="S211" s="224"/>
      <c r="T211" s="224"/>
      <c r="U211" s="224"/>
      <c r="V211" s="224"/>
    </row>
    <row r="212" spans="2:22" hidden="1" outlineLevel="1" x14ac:dyDescent="0.25">
      <c r="B212" s="177">
        <f t="shared" si="42"/>
        <v>49522</v>
      </c>
      <c r="C212" s="171">
        <f>'[1]Table 5'!E212*P212</f>
        <v>0</v>
      </c>
      <c r="D212" s="172" t="str">
        <f>IFERROR(G212*IF(AND(C212&lt;0,OR(Shape_Annually="No",AND(Shape_Annually="Yes",Shape_Start&gt;YEAR(B212)))),'MWH-Split'!T205,'MWH-Split'!S205)*'MWH-Split'!U205,"")</f>
        <v/>
      </c>
      <c r="E212" s="173" t="str">
        <f>IFERROR(H212*IF(AND(C212&lt;0,OR(Shape_Annually="No",AND(Shape_Annually="Yes",Shape_Start&gt;YEAR(B212)))),'MWH-Split'!S205,'MWH-Split'!T205)*'MWH-Split'!U205,"")</f>
        <v/>
      </c>
      <c r="F212" s="172">
        <f>'[1]Table 5'!F212*P212</f>
        <v>0</v>
      </c>
      <c r="G212" s="172" t="str">
        <f>IF('MWH-Split'!N205&lt;&gt;0,'MWH-Split'!N205*P212,"")</f>
        <v/>
      </c>
      <c r="H212" s="173" t="str">
        <f>IF('MWH-Split'!O205&lt;&gt;0,'MWH-Split'!O205*P212,"")</f>
        <v/>
      </c>
      <c r="I212" s="174" t="str">
        <f t="shared" si="41"/>
        <v/>
      </c>
      <c r="J212" s="174">
        <f t="shared" si="39"/>
        <v>0</v>
      </c>
      <c r="K212" s="175">
        <f t="shared" si="40"/>
        <v>0</v>
      </c>
      <c r="M212" s="180">
        <f t="shared" si="43"/>
        <v>2035</v>
      </c>
      <c r="N212" s="177" t="str">
        <f t="shared" si="36"/>
        <v/>
      </c>
      <c r="P212" s="178">
        <f>IF('Monthly Levelized'!$K$5+'Monthly Levelized'!$L$5&lt;&gt;0,IFERROR(VLOOKUP(B212,'Monthly Levelized'!$G$5:$I$25,3,FALSE),P211),1)</f>
        <v>1</v>
      </c>
      <c r="Q212" s="226" t="str">
        <f t="shared" si="44"/>
        <v>-</v>
      </c>
      <c r="R212" s="223"/>
      <c r="S212" s="224"/>
      <c r="T212" s="224"/>
      <c r="U212" s="224"/>
      <c r="V212" s="224"/>
    </row>
    <row r="213" spans="2:22" hidden="1" outlineLevel="1" x14ac:dyDescent="0.25">
      <c r="B213" s="177">
        <f t="shared" si="42"/>
        <v>49553</v>
      </c>
      <c r="C213" s="171">
        <f>'[1]Table 5'!E213*P213</f>
        <v>0</v>
      </c>
      <c r="D213" s="172" t="str">
        <f>IFERROR(G213*IF(AND(C213&lt;0,OR(Shape_Annually="No",AND(Shape_Annually="Yes",Shape_Start&gt;YEAR(B213)))),'MWH-Split'!T206,'MWH-Split'!S206)*'MWH-Split'!U206,"")</f>
        <v/>
      </c>
      <c r="E213" s="173" t="str">
        <f>IFERROR(H213*IF(AND(C213&lt;0,OR(Shape_Annually="No",AND(Shape_Annually="Yes",Shape_Start&gt;YEAR(B213)))),'MWH-Split'!S206,'MWH-Split'!T206)*'MWH-Split'!U206,"")</f>
        <v/>
      </c>
      <c r="F213" s="172">
        <f>'[1]Table 5'!F213*P213</f>
        <v>0</v>
      </c>
      <c r="G213" s="172" t="str">
        <f>IF('MWH-Split'!N206&lt;&gt;0,'MWH-Split'!N206*P213,"")</f>
        <v/>
      </c>
      <c r="H213" s="173" t="str">
        <f>IF('MWH-Split'!O206&lt;&gt;0,'MWH-Split'!O206*P213,"")</f>
        <v/>
      </c>
      <c r="I213" s="174" t="str">
        <f t="shared" si="41"/>
        <v/>
      </c>
      <c r="J213" s="174">
        <f t="shared" si="39"/>
        <v>0</v>
      </c>
      <c r="K213" s="175">
        <f t="shared" si="40"/>
        <v>0</v>
      </c>
      <c r="M213" s="180">
        <f t="shared" si="43"/>
        <v>2035</v>
      </c>
      <c r="N213" s="177" t="str">
        <f t="shared" si="36"/>
        <v/>
      </c>
      <c r="P213" s="178">
        <f>IF('Monthly Levelized'!$K$5+'Monthly Levelized'!$L$5&lt;&gt;0,IFERROR(VLOOKUP(B213,'Monthly Levelized'!$G$5:$I$25,3,FALSE),P212),1)</f>
        <v>1</v>
      </c>
      <c r="Q213" s="226" t="str">
        <f t="shared" si="44"/>
        <v>-</v>
      </c>
      <c r="R213" s="223"/>
      <c r="S213" s="224"/>
      <c r="T213" s="224"/>
      <c r="U213" s="224"/>
      <c r="V213" s="224"/>
    </row>
    <row r="214" spans="2:22" hidden="1" outlineLevel="1" x14ac:dyDescent="0.25">
      <c r="B214" s="177">
        <f t="shared" si="42"/>
        <v>49583</v>
      </c>
      <c r="C214" s="171">
        <f>'[1]Table 5'!E214*P214</f>
        <v>0</v>
      </c>
      <c r="D214" s="172" t="str">
        <f>IFERROR(G214*IF(AND(C214&lt;0,OR(Shape_Annually="No",AND(Shape_Annually="Yes",Shape_Start&gt;YEAR(B214)))),'MWH-Split'!T207,'MWH-Split'!S207)*'MWH-Split'!U207,"")</f>
        <v/>
      </c>
      <c r="E214" s="173" t="str">
        <f>IFERROR(H214*IF(AND(C214&lt;0,OR(Shape_Annually="No",AND(Shape_Annually="Yes",Shape_Start&gt;YEAR(B214)))),'MWH-Split'!S207,'MWH-Split'!T207)*'MWH-Split'!U207,"")</f>
        <v/>
      </c>
      <c r="F214" s="172">
        <f>'[1]Table 5'!F214*P214</f>
        <v>0</v>
      </c>
      <c r="G214" s="172" t="str">
        <f>IF('MWH-Split'!N207&lt;&gt;0,'MWH-Split'!N207*P214,"")</f>
        <v/>
      </c>
      <c r="H214" s="173" t="str">
        <f>IF('MWH-Split'!O207&lt;&gt;0,'MWH-Split'!O207*P214,"")</f>
        <v/>
      </c>
      <c r="I214" s="174" t="str">
        <f t="shared" si="41"/>
        <v/>
      </c>
      <c r="J214" s="174">
        <f t="shared" si="39"/>
        <v>0</v>
      </c>
      <c r="K214" s="175">
        <f t="shared" si="40"/>
        <v>0</v>
      </c>
      <c r="M214" s="180">
        <f t="shared" si="43"/>
        <v>2035</v>
      </c>
      <c r="N214" s="177" t="str">
        <f t="shared" si="36"/>
        <v/>
      </c>
      <c r="P214" s="178">
        <f>IF('Monthly Levelized'!$K$5+'Monthly Levelized'!$L$5&lt;&gt;0,IFERROR(VLOOKUP(B214,'Monthly Levelized'!$G$5:$I$25,3,FALSE),P213),1)</f>
        <v>1</v>
      </c>
      <c r="Q214" s="226" t="str">
        <f t="shared" si="44"/>
        <v>-</v>
      </c>
      <c r="R214" s="223"/>
      <c r="S214" s="224"/>
      <c r="T214" s="224"/>
      <c r="U214" s="224"/>
      <c r="V214" s="224"/>
    </row>
    <row r="215" spans="2:22" hidden="1" outlineLevel="1" x14ac:dyDescent="0.25">
      <c r="B215" s="177">
        <f t="shared" si="42"/>
        <v>49614</v>
      </c>
      <c r="C215" s="171">
        <f>'[1]Table 5'!E215*P215</f>
        <v>0</v>
      </c>
      <c r="D215" s="172" t="str">
        <f>IFERROR(G215*IF(AND(C215&lt;0,OR(Shape_Annually="No",AND(Shape_Annually="Yes",Shape_Start&gt;YEAR(B215)))),'MWH-Split'!T208,'MWH-Split'!S208)*'MWH-Split'!U208,"")</f>
        <v/>
      </c>
      <c r="E215" s="173" t="str">
        <f>IFERROR(H215*IF(AND(C215&lt;0,OR(Shape_Annually="No",AND(Shape_Annually="Yes",Shape_Start&gt;YEAR(B215)))),'MWH-Split'!S208,'MWH-Split'!T208)*'MWH-Split'!U208,"")</f>
        <v/>
      </c>
      <c r="F215" s="172">
        <f>'[1]Table 5'!F215*P215</f>
        <v>0</v>
      </c>
      <c r="G215" s="172" t="str">
        <f>IF('MWH-Split'!N208&lt;&gt;0,'MWH-Split'!N208*P215,"")</f>
        <v/>
      </c>
      <c r="H215" s="173" t="str">
        <f>IF('MWH-Split'!O208&lt;&gt;0,'MWH-Split'!O208*P215,"")</f>
        <v/>
      </c>
      <c r="I215" s="174" t="str">
        <f t="shared" si="41"/>
        <v/>
      </c>
      <c r="J215" s="174">
        <f t="shared" si="39"/>
        <v>0</v>
      </c>
      <c r="K215" s="175">
        <f t="shared" si="40"/>
        <v>0</v>
      </c>
      <c r="M215" s="180">
        <f t="shared" si="43"/>
        <v>2035</v>
      </c>
      <c r="N215" s="177" t="str">
        <f t="shared" si="36"/>
        <v/>
      </c>
      <c r="P215" s="178">
        <f>IF('Monthly Levelized'!$K$5+'Monthly Levelized'!$L$5&lt;&gt;0,IFERROR(VLOOKUP(B215,'Monthly Levelized'!$G$5:$I$25,3,FALSE),P214),1)</f>
        <v>1</v>
      </c>
      <c r="Q215" s="226" t="str">
        <f t="shared" si="44"/>
        <v>-</v>
      </c>
      <c r="R215" s="223"/>
      <c r="S215" s="224"/>
      <c r="T215" s="224"/>
      <c r="U215" s="224"/>
      <c r="V215" s="224"/>
    </row>
    <row r="216" spans="2:22" hidden="1" outlineLevel="1" x14ac:dyDescent="0.25">
      <c r="B216" s="188">
        <f t="shared" si="42"/>
        <v>49644</v>
      </c>
      <c r="C216" s="182">
        <f>'[1]Table 5'!E216*P216</f>
        <v>0</v>
      </c>
      <c r="D216" s="183" t="str">
        <f>IFERROR(G216*IF(AND(C216&lt;0,OR(Shape_Annually="No",AND(Shape_Annually="Yes",Shape_Start&gt;YEAR(B216)))),'MWH-Split'!T209,'MWH-Split'!S209)*'MWH-Split'!U209,"")</f>
        <v/>
      </c>
      <c r="E216" s="184" t="str">
        <f>IFERROR(H216*IF(AND(C216&lt;0,OR(Shape_Annually="No",AND(Shape_Annually="Yes",Shape_Start&gt;YEAR(B216)))),'MWH-Split'!S209,'MWH-Split'!T209)*'MWH-Split'!U209,"")</f>
        <v/>
      </c>
      <c r="F216" s="183">
        <f>'[1]Table 5'!F216*P216</f>
        <v>0</v>
      </c>
      <c r="G216" s="183" t="str">
        <f>IF('MWH-Split'!N209&lt;&gt;0,'MWH-Split'!N209*P216,"")</f>
        <v/>
      </c>
      <c r="H216" s="184" t="str">
        <f>IF('MWH-Split'!O209&lt;&gt;0,'MWH-Split'!O209*P216,"")</f>
        <v/>
      </c>
      <c r="I216" s="185" t="str">
        <f t="shared" si="41"/>
        <v/>
      </c>
      <c r="J216" s="185">
        <f t="shared" si="39"/>
        <v>0</v>
      </c>
      <c r="K216" s="186">
        <f t="shared" si="40"/>
        <v>0</v>
      </c>
      <c r="M216" s="187">
        <f t="shared" si="43"/>
        <v>2035</v>
      </c>
      <c r="N216" s="188" t="str">
        <f t="shared" si="36"/>
        <v/>
      </c>
      <c r="P216" s="189">
        <f>IF('Monthly Levelized'!$K$5+'Monthly Levelized'!$L$5&lt;&gt;0,IFERROR(VLOOKUP(B216,'Monthly Levelized'!$G$5:$I$25,3,FALSE),P215),1)</f>
        <v>1</v>
      </c>
      <c r="Q216" s="226" t="str">
        <f t="shared" si="44"/>
        <v>-</v>
      </c>
      <c r="R216" s="223"/>
      <c r="S216" s="224"/>
      <c r="T216" s="224"/>
      <c r="U216" s="224"/>
      <c r="V216" s="224"/>
    </row>
    <row r="217" spans="2:22" hidden="1" outlineLevel="1" x14ac:dyDescent="0.25">
      <c r="B217" s="190">
        <f t="shared" si="42"/>
        <v>49675</v>
      </c>
      <c r="C217" s="191">
        <f>'[1]Table 5'!E217*P217</f>
        <v>0</v>
      </c>
      <c r="D217" s="192" t="str">
        <f>IFERROR(G217*IF(AND(C217&lt;0,OR(Shape_Annually="No",AND(Shape_Annually="Yes",Shape_Start&gt;YEAR(B217)))),'MWH-Split'!T210,'MWH-Split'!S210)*'MWH-Split'!U210,"")</f>
        <v/>
      </c>
      <c r="E217" s="193" t="str">
        <f>IFERROR(H217*IF(AND(C217&lt;0,OR(Shape_Annually="No",AND(Shape_Annually="Yes",Shape_Start&gt;YEAR(B217)))),'MWH-Split'!S210,'MWH-Split'!T210)*'MWH-Split'!U210,"")</f>
        <v/>
      </c>
      <c r="F217" s="192">
        <f>'[1]Table 5'!F217*P217</f>
        <v>0</v>
      </c>
      <c r="G217" s="192" t="e">
        <f>IF('MWH-Split'!N210&lt;&gt;0,'MWH-Split'!N210*P217,"")</f>
        <v>#VALUE!</v>
      </c>
      <c r="H217" s="193" t="e">
        <f>IF('MWH-Split'!O210&lt;&gt;0,'MWH-Split'!O210*P217,"")</f>
        <v>#VALUE!</v>
      </c>
      <c r="I217" s="194" t="str">
        <f t="shared" si="41"/>
        <v/>
      </c>
      <c r="J217" s="194">
        <f t="shared" si="39"/>
        <v>0</v>
      </c>
      <c r="K217" s="195">
        <f t="shared" si="40"/>
        <v>0</v>
      </c>
      <c r="M217" s="176">
        <f t="shared" si="43"/>
        <v>2036</v>
      </c>
      <c r="N217" s="177" t="str">
        <f t="shared" si="36"/>
        <v/>
      </c>
      <c r="P217" s="196">
        <f>IF('Monthly Levelized'!$K$5+'Monthly Levelized'!$L$5&lt;&gt;0,IFERROR(VLOOKUP(B217,'Monthly Levelized'!$G$5:$I$25,3,FALSE),P216),1)</f>
        <v>1</v>
      </c>
      <c r="Q217" s="226" t="str">
        <f t="shared" si="44"/>
        <v>-</v>
      </c>
      <c r="R217" s="223"/>
      <c r="S217" s="224"/>
      <c r="T217" s="224"/>
      <c r="U217" s="224"/>
      <c r="V217" s="224"/>
    </row>
    <row r="218" spans="2:22" hidden="1" outlineLevel="1" x14ac:dyDescent="0.25">
      <c r="B218" s="177">
        <f t="shared" si="42"/>
        <v>49706</v>
      </c>
      <c r="C218" s="171">
        <f>'[1]Table 5'!E218*P218</f>
        <v>0</v>
      </c>
      <c r="D218" s="172" t="str">
        <f>IFERROR(G218*IF(AND(C218&lt;0,OR(Shape_Annually="No",AND(Shape_Annually="Yes",Shape_Start&gt;YEAR(B218)))),'MWH-Split'!T211,'MWH-Split'!S211)*'MWH-Split'!U211,"")</f>
        <v/>
      </c>
      <c r="E218" s="173" t="str">
        <f>IFERROR(H218*IF(AND(C218&lt;0,OR(Shape_Annually="No",AND(Shape_Annually="Yes",Shape_Start&gt;YEAR(B218)))),'MWH-Split'!S211,'MWH-Split'!T211)*'MWH-Split'!U211,"")</f>
        <v/>
      </c>
      <c r="F218" s="172">
        <f>'[1]Table 5'!F218*P218</f>
        <v>0</v>
      </c>
      <c r="G218" s="172" t="e">
        <f>IF('MWH-Split'!N211&lt;&gt;0,'MWH-Split'!N211*P218,"")</f>
        <v>#DIV/0!</v>
      </c>
      <c r="H218" s="173" t="e">
        <f>IF('MWH-Split'!O211&lt;&gt;0,'MWH-Split'!O211*P218,"")</f>
        <v>#DIV/0!</v>
      </c>
      <c r="I218" s="174" t="str">
        <f t="shared" si="41"/>
        <v/>
      </c>
      <c r="J218" s="174">
        <f t="shared" si="39"/>
        <v>0</v>
      </c>
      <c r="K218" s="175">
        <f t="shared" si="40"/>
        <v>0</v>
      </c>
      <c r="M218" s="180">
        <f t="shared" si="43"/>
        <v>2036</v>
      </c>
      <c r="N218" s="177" t="str">
        <f t="shared" ref="N218:N264" si="45">IF(ISNUMBER(F218),IF(F218&lt;&gt;0,B218,""),"")</f>
        <v/>
      </c>
      <c r="P218" s="178">
        <f>IF('Monthly Levelized'!$K$5+'Monthly Levelized'!$L$5&lt;&gt;0,IFERROR(VLOOKUP(B218,'Monthly Levelized'!$G$5:$I$25,3,FALSE),P217),1)</f>
        <v>1</v>
      </c>
      <c r="Q218" s="226" t="str">
        <f t="shared" si="44"/>
        <v>-</v>
      </c>
      <c r="R218" s="223"/>
      <c r="S218" s="224"/>
      <c r="T218" s="224"/>
      <c r="U218" s="224"/>
      <c r="V218" s="224"/>
    </row>
    <row r="219" spans="2:22" hidden="1" outlineLevel="1" x14ac:dyDescent="0.25">
      <c r="B219" s="177">
        <f t="shared" si="42"/>
        <v>49735</v>
      </c>
      <c r="C219" s="171">
        <f>'[1]Table 5'!E219*P219</f>
        <v>0</v>
      </c>
      <c r="D219" s="172" t="str">
        <f>IFERROR(G219*IF(AND(C219&lt;0,OR(Shape_Annually="No",AND(Shape_Annually="Yes",Shape_Start&gt;YEAR(B219)))),'MWH-Split'!T212,'MWH-Split'!S212)*'MWH-Split'!U212,"")</f>
        <v/>
      </c>
      <c r="E219" s="173" t="str">
        <f>IFERROR(H219*IF(AND(C219&lt;0,OR(Shape_Annually="No",AND(Shape_Annually="Yes",Shape_Start&gt;YEAR(B219)))),'MWH-Split'!S212,'MWH-Split'!T212)*'MWH-Split'!U212,"")</f>
        <v/>
      </c>
      <c r="F219" s="172">
        <f>'[1]Table 5'!F219*P219</f>
        <v>0</v>
      </c>
      <c r="G219" s="172" t="e">
        <f>IF('MWH-Split'!N212&lt;&gt;0,'MWH-Split'!N212*P219,"")</f>
        <v>#DIV/0!</v>
      </c>
      <c r="H219" s="173" t="e">
        <f>IF('MWH-Split'!O212&lt;&gt;0,'MWH-Split'!O212*P219,"")</f>
        <v>#DIV/0!</v>
      </c>
      <c r="I219" s="174" t="str">
        <f t="shared" si="41"/>
        <v/>
      </c>
      <c r="J219" s="174">
        <f t="shared" si="39"/>
        <v>0</v>
      </c>
      <c r="K219" s="175">
        <f t="shared" si="40"/>
        <v>0</v>
      </c>
      <c r="M219" s="180">
        <f t="shared" si="43"/>
        <v>2036</v>
      </c>
      <c r="N219" s="177" t="str">
        <f t="shared" si="45"/>
        <v/>
      </c>
      <c r="P219" s="178">
        <f>IF('Monthly Levelized'!$K$5+'Monthly Levelized'!$L$5&lt;&gt;0,IFERROR(VLOOKUP(B219,'Monthly Levelized'!$G$5:$I$25,3,FALSE),P218),1)</f>
        <v>1</v>
      </c>
      <c r="Q219" s="226" t="str">
        <f t="shared" si="44"/>
        <v>-</v>
      </c>
      <c r="R219" s="223"/>
      <c r="S219" s="224"/>
      <c r="T219" s="224"/>
      <c r="U219" s="224"/>
      <c r="V219" s="224"/>
    </row>
    <row r="220" spans="2:22" hidden="1" outlineLevel="1" x14ac:dyDescent="0.25">
      <c r="B220" s="177">
        <f t="shared" si="42"/>
        <v>49766</v>
      </c>
      <c r="C220" s="171">
        <f>'[1]Table 5'!E220*P220</f>
        <v>0</v>
      </c>
      <c r="D220" s="172" t="str">
        <f>IFERROR(G220*IF(AND(C220&lt;0,OR(Shape_Annually="No",AND(Shape_Annually="Yes",Shape_Start&gt;YEAR(B220)))),'MWH-Split'!T213,'MWH-Split'!S213)*'MWH-Split'!U213,"")</f>
        <v/>
      </c>
      <c r="E220" s="173" t="str">
        <f>IFERROR(H220*IF(AND(C220&lt;0,OR(Shape_Annually="No",AND(Shape_Annually="Yes",Shape_Start&gt;YEAR(B220)))),'MWH-Split'!S213,'MWH-Split'!T213)*'MWH-Split'!U213,"")</f>
        <v/>
      </c>
      <c r="F220" s="172">
        <f>'[1]Table 5'!F220*P220</f>
        <v>0</v>
      </c>
      <c r="G220" s="172" t="e">
        <f>IF('MWH-Split'!N213&lt;&gt;0,'MWH-Split'!N213*P220,"")</f>
        <v>#DIV/0!</v>
      </c>
      <c r="H220" s="173" t="e">
        <f>IF('MWH-Split'!O213&lt;&gt;0,'MWH-Split'!O213*P220,"")</f>
        <v>#DIV/0!</v>
      </c>
      <c r="I220" s="174" t="str">
        <f t="shared" si="41"/>
        <v/>
      </c>
      <c r="J220" s="174">
        <f t="shared" si="39"/>
        <v>0</v>
      </c>
      <c r="K220" s="175">
        <f t="shared" si="40"/>
        <v>0</v>
      </c>
      <c r="M220" s="180">
        <f t="shared" si="43"/>
        <v>2036</v>
      </c>
      <c r="N220" s="177" t="str">
        <f t="shared" si="45"/>
        <v/>
      </c>
      <c r="P220" s="178">
        <f>IF('Monthly Levelized'!$K$5+'Monthly Levelized'!$L$5&lt;&gt;0,IFERROR(VLOOKUP(B220,'Monthly Levelized'!$G$5:$I$25,3,FALSE),P219),1)</f>
        <v>1</v>
      </c>
      <c r="Q220" s="226" t="str">
        <f t="shared" si="44"/>
        <v>-</v>
      </c>
      <c r="R220" s="223"/>
      <c r="S220" s="224"/>
      <c r="T220" s="224"/>
      <c r="U220" s="224"/>
      <c r="V220" s="224"/>
    </row>
    <row r="221" spans="2:22" hidden="1" outlineLevel="1" x14ac:dyDescent="0.25">
      <c r="B221" s="177">
        <f t="shared" si="42"/>
        <v>49796</v>
      </c>
      <c r="C221" s="171">
        <f>'[1]Table 5'!E221*P221</f>
        <v>0</v>
      </c>
      <c r="D221" s="172" t="str">
        <f>IFERROR(G221*IF(AND(C221&lt;0,OR(Shape_Annually="No",AND(Shape_Annually="Yes",Shape_Start&gt;YEAR(B221)))),'MWH-Split'!T214,'MWH-Split'!S214)*'MWH-Split'!U214,"")</f>
        <v/>
      </c>
      <c r="E221" s="173" t="str">
        <f>IFERROR(H221*IF(AND(C221&lt;0,OR(Shape_Annually="No",AND(Shape_Annually="Yes",Shape_Start&gt;YEAR(B221)))),'MWH-Split'!S214,'MWH-Split'!T214)*'MWH-Split'!U214,"")</f>
        <v/>
      </c>
      <c r="F221" s="172">
        <f>'[1]Table 5'!F221*P221</f>
        <v>0</v>
      </c>
      <c r="G221" s="172" t="e">
        <f>IF('MWH-Split'!N214&lt;&gt;0,'MWH-Split'!N214*P221,"")</f>
        <v>#DIV/0!</v>
      </c>
      <c r="H221" s="173" t="e">
        <f>IF('MWH-Split'!O214&lt;&gt;0,'MWH-Split'!O214*P221,"")</f>
        <v>#DIV/0!</v>
      </c>
      <c r="I221" s="174" t="str">
        <f t="shared" si="41"/>
        <v/>
      </c>
      <c r="J221" s="174">
        <f t="shared" si="39"/>
        <v>0</v>
      </c>
      <c r="K221" s="175">
        <f t="shared" si="40"/>
        <v>0</v>
      </c>
      <c r="M221" s="180">
        <f t="shared" si="43"/>
        <v>2036</v>
      </c>
      <c r="N221" s="177" t="str">
        <f t="shared" si="45"/>
        <v/>
      </c>
      <c r="P221" s="178">
        <f>IF('Monthly Levelized'!$K$5+'Monthly Levelized'!$L$5&lt;&gt;0,IFERROR(VLOOKUP(B221,'Monthly Levelized'!$G$5:$I$25,3,FALSE),P220),1)</f>
        <v>1</v>
      </c>
      <c r="Q221" s="226" t="str">
        <f t="shared" si="44"/>
        <v>-</v>
      </c>
      <c r="R221" s="223"/>
      <c r="S221" s="224"/>
      <c r="T221" s="224"/>
      <c r="U221" s="224"/>
      <c r="V221" s="224"/>
    </row>
    <row r="222" spans="2:22" hidden="1" outlineLevel="1" x14ac:dyDescent="0.25">
      <c r="B222" s="177">
        <f t="shared" si="42"/>
        <v>49827</v>
      </c>
      <c r="C222" s="171">
        <f>'[1]Table 5'!E222*P222</f>
        <v>0</v>
      </c>
      <c r="D222" s="172" t="str">
        <f>IFERROR(G222*IF(AND(C222&lt;0,OR(Shape_Annually="No",AND(Shape_Annually="Yes",Shape_Start&gt;YEAR(B222)))),'MWH-Split'!T215,'MWH-Split'!S215)*'MWH-Split'!U215,"")</f>
        <v/>
      </c>
      <c r="E222" s="173" t="str">
        <f>IFERROR(H222*IF(AND(C222&lt;0,OR(Shape_Annually="No",AND(Shape_Annually="Yes",Shape_Start&gt;YEAR(B222)))),'MWH-Split'!S215,'MWH-Split'!T215)*'MWH-Split'!U215,"")</f>
        <v/>
      </c>
      <c r="F222" s="172">
        <f>'[1]Table 5'!F222*P222</f>
        <v>0</v>
      </c>
      <c r="G222" s="172" t="e">
        <f>IF('MWH-Split'!N215&lt;&gt;0,'MWH-Split'!N215*P222,"")</f>
        <v>#DIV/0!</v>
      </c>
      <c r="H222" s="173" t="e">
        <f>IF('MWH-Split'!O215&lt;&gt;0,'MWH-Split'!O215*P222,"")</f>
        <v>#DIV/0!</v>
      </c>
      <c r="I222" s="174" t="str">
        <f t="shared" si="41"/>
        <v/>
      </c>
      <c r="J222" s="174">
        <f t="shared" si="39"/>
        <v>0</v>
      </c>
      <c r="K222" s="175">
        <f t="shared" si="40"/>
        <v>0</v>
      </c>
      <c r="M222" s="180">
        <f t="shared" si="43"/>
        <v>2036</v>
      </c>
      <c r="N222" s="177" t="str">
        <f t="shared" si="45"/>
        <v/>
      </c>
      <c r="P222" s="178">
        <f>IF('Monthly Levelized'!$K$5+'Monthly Levelized'!$L$5&lt;&gt;0,IFERROR(VLOOKUP(B222,'Monthly Levelized'!$G$5:$I$25,3,FALSE),P221),1)</f>
        <v>1</v>
      </c>
      <c r="Q222" s="226" t="str">
        <f t="shared" si="44"/>
        <v>-</v>
      </c>
      <c r="R222" s="223"/>
      <c r="S222" s="224"/>
      <c r="T222" s="224"/>
      <c r="U222" s="224"/>
      <c r="V222" s="224"/>
    </row>
    <row r="223" spans="2:22" hidden="1" outlineLevel="1" x14ac:dyDescent="0.25">
      <c r="B223" s="177">
        <f t="shared" si="42"/>
        <v>49857</v>
      </c>
      <c r="C223" s="171">
        <f>'[1]Table 5'!E223*P223</f>
        <v>0</v>
      </c>
      <c r="D223" s="172" t="str">
        <f>IFERROR(G223*IF(AND(C223&lt;0,OR(Shape_Annually="No",AND(Shape_Annually="Yes",Shape_Start&gt;YEAR(B223)))),'MWH-Split'!T216,'MWH-Split'!S216)*'MWH-Split'!U216,"")</f>
        <v/>
      </c>
      <c r="E223" s="173" t="str">
        <f>IFERROR(H223*IF(AND(C223&lt;0,OR(Shape_Annually="No",AND(Shape_Annually="Yes",Shape_Start&gt;YEAR(B223)))),'MWH-Split'!S216,'MWH-Split'!T216)*'MWH-Split'!U216,"")</f>
        <v/>
      </c>
      <c r="F223" s="172">
        <f>'[1]Table 5'!F223*P223</f>
        <v>0</v>
      </c>
      <c r="G223" s="172" t="e">
        <f>IF('MWH-Split'!N216&lt;&gt;0,'MWH-Split'!N216*P223,"")</f>
        <v>#DIV/0!</v>
      </c>
      <c r="H223" s="173" t="e">
        <f>IF('MWH-Split'!O216&lt;&gt;0,'MWH-Split'!O216*P223,"")</f>
        <v>#DIV/0!</v>
      </c>
      <c r="I223" s="174" t="str">
        <f t="shared" si="41"/>
        <v/>
      </c>
      <c r="J223" s="174">
        <f t="shared" si="39"/>
        <v>0</v>
      </c>
      <c r="K223" s="175">
        <f t="shared" si="40"/>
        <v>0</v>
      </c>
      <c r="M223" s="180">
        <f t="shared" si="43"/>
        <v>2036</v>
      </c>
      <c r="N223" s="177" t="str">
        <f t="shared" si="45"/>
        <v/>
      </c>
      <c r="P223" s="178">
        <f>IF('Monthly Levelized'!$K$5+'Monthly Levelized'!$L$5&lt;&gt;0,IFERROR(VLOOKUP(B223,'Monthly Levelized'!$G$5:$I$25,3,FALSE),P222),1)</f>
        <v>1</v>
      </c>
      <c r="Q223" s="226" t="str">
        <f t="shared" si="44"/>
        <v>-</v>
      </c>
      <c r="R223" s="223"/>
      <c r="S223" s="224"/>
      <c r="T223" s="224"/>
      <c r="U223" s="224"/>
      <c r="V223" s="224"/>
    </row>
    <row r="224" spans="2:22" hidden="1" outlineLevel="1" x14ac:dyDescent="0.25">
      <c r="B224" s="177">
        <f t="shared" si="42"/>
        <v>49888</v>
      </c>
      <c r="C224" s="171">
        <f>'[1]Table 5'!E224*P224</f>
        <v>0</v>
      </c>
      <c r="D224" s="172" t="str">
        <f>IFERROR(G224*IF(AND(C224&lt;0,OR(Shape_Annually="No",AND(Shape_Annually="Yes",Shape_Start&gt;YEAR(B224)))),'MWH-Split'!T217,'MWH-Split'!S217)*'MWH-Split'!U217,"")</f>
        <v/>
      </c>
      <c r="E224" s="173" t="str">
        <f>IFERROR(H224*IF(AND(C224&lt;0,OR(Shape_Annually="No",AND(Shape_Annually="Yes",Shape_Start&gt;YEAR(B224)))),'MWH-Split'!S217,'MWH-Split'!T217)*'MWH-Split'!U217,"")</f>
        <v/>
      </c>
      <c r="F224" s="172">
        <f>'[1]Table 5'!F224*P224</f>
        <v>0</v>
      </c>
      <c r="G224" s="172" t="e">
        <f>IF('MWH-Split'!N217&lt;&gt;0,'MWH-Split'!N217*P224,"")</f>
        <v>#DIV/0!</v>
      </c>
      <c r="H224" s="173" t="e">
        <f>IF('MWH-Split'!O217&lt;&gt;0,'MWH-Split'!O217*P224,"")</f>
        <v>#DIV/0!</v>
      </c>
      <c r="I224" s="174" t="str">
        <f t="shared" si="41"/>
        <v/>
      </c>
      <c r="J224" s="174">
        <f t="shared" si="39"/>
        <v>0</v>
      </c>
      <c r="K224" s="175">
        <f t="shared" si="40"/>
        <v>0</v>
      </c>
      <c r="M224" s="180">
        <f t="shared" si="43"/>
        <v>2036</v>
      </c>
      <c r="N224" s="177" t="str">
        <f t="shared" si="45"/>
        <v/>
      </c>
      <c r="P224" s="178">
        <f>IF('Monthly Levelized'!$K$5+'Monthly Levelized'!$L$5&lt;&gt;0,IFERROR(VLOOKUP(B224,'Monthly Levelized'!$G$5:$I$25,3,FALSE),P223),1)</f>
        <v>1</v>
      </c>
      <c r="Q224" s="226" t="str">
        <f t="shared" si="44"/>
        <v>-</v>
      </c>
      <c r="R224" s="223"/>
      <c r="S224" s="224"/>
      <c r="T224" s="224"/>
      <c r="U224" s="224"/>
      <c r="V224" s="224"/>
    </row>
    <row r="225" spans="2:22" hidden="1" outlineLevel="1" x14ac:dyDescent="0.25">
      <c r="B225" s="177">
        <f t="shared" si="42"/>
        <v>49919</v>
      </c>
      <c r="C225" s="171">
        <f>'[1]Table 5'!E225*P225</f>
        <v>0</v>
      </c>
      <c r="D225" s="172" t="str">
        <f>IFERROR(G225*IF(AND(C225&lt;0,OR(Shape_Annually="No",AND(Shape_Annually="Yes",Shape_Start&gt;YEAR(B225)))),'MWH-Split'!T218,'MWH-Split'!S218)*'MWH-Split'!U218,"")</f>
        <v/>
      </c>
      <c r="E225" s="173" t="str">
        <f>IFERROR(H225*IF(AND(C225&lt;0,OR(Shape_Annually="No",AND(Shape_Annually="Yes",Shape_Start&gt;YEAR(B225)))),'MWH-Split'!S218,'MWH-Split'!T218)*'MWH-Split'!U218,"")</f>
        <v/>
      </c>
      <c r="F225" s="172">
        <f>'[1]Table 5'!F225*P225</f>
        <v>0</v>
      </c>
      <c r="G225" s="172" t="e">
        <f>IF('MWH-Split'!N218&lt;&gt;0,'MWH-Split'!N218*P225,"")</f>
        <v>#DIV/0!</v>
      </c>
      <c r="H225" s="173" t="e">
        <f>IF('MWH-Split'!O218&lt;&gt;0,'MWH-Split'!O218*P225,"")</f>
        <v>#DIV/0!</v>
      </c>
      <c r="I225" s="174" t="str">
        <f t="shared" si="41"/>
        <v/>
      </c>
      <c r="J225" s="174">
        <f t="shared" si="39"/>
        <v>0</v>
      </c>
      <c r="K225" s="175">
        <f t="shared" si="40"/>
        <v>0</v>
      </c>
      <c r="M225" s="180">
        <f t="shared" si="43"/>
        <v>2036</v>
      </c>
      <c r="N225" s="177" t="str">
        <f t="shared" si="45"/>
        <v/>
      </c>
      <c r="P225" s="178">
        <f>IF('Monthly Levelized'!$K$5+'Monthly Levelized'!$L$5&lt;&gt;0,IFERROR(VLOOKUP(B225,'Monthly Levelized'!$G$5:$I$25,3,FALSE),P224),1)</f>
        <v>1</v>
      </c>
      <c r="Q225" s="226" t="str">
        <f t="shared" si="44"/>
        <v>-</v>
      </c>
      <c r="R225" s="223"/>
      <c r="S225" s="224"/>
      <c r="T225" s="224"/>
      <c r="U225" s="224"/>
      <c r="V225" s="224"/>
    </row>
    <row r="226" spans="2:22" hidden="1" outlineLevel="1" x14ac:dyDescent="0.25">
      <c r="B226" s="177">
        <f t="shared" si="42"/>
        <v>49949</v>
      </c>
      <c r="C226" s="171">
        <f>'[1]Table 5'!E226*P226</f>
        <v>0</v>
      </c>
      <c r="D226" s="172" t="str">
        <f>IFERROR(G226*IF(AND(C226&lt;0,OR(Shape_Annually="No",AND(Shape_Annually="Yes",Shape_Start&gt;YEAR(B226)))),'MWH-Split'!T219,'MWH-Split'!S219)*'MWH-Split'!U219,"")</f>
        <v/>
      </c>
      <c r="E226" s="173" t="str">
        <f>IFERROR(H226*IF(AND(C226&lt;0,OR(Shape_Annually="No",AND(Shape_Annually="Yes",Shape_Start&gt;YEAR(B226)))),'MWH-Split'!S219,'MWH-Split'!T219)*'MWH-Split'!U219,"")</f>
        <v/>
      </c>
      <c r="F226" s="172">
        <f>'[1]Table 5'!F226*P226</f>
        <v>0</v>
      </c>
      <c r="G226" s="172" t="e">
        <f>IF('MWH-Split'!N219&lt;&gt;0,'MWH-Split'!N219*P226,"")</f>
        <v>#DIV/0!</v>
      </c>
      <c r="H226" s="173" t="e">
        <f>IF('MWH-Split'!O219&lt;&gt;0,'MWH-Split'!O219*P226,"")</f>
        <v>#DIV/0!</v>
      </c>
      <c r="I226" s="174" t="str">
        <f t="shared" si="41"/>
        <v/>
      </c>
      <c r="J226" s="174">
        <f t="shared" si="39"/>
        <v>0</v>
      </c>
      <c r="K226" s="175">
        <f t="shared" si="40"/>
        <v>0</v>
      </c>
      <c r="M226" s="180">
        <f t="shared" si="43"/>
        <v>2036</v>
      </c>
      <c r="N226" s="177" t="str">
        <f t="shared" si="45"/>
        <v/>
      </c>
      <c r="P226" s="178">
        <f>IF('Monthly Levelized'!$K$5+'Monthly Levelized'!$L$5&lt;&gt;0,IFERROR(VLOOKUP(B226,'Monthly Levelized'!$G$5:$I$25,3,FALSE),P225),1)</f>
        <v>1</v>
      </c>
      <c r="Q226" s="226" t="str">
        <f t="shared" si="44"/>
        <v>-</v>
      </c>
      <c r="R226" s="223"/>
      <c r="S226" s="224"/>
      <c r="T226" s="224"/>
      <c r="U226" s="224"/>
      <c r="V226" s="224"/>
    </row>
    <row r="227" spans="2:22" hidden="1" outlineLevel="1" x14ac:dyDescent="0.25">
      <c r="B227" s="177">
        <f t="shared" si="42"/>
        <v>49980</v>
      </c>
      <c r="C227" s="171">
        <f>'[1]Table 5'!E227*P227</f>
        <v>0</v>
      </c>
      <c r="D227" s="172" t="str">
        <f>IFERROR(G227*IF(AND(C227&lt;0,OR(Shape_Annually="No",AND(Shape_Annually="Yes",Shape_Start&gt;YEAR(B227)))),'MWH-Split'!T220,'MWH-Split'!S220)*'MWH-Split'!U220,"")</f>
        <v/>
      </c>
      <c r="E227" s="173" t="str">
        <f>IFERROR(H227*IF(AND(C227&lt;0,OR(Shape_Annually="No",AND(Shape_Annually="Yes",Shape_Start&gt;YEAR(B227)))),'MWH-Split'!S220,'MWH-Split'!T220)*'MWH-Split'!U220,"")</f>
        <v/>
      </c>
      <c r="F227" s="172">
        <f>'[1]Table 5'!F227*P227</f>
        <v>0</v>
      </c>
      <c r="G227" s="172" t="e">
        <f>IF('MWH-Split'!N220&lt;&gt;0,'MWH-Split'!N220*P227,"")</f>
        <v>#DIV/0!</v>
      </c>
      <c r="H227" s="173" t="e">
        <f>IF('MWH-Split'!O220&lt;&gt;0,'MWH-Split'!O220*P227,"")</f>
        <v>#DIV/0!</v>
      </c>
      <c r="I227" s="174" t="str">
        <f t="shared" si="41"/>
        <v/>
      </c>
      <c r="J227" s="174">
        <f t="shared" si="39"/>
        <v>0</v>
      </c>
      <c r="K227" s="175">
        <f t="shared" si="40"/>
        <v>0</v>
      </c>
      <c r="M227" s="180">
        <f t="shared" si="43"/>
        <v>2036</v>
      </c>
      <c r="N227" s="177" t="str">
        <f t="shared" si="45"/>
        <v/>
      </c>
      <c r="P227" s="178">
        <f>IF('Monthly Levelized'!$K$5+'Monthly Levelized'!$L$5&lt;&gt;0,IFERROR(VLOOKUP(B227,'Monthly Levelized'!$G$5:$I$25,3,FALSE),P226),1)</f>
        <v>1</v>
      </c>
      <c r="Q227" s="226" t="str">
        <f t="shared" si="44"/>
        <v>-</v>
      </c>
      <c r="R227" s="223"/>
      <c r="S227" s="224"/>
      <c r="T227" s="224"/>
      <c r="U227" s="224"/>
      <c r="V227" s="224"/>
    </row>
    <row r="228" spans="2:22" hidden="1" outlineLevel="1" x14ac:dyDescent="0.25">
      <c r="B228" s="188">
        <f t="shared" si="42"/>
        <v>50010</v>
      </c>
      <c r="C228" s="182">
        <f>'[1]Table 5'!E228*P228</f>
        <v>0</v>
      </c>
      <c r="D228" s="183" t="str">
        <f>IFERROR(G228*IF(AND(C228&lt;0,OR(Shape_Annually="No",AND(Shape_Annually="Yes",Shape_Start&gt;YEAR(B228)))),'MWH-Split'!T221,'MWH-Split'!S221)*'MWH-Split'!U221,"")</f>
        <v/>
      </c>
      <c r="E228" s="184" t="str">
        <f>IFERROR(H228*IF(AND(C228&lt;0,OR(Shape_Annually="No",AND(Shape_Annually="Yes",Shape_Start&gt;YEAR(B228)))),'MWH-Split'!S221,'MWH-Split'!T221)*'MWH-Split'!U221,"")</f>
        <v/>
      </c>
      <c r="F228" s="183">
        <f>'[1]Table 5'!F228*P228</f>
        <v>0</v>
      </c>
      <c r="G228" s="183" t="e">
        <f>IF('MWH-Split'!N221&lt;&gt;0,'MWH-Split'!N221*P228,"")</f>
        <v>#DIV/0!</v>
      </c>
      <c r="H228" s="184" t="e">
        <f>IF('MWH-Split'!O221&lt;&gt;0,'MWH-Split'!O221*P228,"")</f>
        <v>#DIV/0!</v>
      </c>
      <c r="I228" s="185" t="str">
        <f t="shared" si="41"/>
        <v/>
      </c>
      <c r="J228" s="185">
        <f t="shared" si="39"/>
        <v>0</v>
      </c>
      <c r="K228" s="186">
        <f t="shared" si="40"/>
        <v>0</v>
      </c>
      <c r="M228" s="187">
        <f t="shared" si="43"/>
        <v>2036</v>
      </c>
      <c r="N228" s="188" t="str">
        <f t="shared" si="45"/>
        <v/>
      </c>
      <c r="P228" s="189">
        <f>IF('Monthly Levelized'!$K$5+'Monthly Levelized'!$L$5&lt;&gt;0,IFERROR(VLOOKUP(B228,'Monthly Levelized'!$G$5:$I$25,3,FALSE),P227),1)</f>
        <v>1</v>
      </c>
      <c r="Q228" s="226" t="str">
        <f t="shared" si="44"/>
        <v>-</v>
      </c>
      <c r="R228" s="223"/>
      <c r="S228" s="224"/>
      <c r="T228" s="224"/>
      <c r="U228" s="224"/>
      <c r="V228" s="224"/>
    </row>
    <row r="229" spans="2:22" hidden="1" outlineLevel="1" x14ac:dyDescent="0.25">
      <c r="B229" s="190">
        <f t="shared" si="42"/>
        <v>50041</v>
      </c>
      <c r="C229" s="191">
        <f>'[1]Table 5'!E229*P229</f>
        <v>0</v>
      </c>
      <c r="D229" s="192" t="str">
        <f>IFERROR(G229*IF(AND(C229&lt;0,OR(Shape_Annually="No",AND(Shape_Annually="Yes",Shape_Start&gt;YEAR(B229)))),'MWH-Split'!T222,'MWH-Split'!S222)*'MWH-Split'!U222,"")</f>
        <v/>
      </c>
      <c r="E229" s="193" t="str">
        <f>IFERROR(H229*IF(AND(C229&lt;0,OR(Shape_Annually="No",AND(Shape_Annually="Yes",Shape_Start&gt;YEAR(B229)))),'MWH-Split'!S222,'MWH-Split'!T222)*'MWH-Split'!U222,"")</f>
        <v/>
      </c>
      <c r="F229" s="192">
        <f>'[1]Table 5'!F229*P229</f>
        <v>0</v>
      </c>
      <c r="G229" s="192" t="e">
        <f>IF('MWH-Split'!N222&lt;&gt;0,'MWH-Split'!N222*P229,"")</f>
        <v>#DIV/0!</v>
      </c>
      <c r="H229" s="193" t="e">
        <f>IF('MWH-Split'!O222&lt;&gt;0,'MWH-Split'!O222*P229,"")</f>
        <v>#DIV/0!</v>
      </c>
      <c r="I229" s="194" t="str">
        <f t="shared" si="41"/>
        <v/>
      </c>
      <c r="J229" s="194">
        <f t="shared" si="39"/>
        <v>0</v>
      </c>
      <c r="K229" s="195">
        <f t="shared" si="40"/>
        <v>0</v>
      </c>
      <c r="M229" s="176">
        <f t="shared" si="43"/>
        <v>2037</v>
      </c>
      <c r="N229" s="177" t="str">
        <f t="shared" si="45"/>
        <v/>
      </c>
      <c r="P229" s="196">
        <f>IF('Monthly Levelized'!$K$5+'Monthly Levelized'!$L$5&lt;&gt;0,IFERROR(VLOOKUP(B229,'Monthly Levelized'!$G$5:$I$25,3,FALSE),P228),1)</f>
        <v>1</v>
      </c>
      <c r="Q229" s="226" t="str">
        <f t="shared" si="44"/>
        <v>-</v>
      </c>
      <c r="R229" s="223"/>
      <c r="S229" s="224"/>
      <c r="T229" s="224"/>
      <c r="U229" s="224"/>
      <c r="V229" s="224"/>
    </row>
    <row r="230" spans="2:22" hidden="1" outlineLevel="1" x14ac:dyDescent="0.25">
      <c r="B230" s="177">
        <f t="shared" si="42"/>
        <v>50072</v>
      </c>
      <c r="C230" s="171">
        <f>'[1]Table 5'!E230*P230</f>
        <v>0</v>
      </c>
      <c r="D230" s="172" t="str">
        <f>IFERROR(G230*IF(AND(C230&lt;0,OR(Shape_Annually="No",AND(Shape_Annually="Yes",Shape_Start&gt;YEAR(B230)))),'MWH-Split'!T223,'MWH-Split'!S223)*'MWH-Split'!U223,"")</f>
        <v/>
      </c>
      <c r="E230" s="173" t="str">
        <f>IFERROR(H230*IF(AND(C230&lt;0,OR(Shape_Annually="No",AND(Shape_Annually="Yes",Shape_Start&gt;YEAR(B230)))),'MWH-Split'!S223,'MWH-Split'!T223)*'MWH-Split'!U223,"")</f>
        <v/>
      </c>
      <c r="F230" s="172">
        <f>'[1]Table 5'!F230*P230</f>
        <v>0</v>
      </c>
      <c r="G230" s="172" t="e">
        <f>IF('MWH-Split'!N223&lt;&gt;0,'MWH-Split'!N223*P230,"")</f>
        <v>#DIV/0!</v>
      </c>
      <c r="H230" s="173" t="e">
        <f>IF('MWH-Split'!O223&lt;&gt;0,'MWH-Split'!O223*P230,"")</f>
        <v>#DIV/0!</v>
      </c>
      <c r="I230" s="174" t="str">
        <f t="shared" si="41"/>
        <v/>
      </c>
      <c r="J230" s="174">
        <f t="shared" si="39"/>
        <v>0</v>
      </c>
      <c r="K230" s="175">
        <f t="shared" si="40"/>
        <v>0</v>
      </c>
      <c r="M230" s="180">
        <f t="shared" si="43"/>
        <v>2037</v>
      </c>
      <c r="N230" s="177" t="str">
        <f t="shared" si="45"/>
        <v/>
      </c>
      <c r="P230" s="178">
        <f>IF('Monthly Levelized'!$K$5+'Monthly Levelized'!$L$5&lt;&gt;0,IFERROR(VLOOKUP(B230,'Monthly Levelized'!$G$5:$I$25,3,FALSE),P229),1)</f>
        <v>1</v>
      </c>
      <c r="Q230" s="226" t="str">
        <f t="shared" si="44"/>
        <v>-</v>
      </c>
      <c r="R230" s="223"/>
      <c r="S230" s="224"/>
      <c r="T230" s="224"/>
      <c r="U230" s="224"/>
      <c r="V230" s="224"/>
    </row>
    <row r="231" spans="2:22" hidden="1" outlineLevel="1" x14ac:dyDescent="0.25">
      <c r="B231" s="177">
        <f t="shared" si="42"/>
        <v>50100</v>
      </c>
      <c r="C231" s="171">
        <f>'[1]Table 5'!E231*P231</f>
        <v>0</v>
      </c>
      <c r="D231" s="172" t="str">
        <f>IFERROR(G231*IF(AND(C231&lt;0,OR(Shape_Annually="No",AND(Shape_Annually="Yes",Shape_Start&gt;YEAR(B231)))),'MWH-Split'!T224,'MWH-Split'!S224)*'MWH-Split'!U224,"")</f>
        <v/>
      </c>
      <c r="E231" s="173" t="str">
        <f>IFERROR(H231*IF(AND(C231&lt;0,OR(Shape_Annually="No",AND(Shape_Annually="Yes",Shape_Start&gt;YEAR(B231)))),'MWH-Split'!S224,'MWH-Split'!T224)*'MWH-Split'!U224,"")</f>
        <v/>
      </c>
      <c r="F231" s="172">
        <f>'[1]Table 5'!F231*P231</f>
        <v>0</v>
      </c>
      <c r="G231" s="172" t="e">
        <f>IF('MWH-Split'!N224&lt;&gt;0,'MWH-Split'!N224*P231,"")</f>
        <v>#DIV/0!</v>
      </c>
      <c r="H231" s="173" t="e">
        <f>IF('MWH-Split'!O224&lt;&gt;0,'MWH-Split'!O224*P231,"")</f>
        <v>#DIV/0!</v>
      </c>
      <c r="I231" s="174" t="str">
        <f t="shared" si="41"/>
        <v/>
      </c>
      <c r="J231" s="174">
        <f t="shared" si="39"/>
        <v>0</v>
      </c>
      <c r="K231" s="175">
        <f t="shared" si="40"/>
        <v>0</v>
      </c>
      <c r="M231" s="180">
        <f t="shared" si="43"/>
        <v>2037</v>
      </c>
      <c r="N231" s="177" t="str">
        <f t="shared" si="45"/>
        <v/>
      </c>
      <c r="P231" s="178">
        <f>IF('Monthly Levelized'!$K$5+'Monthly Levelized'!$L$5&lt;&gt;0,IFERROR(VLOOKUP(B231,'Monthly Levelized'!$G$5:$I$25,3,FALSE),P230),1)</f>
        <v>1</v>
      </c>
      <c r="Q231" s="226" t="str">
        <f t="shared" si="44"/>
        <v>-</v>
      </c>
      <c r="R231" s="223"/>
      <c r="S231" s="224"/>
      <c r="T231" s="224"/>
      <c r="U231" s="224"/>
      <c r="V231" s="224"/>
    </row>
    <row r="232" spans="2:22" hidden="1" outlineLevel="1" x14ac:dyDescent="0.25">
      <c r="B232" s="177">
        <f t="shared" si="42"/>
        <v>50131</v>
      </c>
      <c r="C232" s="171">
        <f>'[1]Table 5'!E232*P232</f>
        <v>0</v>
      </c>
      <c r="D232" s="172" t="str">
        <f>IFERROR(G232*IF(AND(C232&lt;0,OR(Shape_Annually="No",AND(Shape_Annually="Yes",Shape_Start&gt;YEAR(B232)))),'MWH-Split'!T225,'MWH-Split'!S225)*'MWH-Split'!U225,"")</f>
        <v/>
      </c>
      <c r="E232" s="173" t="str">
        <f>IFERROR(H232*IF(AND(C232&lt;0,OR(Shape_Annually="No",AND(Shape_Annually="Yes",Shape_Start&gt;YEAR(B232)))),'MWH-Split'!S225,'MWH-Split'!T225)*'MWH-Split'!U225,"")</f>
        <v/>
      </c>
      <c r="F232" s="172">
        <f>'[1]Table 5'!F232*P232</f>
        <v>0</v>
      </c>
      <c r="G232" s="172" t="e">
        <f>IF('MWH-Split'!N225&lt;&gt;0,'MWH-Split'!N225*P232,"")</f>
        <v>#DIV/0!</v>
      </c>
      <c r="H232" s="173" t="e">
        <f>IF('MWH-Split'!O225&lt;&gt;0,'MWH-Split'!O225*P232,"")</f>
        <v>#DIV/0!</v>
      </c>
      <c r="I232" s="174" t="str">
        <f t="shared" si="41"/>
        <v/>
      </c>
      <c r="J232" s="174">
        <f t="shared" si="39"/>
        <v>0</v>
      </c>
      <c r="K232" s="175">
        <f t="shared" si="40"/>
        <v>0</v>
      </c>
      <c r="M232" s="180">
        <f t="shared" si="43"/>
        <v>2037</v>
      </c>
      <c r="N232" s="177" t="str">
        <f t="shared" si="45"/>
        <v/>
      </c>
      <c r="P232" s="178">
        <f>IF('Monthly Levelized'!$K$5+'Monthly Levelized'!$L$5&lt;&gt;0,IFERROR(VLOOKUP(B232,'Monthly Levelized'!$G$5:$I$25,3,FALSE),P231),1)</f>
        <v>1</v>
      </c>
      <c r="Q232" s="226" t="str">
        <f t="shared" si="44"/>
        <v>-</v>
      </c>
      <c r="R232" s="223"/>
      <c r="S232" s="224"/>
      <c r="T232" s="224"/>
      <c r="U232" s="224"/>
      <c r="V232" s="224"/>
    </row>
    <row r="233" spans="2:22" hidden="1" outlineLevel="1" x14ac:dyDescent="0.25">
      <c r="B233" s="177">
        <f t="shared" si="42"/>
        <v>50161</v>
      </c>
      <c r="C233" s="171">
        <f>'[1]Table 5'!E233*P233</f>
        <v>0</v>
      </c>
      <c r="D233" s="172" t="str">
        <f>IFERROR(G233*IF(AND(C233&lt;0,OR(Shape_Annually="No",AND(Shape_Annually="Yes",Shape_Start&gt;YEAR(B233)))),'MWH-Split'!T226,'MWH-Split'!S226)*'MWH-Split'!U226,"")</f>
        <v/>
      </c>
      <c r="E233" s="173" t="str">
        <f>IFERROR(H233*IF(AND(C233&lt;0,OR(Shape_Annually="No",AND(Shape_Annually="Yes",Shape_Start&gt;YEAR(B233)))),'MWH-Split'!S226,'MWH-Split'!T226)*'MWH-Split'!U226,"")</f>
        <v/>
      </c>
      <c r="F233" s="172">
        <f>'[1]Table 5'!F233*P233</f>
        <v>0</v>
      </c>
      <c r="G233" s="172" t="e">
        <f>IF('MWH-Split'!N226&lt;&gt;0,'MWH-Split'!N226*P233,"")</f>
        <v>#DIV/0!</v>
      </c>
      <c r="H233" s="173" t="e">
        <f>IF('MWH-Split'!O226&lt;&gt;0,'MWH-Split'!O226*P233,"")</f>
        <v>#DIV/0!</v>
      </c>
      <c r="I233" s="174" t="str">
        <f t="shared" si="41"/>
        <v/>
      </c>
      <c r="J233" s="174">
        <f t="shared" si="39"/>
        <v>0</v>
      </c>
      <c r="K233" s="175">
        <f t="shared" si="40"/>
        <v>0</v>
      </c>
      <c r="M233" s="180">
        <f t="shared" si="43"/>
        <v>2037</v>
      </c>
      <c r="N233" s="177" t="str">
        <f t="shared" si="45"/>
        <v/>
      </c>
      <c r="P233" s="178">
        <f>IF('Monthly Levelized'!$K$5+'Monthly Levelized'!$L$5&lt;&gt;0,IFERROR(VLOOKUP(B233,'Monthly Levelized'!$G$5:$I$25,3,FALSE),P232),1)</f>
        <v>1</v>
      </c>
      <c r="Q233" s="226" t="str">
        <f t="shared" si="44"/>
        <v>-</v>
      </c>
      <c r="R233" s="223"/>
      <c r="S233" s="224"/>
      <c r="T233" s="224"/>
      <c r="U233" s="224"/>
      <c r="V233" s="224"/>
    </row>
    <row r="234" spans="2:22" hidden="1" outlineLevel="1" x14ac:dyDescent="0.25">
      <c r="B234" s="177">
        <f t="shared" si="42"/>
        <v>50192</v>
      </c>
      <c r="C234" s="171">
        <f>'[1]Table 5'!E234*P234</f>
        <v>0</v>
      </c>
      <c r="D234" s="172" t="str">
        <f>IFERROR(G234*IF(AND(C234&lt;0,OR(Shape_Annually="No",AND(Shape_Annually="Yes",Shape_Start&gt;YEAR(B234)))),'MWH-Split'!T227,'MWH-Split'!S227)*'MWH-Split'!U227,"")</f>
        <v/>
      </c>
      <c r="E234" s="173" t="str">
        <f>IFERROR(H234*IF(AND(C234&lt;0,OR(Shape_Annually="No",AND(Shape_Annually="Yes",Shape_Start&gt;YEAR(B234)))),'MWH-Split'!S227,'MWH-Split'!T227)*'MWH-Split'!U227,"")</f>
        <v/>
      </c>
      <c r="F234" s="172">
        <f>'[1]Table 5'!F234*P234</f>
        <v>0</v>
      </c>
      <c r="G234" s="172" t="e">
        <f>IF('MWH-Split'!N227&lt;&gt;0,'MWH-Split'!N227*P234,"")</f>
        <v>#DIV/0!</v>
      </c>
      <c r="H234" s="173" t="e">
        <f>IF('MWH-Split'!O227&lt;&gt;0,'MWH-Split'!O227*P234,"")</f>
        <v>#DIV/0!</v>
      </c>
      <c r="I234" s="174" t="str">
        <f t="shared" si="41"/>
        <v/>
      </c>
      <c r="J234" s="174">
        <f t="shared" si="39"/>
        <v>0</v>
      </c>
      <c r="K234" s="175">
        <f t="shared" si="40"/>
        <v>0</v>
      </c>
      <c r="M234" s="180">
        <f t="shared" si="43"/>
        <v>2037</v>
      </c>
      <c r="N234" s="177" t="str">
        <f t="shared" si="45"/>
        <v/>
      </c>
      <c r="P234" s="178">
        <f>IF('Monthly Levelized'!$K$5+'Monthly Levelized'!$L$5&lt;&gt;0,IFERROR(VLOOKUP(B234,'Monthly Levelized'!$G$5:$I$25,3,FALSE),P233),1)</f>
        <v>1</v>
      </c>
      <c r="Q234" s="226" t="str">
        <f t="shared" si="44"/>
        <v>-</v>
      </c>
      <c r="R234" s="223"/>
      <c r="S234" s="224"/>
      <c r="T234" s="224"/>
      <c r="U234" s="224"/>
      <c r="V234" s="224"/>
    </row>
    <row r="235" spans="2:22" hidden="1" outlineLevel="1" x14ac:dyDescent="0.25">
      <c r="B235" s="177">
        <f t="shared" si="42"/>
        <v>50222</v>
      </c>
      <c r="C235" s="171">
        <f>'[1]Table 5'!E235*P235</f>
        <v>0</v>
      </c>
      <c r="D235" s="172" t="str">
        <f>IFERROR(G235*IF(AND(C235&lt;0,OR(Shape_Annually="No",AND(Shape_Annually="Yes",Shape_Start&gt;YEAR(B235)))),'MWH-Split'!T228,'MWH-Split'!S228)*'MWH-Split'!U228,"")</f>
        <v/>
      </c>
      <c r="E235" s="173" t="str">
        <f>IFERROR(H235*IF(AND(C235&lt;0,OR(Shape_Annually="No",AND(Shape_Annually="Yes",Shape_Start&gt;YEAR(B235)))),'MWH-Split'!S228,'MWH-Split'!T228)*'MWH-Split'!U228,"")</f>
        <v/>
      </c>
      <c r="F235" s="172">
        <f>'[1]Table 5'!F235*P235</f>
        <v>0</v>
      </c>
      <c r="G235" s="172" t="e">
        <f>IF('MWH-Split'!N228&lt;&gt;0,'MWH-Split'!N228*P235,"")</f>
        <v>#DIV/0!</v>
      </c>
      <c r="H235" s="173" t="e">
        <f>IF('MWH-Split'!O228&lt;&gt;0,'MWH-Split'!O228*P235,"")</f>
        <v>#DIV/0!</v>
      </c>
      <c r="I235" s="174" t="str">
        <f t="shared" si="41"/>
        <v/>
      </c>
      <c r="J235" s="174">
        <f t="shared" si="39"/>
        <v>0</v>
      </c>
      <c r="K235" s="175">
        <f t="shared" si="40"/>
        <v>0</v>
      </c>
      <c r="M235" s="180">
        <f t="shared" si="43"/>
        <v>2037</v>
      </c>
      <c r="N235" s="177" t="str">
        <f t="shared" si="45"/>
        <v/>
      </c>
      <c r="P235" s="178">
        <f>IF('Monthly Levelized'!$K$5+'Monthly Levelized'!$L$5&lt;&gt;0,IFERROR(VLOOKUP(B235,'Monthly Levelized'!$G$5:$I$25,3,FALSE),P234),1)</f>
        <v>1</v>
      </c>
      <c r="Q235" s="226" t="str">
        <f t="shared" si="44"/>
        <v>-</v>
      </c>
      <c r="R235" s="223"/>
      <c r="S235" s="224"/>
      <c r="T235" s="224"/>
      <c r="U235" s="224"/>
      <c r="V235" s="224"/>
    </row>
    <row r="236" spans="2:22" hidden="1" outlineLevel="1" x14ac:dyDescent="0.25">
      <c r="B236" s="177">
        <f t="shared" si="42"/>
        <v>50253</v>
      </c>
      <c r="C236" s="171">
        <f>'[1]Table 5'!E236*P236</f>
        <v>0</v>
      </c>
      <c r="D236" s="172" t="str">
        <f>IFERROR(G236*IF(AND(C236&lt;0,OR(Shape_Annually="No",AND(Shape_Annually="Yes",Shape_Start&gt;YEAR(B236)))),'MWH-Split'!T229,'MWH-Split'!S229)*'MWH-Split'!U229,"")</f>
        <v/>
      </c>
      <c r="E236" s="173" t="str">
        <f>IFERROR(H236*IF(AND(C236&lt;0,OR(Shape_Annually="No",AND(Shape_Annually="Yes",Shape_Start&gt;YEAR(B236)))),'MWH-Split'!S229,'MWH-Split'!T229)*'MWH-Split'!U229,"")</f>
        <v/>
      </c>
      <c r="F236" s="172">
        <f>'[1]Table 5'!F236*P236</f>
        <v>0</v>
      </c>
      <c r="G236" s="172" t="e">
        <f>IF('MWH-Split'!N229&lt;&gt;0,'MWH-Split'!N229*P236,"")</f>
        <v>#DIV/0!</v>
      </c>
      <c r="H236" s="173" t="e">
        <f>IF('MWH-Split'!O229&lt;&gt;0,'MWH-Split'!O229*P236,"")</f>
        <v>#DIV/0!</v>
      </c>
      <c r="I236" s="174" t="str">
        <f t="shared" si="41"/>
        <v/>
      </c>
      <c r="J236" s="174">
        <f t="shared" si="39"/>
        <v>0</v>
      </c>
      <c r="K236" s="175">
        <f t="shared" si="40"/>
        <v>0</v>
      </c>
      <c r="M236" s="180">
        <f t="shared" si="43"/>
        <v>2037</v>
      </c>
      <c r="N236" s="177" t="str">
        <f t="shared" si="45"/>
        <v/>
      </c>
      <c r="P236" s="178">
        <f>IF('Monthly Levelized'!$K$5+'Monthly Levelized'!$L$5&lt;&gt;0,IFERROR(VLOOKUP(B236,'Monthly Levelized'!$G$5:$I$25,3,FALSE),P235),1)</f>
        <v>1</v>
      </c>
      <c r="Q236" s="226" t="str">
        <f t="shared" si="44"/>
        <v>-</v>
      </c>
      <c r="R236" s="223"/>
      <c r="S236" s="224"/>
      <c r="T236" s="224"/>
      <c r="U236" s="224"/>
      <c r="V236" s="224"/>
    </row>
    <row r="237" spans="2:22" hidden="1" outlineLevel="1" x14ac:dyDescent="0.25">
      <c r="B237" s="177">
        <f t="shared" si="42"/>
        <v>50284</v>
      </c>
      <c r="C237" s="171">
        <f>'[1]Table 5'!E237*P237</f>
        <v>0</v>
      </c>
      <c r="D237" s="172" t="str">
        <f>IFERROR(G237*IF(AND(C237&lt;0,OR(Shape_Annually="No",AND(Shape_Annually="Yes",Shape_Start&gt;YEAR(B237)))),'MWH-Split'!T230,'MWH-Split'!S230)*'MWH-Split'!U230,"")</f>
        <v/>
      </c>
      <c r="E237" s="173" t="str">
        <f>IFERROR(H237*IF(AND(C237&lt;0,OR(Shape_Annually="No",AND(Shape_Annually="Yes",Shape_Start&gt;YEAR(B237)))),'MWH-Split'!S230,'MWH-Split'!T230)*'MWH-Split'!U230,"")</f>
        <v/>
      </c>
      <c r="F237" s="172">
        <f>'[1]Table 5'!F237*P237</f>
        <v>0</v>
      </c>
      <c r="G237" s="172" t="e">
        <f>IF('MWH-Split'!N230&lt;&gt;0,'MWH-Split'!N230*P237,"")</f>
        <v>#DIV/0!</v>
      </c>
      <c r="H237" s="173" t="e">
        <f>IF('MWH-Split'!O230&lt;&gt;0,'MWH-Split'!O230*P237,"")</f>
        <v>#DIV/0!</v>
      </c>
      <c r="I237" s="174" t="str">
        <f t="shared" si="41"/>
        <v/>
      </c>
      <c r="J237" s="174">
        <f t="shared" si="39"/>
        <v>0</v>
      </c>
      <c r="K237" s="175">
        <f t="shared" si="40"/>
        <v>0</v>
      </c>
      <c r="M237" s="180">
        <f t="shared" si="43"/>
        <v>2037</v>
      </c>
      <c r="N237" s="177" t="str">
        <f t="shared" si="45"/>
        <v/>
      </c>
      <c r="P237" s="178">
        <f>IF('Monthly Levelized'!$K$5+'Monthly Levelized'!$L$5&lt;&gt;0,IFERROR(VLOOKUP(B237,'Monthly Levelized'!$G$5:$I$25,3,FALSE),P236),1)</f>
        <v>1</v>
      </c>
      <c r="Q237" s="226" t="str">
        <f t="shared" si="44"/>
        <v>-</v>
      </c>
      <c r="R237" s="223"/>
      <c r="S237" s="224"/>
      <c r="T237" s="224"/>
      <c r="U237" s="224"/>
      <c r="V237" s="224"/>
    </row>
    <row r="238" spans="2:22" hidden="1" outlineLevel="1" x14ac:dyDescent="0.25">
      <c r="B238" s="177">
        <f t="shared" si="42"/>
        <v>50314</v>
      </c>
      <c r="C238" s="171">
        <f>'[1]Table 5'!E238*P238</f>
        <v>0</v>
      </c>
      <c r="D238" s="172" t="str">
        <f>IFERROR(G238*IF(AND(C238&lt;0,OR(Shape_Annually="No",AND(Shape_Annually="Yes",Shape_Start&gt;YEAR(B238)))),'MWH-Split'!T231,'MWH-Split'!S231)*'MWH-Split'!U231,"")</f>
        <v/>
      </c>
      <c r="E238" s="173" t="str">
        <f>IFERROR(H238*IF(AND(C238&lt;0,OR(Shape_Annually="No",AND(Shape_Annually="Yes",Shape_Start&gt;YEAR(B238)))),'MWH-Split'!S231,'MWH-Split'!T231)*'MWH-Split'!U231,"")</f>
        <v/>
      </c>
      <c r="F238" s="172">
        <f>'[1]Table 5'!F238*P238</f>
        <v>0</v>
      </c>
      <c r="G238" s="172" t="e">
        <f>IF('MWH-Split'!N231&lt;&gt;0,'MWH-Split'!N231*P238,"")</f>
        <v>#DIV/0!</v>
      </c>
      <c r="H238" s="173" t="e">
        <f>IF('MWH-Split'!O231&lt;&gt;0,'MWH-Split'!O231*P238,"")</f>
        <v>#DIV/0!</v>
      </c>
      <c r="I238" s="174" t="str">
        <f t="shared" si="41"/>
        <v/>
      </c>
      <c r="J238" s="174">
        <f t="shared" si="39"/>
        <v>0</v>
      </c>
      <c r="K238" s="175">
        <f t="shared" si="40"/>
        <v>0</v>
      </c>
      <c r="M238" s="180">
        <f t="shared" si="43"/>
        <v>2037</v>
      </c>
      <c r="N238" s="177" t="str">
        <f t="shared" si="45"/>
        <v/>
      </c>
      <c r="P238" s="178">
        <f>IF('Monthly Levelized'!$K$5+'Monthly Levelized'!$L$5&lt;&gt;0,IFERROR(VLOOKUP(B238,'Monthly Levelized'!$G$5:$I$25,3,FALSE),P237),1)</f>
        <v>1</v>
      </c>
      <c r="Q238" s="226" t="str">
        <f t="shared" si="44"/>
        <v>-</v>
      </c>
      <c r="R238" s="223"/>
      <c r="S238" s="224"/>
      <c r="T238" s="224"/>
      <c r="U238" s="224"/>
      <c r="V238" s="224"/>
    </row>
    <row r="239" spans="2:22" hidden="1" outlineLevel="1" x14ac:dyDescent="0.25">
      <c r="B239" s="177">
        <f t="shared" si="42"/>
        <v>50345</v>
      </c>
      <c r="C239" s="171">
        <f>'[1]Table 5'!E239*P239</f>
        <v>0</v>
      </c>
      <c r="D239" s="172" t="str">
        <f>IFERROR(G239*IF(AND(C239&lt;0,OR(Shape_Annually="No",AND(Shape_Annually="Yes",Shape_Start&gt;YEAR(B239)))),'MWH-Split'!T232,'MWH-Split'!S232)*'MWH-Split'!U232,"")</f>
        <v/>
      </c>
      <c r="E239" s="173" t="str">
        <f>IFERROR(H239*IF(AND(C239&lt;0,OR(Shape_Annually="No",AND(Shape_Annually="Yes",Shape_Start&gt;YEAR(B239)))),'MWH-Split'!S232,'MWH-Split'!T232)*'MWH-Split'!U232,"")</f>
        <v/>
      </c>
      <c r="F239" s="172">
        <f>'[1]Table 5'!F239*P239</f>
        <v>0</v>
      </c>
      <c r="G239" s="172" t="e">
        <f>IF('MWH-Split'!N232&lt;&gt;0,'MWH-Split'!N232*P239,"")</f>
        <v>#DIV/0!</v>
      </c>
      <c r="H239" s="173" t="e">
        <f>IF('MWH-Split'!O232&lt;&gt;0,'MWH-Split'!O232*P239,"")</f>
        <v>#DIV/0!</v>
      </c>
      <c r="I239" s="174" t="str">
        <f t="shared" si="41"/>
        <v/>
      </c>
      <c r="J239" s="174">
        <f t="shared" si="39"/>
        <v>0</v>
      </c>
      <c r="K239" s="175">
        <f t="shared" si="40"/>
        <v>0</v>
      </c>
      <c r="M239" s="180">
        <f t="shared" si="43"/>
        <v>2037</v>
      </c>
      <c r="N239" s="177" t="str">
        <f t="shared" si="45"/>
        <v/>
      </c>
      <c r="P239" s="178">
        <f>IF('Monthly Levelized'!$K$5+'Monthly Levelized'!$L$5&lt;&gt;0,IFERROR(VLOOKUP(B239,'Monthly Levelized'!$G$5:$I$25,3,FALSE),P238),1)</f>
        <v>1</v>
      </c>
      <c r="Q239" s="226" t="str">
        <f t="shared" si="44"/>
        <v>-</v>
      </c>
      <c r="R239" s="223"/>
      <c r="S239" s="224"/>
      <c r="T239" s="224"/>
      <c r="U239" s="224"/>
      <c r="V239" s="224"/>
    </row>
    <row r="240" spans="2:22" hidden="1" outlineLevel="1" x14ac:dyDescent="0.25">
      <c r="B240" s="188">
        <f t="shared" si="42"/>
        <v>50375</v>
      </c>
      <c r="C240" s="182">
        <f>'[1]Table 5'!E240*P240</f>
        <v>0</v>
      </c>
      <c r="D240" s="183" t="str">
        <f>IFERROR(G240*IF(AND(C240&lt;0,OR(Shape_Annually="No",AND(Shape_Annually="Yes",Shape_Start&gt;YEAR(B240)))),'MWH-Split'!T233,'MWH-Split'!S233)*'MWH-Split'!U233,"")</f>
        <v/>
      </c>
      <c r="E240" s="184" t="str">
        <f>IFERROR(H240*IF(AND(C240&lt;0,OR(Shape_Annually="No",AND(Shape_Annually="Yes",Shape_Start&gt;YEAR(B240)))),'MWH-Split'!S233,'MWH-Split'!T233)*'MWH-Split'!U233,"")</f>
        <v/>
      </c>
      <c r="F240" s="183">
        <f>'[1]Table 5'!F240*P240</f>
        <v>0</v>
      </c>
      <c r="G240" s="183" t="e">
        <f>IF('MWH-Split'!N233&lt;&gt;0,'MWH-Split'!N233*P240,"")</f>
        <v>#DIV/0!</v>
      </c>
      <c r="H240" s="184" t="e">
        <f>IF('MWH-Split'!O233&lt;&gt;0,'MWH-Split'!O233*P240,"")</f>
        <v>#DIV/0!</v>
      </c>
      <c r="I240" s="185" t="str">
        <f t="shared" si="41"/>
        <v/>
      </c>
      <c r="J240" s="185">
        <f t="shared" si="39"/>
        <v>0</v>
      </c>
      <c r="K240" s="186">
        <f t="shared" si="40"/>
        <v>0</v>
      </c>
      <c r="M240" s="187">
        <f t="shared" si="43"/>
        <v>2037</v>
      </c>
      <c r="N240" s="188" t="str">
        <f t="shared" si="45"/>
        <v/>
      </c>
      <c r="P240" s="189">
        <f>IF('Monthly Levelized'!$K$5+'Monthly Levelized'!$L$5&lt;&gt;0,IFERROR(VLOOKUP(B240,'Monthly Levelized'!$G$5:$I$25,3,FALSE),P239),1)</f>
        <v>1</v>
      </c>
      <c r="Q240" s="226" t="str">
        <f t="shared" si="44"/>
        <v>-</v>
      </c>
      <c r="R240" s="223"/>
      <c r="S240" s="224"/>
      <c r="T240" s="224"/>
      <c r="U240" s="224"/>
      <c r="V240" s="224"/>
    </row>
    <row r="241" spans="2:22" hidden="1" x14ac:dyDescent="0.25">
      <c r="B241" s="190">
        <f t="shared" si="42"/>
        <v>50406</v>
      </c>
      <c r="C241" s="191">
        <f>'[1]Table 5'!E241*P241</f>
        <v>0</v>
      </c>
      <c r="D241" s="192" t="str">
        <f>IFERROR(G241*IF(AND(C241&lt;0,OR(Shape_Annually="No",AND(Shape_Annually="Yes",Shape_Start&gt;YEAR(B241)))),'MWH-Split'!T234,'MWH-Split'!S234)*'MWH-Split'!U234,"")</f>
        <v/>
      </c>
      <c r="E241" s="193" t="str">
        <f>IFERROR(H241*IF(AND(C241&lt;0,OR(Shape_Annually="No",AND(Shape_Annually="Yes",Shape_Start&gt;YEAR(B241)))),'MWH-Split'!S234,'MWH-Split'!T234)*'MWH-Split'!U234,"")</f>
        <v/>
      </c>
      <c r="F241" s="192">
        <f>'[1]Table 5'!F241*P241</f>
        <v>0</v>
      </c>
      <c r="G241" s="192" t="e">
        <f>IF('MWH-Split'!N234&lt;&gt;0,'MWH-Split'!N234*P241,"")</f>
        <v>#DIV/0!</v>
      </c>
      <c r="H241" s="193" t="e">
        <f>IF('MWH-Split'!O234&lt;&gt;0,'MWH-Split'!O234*P241,"")</f>
        <v>#DIV/0!</v>
      </c>
      <c r="I241" s="194" t="str">
        <f t="shared" si="41"/>
        <v/>
      </c>
      <c r="J241" s="194">
        <f t="shared" si="39"/>
        <v>0</v>
      </c>
      <c r="K241" s="195">
        <f t="shared" si="40"/>
        <v>0</v>
      </c>
      <c r="M241" s="176">
        <f t="shared" si="43"/>
        <v>2038</v>
      </c>
      <c r="N241" s="177" t="str">
        <f t="shared" si="45"/>
        <v/>
      </c>
      <c r="P241" s="196">
        <f>IF('Monthly Levelized'!$K$5+'Monthly Levelized'!$L$5&lt;&gt;0,IFERROR(VLOOKUP(B241,'Monthly Levelized'!$G$5:$I$25,3,FALSE),P240),1)</f>
        <v>1</v>
      </c>
      <c r="Q241" s="226" t="str">
        <f t="shared" si="44"/>
        <v>-</v>
      </c>
      <c r="R241" s="223"/>
      <c r="S241" s="224"/>
      <c r="T241" s="224"/>
      <c r="U241" s="224"/>
      <c r="V241" s="224"/>
    </row>
    <row r="242" spans="2:22" hidden="1" outlineLevel="1" x14ac:dyDescent="0.25">
      <c r="B242" s="177">
        <f t="shared" si="42"/>
        <v>50437</v>
      </c>
      <c r="C242" s="171">
        <f>'[1]Table 5'!E242*P242</f>
        <v>0</v>
      </c>
      <c r="D242" s="172" t="str">
        <f>IFERROR(G242*IF(AND(C242&lt;0,OR(Shape_Annually="No",AND(Shape_Annually="Yes",Shape_Start&gt;YEAR(B242)))),'MWH-Split'!T235,'MWH-Split'!S235)*'MWH-Split'!U235,"")</f>
        <v/>
      </c>
      <c r="E242" s="173" t="str">
        <f>IFERROR(H242*IF(AND(C242&lt;0,OR(Shape_Annually="No",AND(Shape_Annually="Yes",Shape_Start&gt;YEAR(B242)))),'MWH-Split'!S235,'MWH-Split'!T235)*'MWH-Split'!U235,"")</f>
        <v/>
      </c>
      <c r="F242" s="172">
        <f>'[1]Table 5'!F242*P242</f>
        <v>0</v>
      </c>
      <c r="G242" s="172" t="e">
        <f>IF('MWH-Split'!N235&lt;&gt;0,'MWH-Split'!N235*P242,"")</f>
        <v>#DIV/0!</v>
      </c>
      <c r="H242" s="173" t="e">
        <f>IF('MWH-Split'!O235&lt;&gt;0,'MWH-Split'!O235*P242,"")</f>
        <v>#DIV/0!</v>
      </c>
      <c r="I242" s="174" t="str">
        <f t="shared" si="41"/>
        <v/>
      </c>
      <c r="J242" s="174">
        <f t="shared" si="39"/>
        <v>0</v>
      </c>
      <c r="K242" s="175">
        <f t="shared" si="40"/>
        <v>0</v>
      </c>
      <c r="M242" s="180">
        <f t="shared" si="43"/>
        <v>2038</v>
      </c>
      <c r="N242" s="177" t="str">
        <f t="shared" si="45"/>
        <v/>
      </c>
      <c r="P242" s="178">
        <f>IF('Monthly Levelized'!$K$5+'Monthly Levelized'!$L$5&lt;&gt;0,IFERROR(VLOOKUP(B242,'Monthly Levelized'!$G$5:$I$25,3,FALSE),P241),1)</f>
        <v>1</v>
      </c>
      <c r="Q242" s="226" t="str">
        <f t="shared" si="44"/>
        <v>-</v>
      </c>
      <c r="R242" s="223"/>
      <c r="S242" s="224"/>
      <c r="T242" s="224"/>
      <c r="U242" s="224"/>
      <c r="V242" s="224"/>
    </row>
    <row r="243" spans="2:22" hidden="1" outlineLevel="1" x14ac:dyDescent="0.25">
      <c r="B243" s="177">
        <f t="shared" si="42"/>
        <v>50465</v>
      </c>
      <c r="C243" s="171">
        <f>'[1]Table 5'!E243*P243</f>
        <v>0</v>
      </c>
      <c r="D243" s="172" t="str">
        <f>IFERROR(G243*IF(AND(C243&lt;0,OR(Shape_Annually="No",AND(Shape_Annually="Yes",Shape_Start&gt;YEAR(B243)))),'MWH-Split'!T236,'MWH-Split'!S236)*'MWH-Split'!U236,"")</f>
        <v/>
      </c>
      <c r="E243" s="173" t="str">
        <f>IFERROR(H243*IF(AND(C243&lt;0,OR(Shape_Annually="No",AND(Shape_Annually="Yes",Shape_Start&gt;YEAR(B243)))),'MWH-Split'!S236,'MWH-Split'!T236)*'MWH-Split'!U236,"")</f>
        <v/>
      </c>
      <c r="F243" s="172">
        <f>'[1]Table 5'!F243*P243</f>
        <v>0</v>
      </c>
      <c r="G243" s="172" t="e">
        <f>IF('MWH-Split'!N236&lt;&gt;0,'MWH-Split'!N236*P243,"")</f>
        <v>#DIV/0!</v>
      </c>
      <c r="H243" s="173" t="e">
        <f>IF('MWH-Split'!O236&lt;&gt;0,'MWH-Split'!O236*P243,"")</f>
        <v>#DIV/0!</v>
      </c>
      <c r="I243" s="174" t="str">
        <f t="shared" si="41"/>
        <v/>
      </c>
      <c r="J243" s="174">
        <f t="shared" si="39"/>
        <v>0</v>
      </c>
      <c r="K243" s="175">
        <f t="shared" si="40"/>
        <v>0</v>
      </c>
      <c r="M243" s="180">
        <f t="shared" si="43"/>
        <v>2038</v>
      </c>
      <c r="N243" s="177" t="str">
        <f t="shared" si="45"/>
        <v/>
      </c>
      <c r="P243" s="178">
        <f>IF('Monthly Levelized'!$K$5+'Monthly Levelized'!$L$5&lt;&gt;0,IFERROR(VLOOKUP(B243,'Monthly Levelized'!$G$5:$I$25,3,FALSE),P242),1)</f>
        <v>1</v>
      </c>
      <c r="Q243" s="226" t="str">
        <f t="shared" si="44"/>
        <v>-</v>
      </c>
      <c r="R243" s="223"/>
      <c r="S243" s="224"/>
      <c r="T243" s="224"/>
      <c r="U243" s="224"/>
      <c r="V243" s="224"/>
    </row>
    <row r="244" spans="2:22" hidden="1" outlineLevel="1" x14ac:dyDescent="0.25">
      <c r="B244" s="177">
        <f t="shared" si="42"/>
        <v>50496</v>
      </c>
      <c r="C244" s="171">
        <f>'[1]Table 5'!E244*P244</f>
        <v>0</v>
      </c>
      <c r="D244" s="172" t="str">
        <f>IFERROR(G244*IF(AND(C244&lt;0,OR(Shape_Annually="No",AND(Shape_Annually="Yes",Shape_Start&gt;YEAR(B244)))),'MWH-Split'!T237,'MWH-Split'!S237)*'MWH-Split'!U237,"")</f>
        <v/>
      </c>
      <c r="E244" s="173" t="str">
        <f>IFERROR(H244*IF(AND(C244&lt;0,OR(Shape_Annually="No",AND(Shape_Annually="Yes",Shape_Start&gt;YEAR(B244)))),'MWH-Split'!S237,'MWH-Split'!T237)*'MWH-Split'!U237,"")</f>
        <v/>
      </c>
      <c r="F244" s="172">
        <f>'[1]Table 5'!F244*P244</f>
        <v>0</v>
      </c>
      <c r="G244" s="172" t="e">
        <f>IF('MWH-Split'!N237&lt;&gt;0,'MWH-Split'!N237*P244,"")</f>
        <v>#DIV/0!</v>
      </c>
      <c r="H244" s="173" t="e">
        <f>IF('MWH-Split'!O237&lt;&gt;0,'MWH-Split'!O237*P244,"")</f>
        <v>#DIV/0!</v>
      </c>
      <c r="I244" s="174" t="str">
        <f t="shared" si="41"/>
        <v/>
      </c>
      <c r="J244" s="174">
        <f t="shared" si="39"/>
        <v>0</v>
      </c>
      <c r="K244" s="175">
        <f t="shared" si="40"/>
        <v>0</v>
      </c>
      <c r="M244" s="180">
        <f t="shared" si="43"/>
        <v>2038</v>
      </c>
      <c r="N244" s="177" t="str">
        <f t="shared" si="45"/>
        <v/>
      </c>
      <c r="P244" s="178">
        <f>IF('Monthly Levelized'!$K$5+'Monthly Levelized'!$L$5&lt;&gt;0,IFERROR(VLOOKUP(B244,'Monthly Levelized'!$G$5:$I$25,3,FALSE),P243),1)</f>
        <v>1</v>
      </c>
      <c r="Q244" s="226" t="str">
        <f t="shared" si="44"/>
        <v>-</v>
      </c>
      <c r="R244" s="223"/>
      <c r="S244" s="224"/>
      <c r="T244" s="224"/>
      <c r="U244" s="224"/>
      <c r="V244" s="224"/>
    </row>
    <row r="245" spans="2:22" hidden="1" outlineLevel="1" x14ac:dyDescent="0.25">
      <c r="B245" s="177">
        <f t="shared" si="42"/>
        <v>50526</v>
      </c>
      <c r="C245" s="171">
        <f>'[1]Table 5'!E245*P245</f>
        <v>0</v>
      </c>
      <c r="D245" s="172" t="str">
        <f>IFERROR(G245*IF(AND(C245&lt;0,OR(Shape_Annually="No",AND(Shape_Annually="Yes",Shape_Start&gt;YEAR(B245)))),'MWH-Split'!T238,'MWH-Split'!S238)*'MWH-Split'!U238,"")</f>
        <v/>
      </c>
      <c r="E245" s="173" t="str">
        <f>IFERROR(H245*IF(AND(C245&lt;0,OR(Shape_Annually="No",AND(Shape_Annually="Yes",Shape_Start&gt;YEAR(B245)))),'MWH-Split'!S238,'MWH-Split'!T238)*'MWH-Split'!U238,"")</f>
        <v/>
      </c>
      <c r="F245" s="172">
        <f>'[1]Table 5'!F245*P245</f>
        <v>0</v>
      </c>
      <c r="G245" s="172" t="e">
        <f>IF('MWH-Split'!N238&lt;&gt;0,'MWH-Split'!N238*P245,"")</f>
        <v>#DIV/0!</v>
      </c>
      <c r="H245" s="173" t="e">
        <f>IF('MWH-Split'!O238&lt;&gt;0,'MWH-Split'!O238*P245,"")</f>
        <v>#DIV/0!</v>
      </c>
      <c r="I245" s="174" t="str">
        <f t="shared" si="41"/>
        <v/>
      </c>
      <c r="J245" s="174">
        <f t="shared" si="39"/>
        <v>0</v>
      </c>
      <c r="K245" s="175">
        <f t="shared" si="40"/>
        <v>0</v>
      </c>
      <c r="M245" s="180">
        <f t="shared" si="43"/>
        <v>2038</v>
      </c>
      <c r="N245" s="177" t="str">
        <f t="shared" si="45"/>
        <v/>
      </c>
      <c r="P245" s="178">
        <f>IF('Monthly Levelized'!$K$5+'Monthly Levelized'!$L$5&lt;&gt;0,IFERROR(VLOOKUP(B245,'Monthly Levelized'!$G$5:$I$25,3,FALSE),P244),1)</f>
        <v>1</v>
      </c>
      <c r="Q245" s="226" t="str">
        <f t="shared" si="44"/>
        <v>-</v>
      </c>
      <c r="R245" s="223"/>
      <c r="S245" s="224"/>
      <c r="T245" s="224"/>
      <c r="U245" s="224"/>
      <c r="V245" s="224"/>
    </row>
    <row r="246" spans="2:22" hidden="1" outlineLevel="1" x14ac:dyDescent="0.25">
      <c r="B246" s="177">
        <f t="shared" si="42"/>
        <v>50557</v>
      </c>
      <c r="C246" s="171">
        <f>'[1]Table 5'!E246*P246</f>
        <v>0</v>
      </c>
      <c r="D246" s="172" t="str">
        <f>IFERROR(G246*IF(AND(C246&lt;0,OR(Shape_Annually="No",AND(Shape_Annually="Yes",Shape_Start&gt;YEAR(B246)))),'MWH-Split'!T239,'MWH-Split'!S239)*'MWH-Split'!U239,"")</f>
        <v/>
      </c>
      <c r="E246" s="173" t="str">
        <f>IFERROR(H246*IF(AND(C246&lt;0,OR(Shape_Annually="No",AND(Shape_Annually="Yes",Shape_Start&gt;YEAR(B246)))),'MWH-Split'!S239,'MWH-Split'!T239)*'MWH-Split'!U239,"")</f>
        <v/>
      </c>
      <c r="F246" s="172">
        <f>'[1]Table 5'!F246*P246</f>
        <v>0</v>
      </c>
      <c r="G246" s="172" t="e">
        <f>IF('MWH-Split'!N239&lt;&gt;0,'MWH-Split'!N239*P246,"")</f>
        <v>#DIV/0!</v>
      </c>
      <c r="H246" s="173" t="e">
        <f>IF('MWH-Split'!O239&lt;&gt;0,'MWH-Split'!O239*P246,"")</f>
        <v>#DIV/0!</v>
      </c>
      <c r="I246" s="174" t="str">
        <f t="shared" si="41"/>
        <v/>
      </c>
      <c r="J246" s="174">
        <f t="shared" si="39"/>
        <v>0</v>
      </c>
      <c r="K246" s="175">
        <f t="shared" si="40"/>
        <v>0</v>
      </c>
      <c r="M246" s="180">
        <f t="shared" si="43"/>
        <v>2038</v>
      </c>
      <c r="N246" s="177" t="str">
        <f t="shared" si="45"/>
        <v/>
      </c>
      <c r="P246" s="178">
        <f>IF('Monthly Levelized'!$K$5+'Monthly Levelized'!$L$5&lt;&gt;0,IFERROR(VLOOKUP(B246,'Monthly Levelized'!$G$5:$I$25,3,FALSE),P245),1)</f>
        <v>1</v>
      </c>
      <c r="Q246" s="226" t="str">
        <f t="shared" si="44"/>
        <v>-</v>
      </c>
      <c r="R246" s="223"/>
      <c r="S246" s="224"/>
      <c r="T246" s="224"/>
      <c r="U246" s="224"/>
      <c r="V246" s="224"/>
    </row>
    <row r="247" spans="2:22" hidden="1" outlineLevel="1" x14ac:dyDescent="0.25">
      <c r="B247" s="177">
        <f t="shared" si="42"/>
        <v>50587</v>
      </c>
      <c r="C247" s="171">
        <f>'[1]Table 5'!E247*P247</f>
        <v>0</v>
      </c>
      <c r="D247" s="172" t="str">
        <f>IFERROR(G247*IF(AND(C247&lt;0,OR(Shape_Annually="No",AND(Shape_Annually="Yes",Shape_Start&gt;YEAR(B247)))),'MWH-Split'!T240,'MWH-Split'!S240)*'MWH-Split'!U240,"")</f>
        <v/>
      </c>
      <c r="E247" s="173" t="str">
        <f>IFERROR(H247*IF(AND(C247&lt;0,OR(Shape_Annually="No",AND(Shape_Annually="Yes",Shape_Start&gt;YEAR(B247)))),'MWH-Split'!S240,'MWH-Split'!T240)*'MWH-Split'!U240,"")</f>
        <v/>
      </c>
      <c r="F247" s="172">
        <f>'[1]Table 5'!F247*P247</f>
        <v>0</v>
      </c>
      <c r="G247" s="172" t="e">
        <f>IF('MWH-Split'!N240&lt;&gt;0,'MWH-Split'!N240*P247,"")</f>
        <v>#DIV/0!</v>
      </c>
      <c r="H247" s="173" t="e">
        <f>IF('MWH-Split'!O240&lt;&gt;0,'MWH-Split'!O240*P247,"")</f>
        <v>#DIV/0!</v>
      </c>
      <c r="I247" s="174" t="str">
        <f t="shared" si="41"/>
        <v/>
      </c>
      <c r="J247" s="174">
        <f t="shared" si="39"/>
        <v>0</v>
      </c>
      <c r="K247" s="175">
        <f t="shared" si="40"/>
        <v>0</v>
      </c>
      <c r="M247" s="180">
        <f t="shared" si="43"/>
        <v>2038</v>
      </c>
      <c r="N247" s="177" t="str">
        <f t="shared" si="45"/>
        <v/>
      </c>
      <c r="P247" s="178">
        <f>IF('Monthly Levelized'!$K$5+'Monthly Levelized'!$L$5&lt;&gt;0,IFERROR(VLOOKUP(B247,'Monthly Levelized'!$G$5:$I$25,3,FALSE),P246),1)</f>
        <v>1</v>
      </c>
      <c r="Q247" s="226" t="str">
        <f t="shared" si="44"/>
        <v>-</v>
      </c>
      <c r="R247" s="223"/>
      <c r="S247" s="224"/>
      <c r="T247" s="224"/>
      <c r="U247" s="224"/>
      <c r="V247" s="224"/>
    </row>
    <row r="248" spans="2:22" hidden="1" outlineLevel="1" x14ac:dyDescent="0.25">
      <c r="B248" s="177">
        <f t="shared" si="42"/>
        <v>50618</v>
      </c>
      <c r="C248" s="171">
        <f>'[1]Table 5'!E248*P248</f>
        <v>0</v>
      </c>
      <c r="D248" s="172" t="str">
        <f>IFERROR(G248*IF(AND(C248&lt;0,OR(Shape_Annually="No",AND(Shape_Annually="Yes",Shape_Start&gt;YEAR(B248)))),'MWH-Split'!T241,'MWH-Split'!S241)*'MWH-Split'!U241,"")</f>
        <v/>
      </c>
      <c r="E248" s="173" t="str">
        <f>IFERROR(H248*IF(AND(C248&lt;0,OR(Shape_Annually="No",AND(Shape_Annually="Yes",Shape_Start&gt;YEAR(B248)))),'MWH-Split'!S241,'MWH-Split'!T241)*'MWH-Split'!U241,"")</f>
        <v/>
      </c>
      <c r="F248" s="172">
        <f>'[1]Table 5'!F248*P248</f>
        <v>0</v>
      </c>
      <c r="G248" s="172" t="e">
        <f>IF('MWH-Split'!N241&lt;&gt;0,'MWH-Split'!N241*P248,"")</f>
        <v>#DIV/0!</v>
      </c>
      <c r="H248" s="173" t="e">
        <f>IF('MWH-Split'!O241&lt;&gt;0,'MWH-Split'!O241*P248,"")</f>
        <v>#DIV/0!</v>
      </c>
      <c r="I248" s="174" t="str">
        <f t="shared" si="41"/>
        <v/>
      </c>
      <c r="J248" s="174">
        <f t="shared" si="39"/>
        <v>0</v>
      </c>
      <c r="K248" s="175">
        <f t="shared" si="40"/>
        <v>0</v>
      </c>
      <c r="M248" s="180">
        <f t="shared" si="43"/>
        <v>2038</v>
      </c>
      <c r="N248" s="177" t="str">
        <f t="shared" si="45"/>
        <v/>
      </c>
      <c r="P248" s="178">
        <f>IF('Monthly Levelized'!$K$5+'Monthly Levelized'!$L$5&lt;&gt;0,IFERROR(VLOOKUP(B248,'Monthly Levelized'!$G$5:$I$25,3,FALSE),P247),1)</f>
        <v>1</v>
      </c>
      <c r="Q248" s="226" t="str">
        <f t="shared" si="44"/>
        <v>-</v>
      </c>
      <c r="R248" s="223"/>
      <c r="S248" s="224"/>
      <c r="T248" s="224"/>
      <c r="U248" s="224"/>
      <c r="V248" s="224"/>
    </row>
    <row r="249" spans="2:22" hidden="1" outlineLevel="1" x14ac:dyDescent="0.25">
      <c r="B249" s="177">
        <f t="shared" si="42"/>
        <v>50649</v>
      </c>
      <c r="C249" s="171">
        <f>'[1]Table 5'!E249*P249</f>
        <v>0</v>
      </c>
      <c r="D249" s="172" t="str">
        <f>IFERROR(G249*IF(AND(C249&lt;0,OR(Shape_Annually="No",AND(Shape_Annually="Yes",Shape_Start&gt;YEAR(B249)))),'MWH-Split'!T242,'MWH-Split'!S242)*'MWH-Split'!U242,"")</f>
        <v/>
      </c>
      <c r="E249" s="173" t="str">
        <f>IFERROR(H249*IF(AND(C249&lt;0,OR(Shape_Annually="No",AND(Shape_Annually="Yes",Shape_Start&gt;YEAR(B249)))),'MWH-Split'!S242,'MWH-Split'!T242)*'MWH-Split'!U242,"")</f>
        <v/>
      </c>
      <c r="F249" s="172">
        <f>'[1]Table 5'!F249*P249</f>
        <v>0</v>
      </c>
      <c r="G249" s="172" t="e">
        <f>IF('MWH-Split'!N242&lt;&gt;0,'MWH-Split'!N242*P249,"")</f>
        <v>#DIV/0!</v>
      </c>
      <c r="H249" s="173" t="e">
        <f>IF('MWH-Split'!O242&lt;&gt;0,'MWH-Split'!O242*P249,"")</f>
        <v>#DIV/0!</v>
      </c>
      <c r="I249" s="174" t="str">
        <f t="shared" si="41"/>
        <v/>
      </c>
      <c r="J249" s="174">
        <f t="shared" si="39"/>
        <v>0</v>
      </c>
      <c r="K249" s="175">
        <f t="shared" si="40"/>
        <v>0</v>
      </c>
      <c r="M249" s="180">
        <f t="shared" si="43"/>
        <v>2038</v>
      </c>
      <c r="N249" s="177" t="str">
        <f t="shared" si="45"/>
        <v/>
      </c>
      <c r="P249" s="178">
        <f>IF('Monthly Levelized'!$K$5+'Monthly Levelized'!$L$5&lt;&gt;0,IFERROR(VLOOKUP(B249,'Monthly Levelized'!$G$5:$I$25,3,FALSE),P248),1)</f>
        <v>1</v>
      </c>
      <c r="Q249" s="226" t="str">
        <f t="shared" si="44"/>
        <v>-</v>
      </c>
      <c r="R249" s="223"/>
      <c r="S249" s="224"/>
      <c r="T249" s="224"/>
      <c r="U249" s="224"/>
      <c r="V249" s="224"/>
    </row>
    <row r="250" spans="2:22" hidden="1" outlineLevel="1" x14ac:dyDescent="0.25">
      <c r="B250" s="177">
        <f t="shared" si="42"/>
        <v>50679</v>
      </c>
      <c r="C250" s="171">
        <f>'[1]Table 5'!E250*P250</f>
        <v>0</v>
      </c>
      <c r="D250" s="172" t="str">
        <f>IFERROR(G250*IF(AND(C250&lt;0,OR(Shape_Annually="No",AND(Shape_Annually="Yes",Shape_Start&gt;YEAR(B250)))),'MWH-Split'!T243,'MWH-Split'!S243)*'MWH-Split'!U243,"")</f>
        <v/>
      </c>
      <c r="E250" s="173" t="str">
        <f>IFERROR(H250*IF(AND(C250&lt;0,OR(Shape_Annually="No",AND(Shape_Annually="Yes",Shape_Start&gt;YEAR(B250)))),'MWH-Split'!S243,'MWH-Split'!T243)*'MWH-Split'!U243,"")</f>
        <v/>
      </c>
      <c r="F250" s="172">
        <f>'[1]Table 5'!F250*P250</f>
        <v>0</v>
      </c>
      <c r="G250" s="172" t="e">
        <f>IF('MWH-Split'!N243&lt;&gt;0,'MWH-Split'!N243*P250,"")</f>
        <v>#DIV/0!</v>
      </c>
      <c r="H250" s="173" t="e">
        <f>IF('MWH-Split'!O243&lt;&gt;0,'MWH-Split'!O243*P250,"")</f>
        <v>#DIV/0!</v>
      </c>
      <c r="I250" s="174" t="str">
        <f t="shared" si="41"/>
        <v/>
      </c>
      <c r="J250" s="174">
        <f t="shared" si="39"/>
        <v>0</v>
      </c>
      <c r="K250" s="175">
        <f t="shared" si="40"/>
        <v>0</v>
      </c>
      <c r="M250" s="180">
        <f t="shared" si="43"/>
        <v>2038</v>
      </c>
      <c r="N250" s="177" t="str">
        <f t="shared" si="45"/>
        <v/>
      </c>
      <c r="P250" s="178">
        <f>IF('Monthly Levelized'!$K$5+'Monthly Levelized'!$L$5&lt;&gt;0,IFERROR(VLOOKUP(B250,'Monthly Levelized'!$G$5:$I$25,3,FALSE),P249),1)</f>
        <v>1</v>
      </c>
      <c r="Q250" s="226" t="str">
        <f t="shared" si="44"/>
        <v>-</v>
      </c>
      <c r="R250" s="223"/>
      <c r="S250" s="224"/>
      <c r="T250" s="224"/>
      <c r="U250" s="224"/>
      <c r="V250" s="224"/>
    </row>
    <row r="251" spans="2:22" hidden="1" outlineLevel="1" x14ac:dyDescent="0.25">
      <c r="B251" s="177">
        <f t="shared" si="42"/>
        <v>50710</v>
      </c>
      <c r="C251" s="171">
        <f>'[1]Table 5'!E251*P251</f>
        <v>0</v>
      </c>
      <c r="D251" s="172" t="str">
        <f>IFERROR(G251*IF(AND(C251&lt;0,OR(Shape_Annually="No",AND(Shape_Annually="Yes",Shape_Start&gt;YEAR(B251)))),'MWH-Split'!T244,'MWH-Split'!S244)*'MWH-Split'!U244,"")</f>
        <v/>
      </c>
      <c r="E251" s="173" t="str">
        <f>IFERROR(H251*IF(AND(C251&lt;0,OR(Shape_Annually="No",AND(Shape_Annually="Yes",Shape_Start&gt;YEAR(B251)))),'MWH-Split'!S244,'MWH-Split'!T244)*'MWH-Split'!U244,"")</f>
        <v/>
      </c>
      <c r="F251" s="172">
        <f>'[1]Table 5'!F251*P251</f>
        <v>0</v>
      </c>
      <c r="G251" s="172" t="e">
        <f>IF('MWH-Split'!N244&lt;&gt;0,'MWH-Split'!N244*P251,"")</f>
        <v>#DIV/0!</v>
      </c>
      <c r="H251" s="173" t="e">
        <f>IF('MWH-Split'!O244&lt;&gt;0,'MWH-Split'!O244*P251,"")</f>
        <v>#DIV/0!</v>
      </c>
      <c r="I251" s="174" t="str">
        <f t="shared" si="41"/>
        <v/>
      </c>
      <c r="J251" s="174">
        <f t="shared" si="39"/>
        <v>0</v>
      </c>
      <c r="K251" s="175">
        <f t="shared" si="40"/>
        <v>0</v>
      </c>
      <c r="M251" s="180">
        <f t="shared" si="43"/>
        <v>2038</v>
      </c>
      <c r="N251" s="177" t="str">
        <f t="shared" si="45"/>
        <v/>
      </c>
      <c r="P251" s="178">
        <f>IF('Monthly Levelized'!$K$5+'Monthly Levelized'!$L$5&lt;&gt;0,IFERROR(VLOOKUP(B251,'Monthly Levelized'!$G$5:$I$25,3,FALSE),P250),1)</f>
        <v>1</v>
      </c>
      <c r="Q251" s="226" t="str">
        <f t="shared" si="44"/>
        <v>-</v>
      </c>
      <c r="R251" s="223"/>
      <c r="S251" s="224"/>
      <c r="T251" s="224"/>
      <c r="U251" s="224"/>
      <c r="V251" s="224"/>
    </row>
    <row r="252" spans="2:22" hidden="1" x14ac:dyDescent="0.25">
      <c r="B252" s="188">
        <f t="shared" si="42"/>
        <v>50740</v>
      </c>
      <c r="C252" s="182">
        <f>'[1]Table 5'!E252*P252</f>
        <v>0</v>
      </c>
      <c r="D252" s="183" t="str">
        <f>IFERROR(G252*IF(AND(C252&lt;0,OR(Shape_Annually="No",AND(Shape_Annually="Yes",Shape_Start&gt;YEAR(B252)))),'MWH-Split'!T245,'MWH-Split'!S245)*'MWH-Split'!U245,"")</f>
        <v/>
      </c>
      <c r="E252" s="184" t="str">
        <f>IFERROR(H252*IF(AND(C252&lt;0,OR(Shape_Annually="No",AND(Shape_Annually="Yes",Shape_Start&gt;YEAR(B252)))),'MWH-Split'!S245,'MWH-Split'!T245)*'MWH-Split'!U245,"")</f>
        <v/>
      </c>
      <c r="F252" s="183">
        <f>'[1]Table 5'!F252*P252</f>
        <v>0</v>
      </c>
      <c r="G252" s="183" t="e">
        <f>IF('MWH-Split'!N245&lt;&gt;0,'MWH-Split'!N245*P252,"")</f>
        <v>#DIV/0!</v>
      </c>
      <c r="H252" s="184" t="e">
        <f>IF('MWH-Split'!O245&lt;&gt;0,'MWH-Split'!O245*P252,"")</f>
        <v>#DIV/0!</v>
      </c>
      <c r="I252" s="185" t="str">
        <f t="shared" si="41"/>
        <v/>
      </c>
      <c r="J252" s="185">
        <f t="shared" si="39"/>
        <v>0</v>
      </c>
      <c r="K252" s="186">
        <f t="shared" si="40"/>
        <v>0</v>
      </c>
      <c r="M252" s="187">
        <f t="shared" si="43"/>
        <v>2038</v>
      </c>
      <c r="N252" s="188" t="str">
        <f t="shared" si="45"/>
        <v/>
      </c>
      <c r="P252" s="189">
        <f>IF('Monthly Levelized'!$K$5+'Monthly Levelized'!$L$5&lt;&gt;0,IFERROR(VLOOKUP(B252,'Monthly Levelized'!$G$5:$I$25,3,FALSE),P251),1)</f>
        <v>1</v>
      </c>
      <c r="Q252" s="226" t="str">
        <f t="shared" si="44"/>
        <v>-</v>
      </c>
      <c r="R252" s="223"/>
      <c r="S252" s="224"/>
      <c r="T252" s="224"/>
      <c r="U252" s="224"/>
      <c r="V252" s="224"/>
    </row>
    <row r="253" spans="2:22" hidden="1" x14ac:dyDescent="0.25">
      <c r="B253" s="190">
        <f t="shared" si="42"/>
        <v>50771</v>
      </c>
      <c r="C253" s="191">
        <f>IFERROR('[1]Table 5'!E253*P253,"")</f>
        <v>0</v>
      </c>
      <c r="D253" s="192" t="str">
        <f>IFERROR(G253*IF(AND(C253&lt;0,OR(Shape_Annually="No",AND(Shape_Annually="Yes",Shape_Start&gt;YEAR(B253)))),'MWH-Split'!T246,'MWH-Split'!S246)*'MWH-Split'!U246,"")</f>
        <v/>
      </c>
      <c r="E253" s="193" t="str">
        <f>IFERROR(H253*IF(AND(C253&lt;0,OR(Shape_Annually="No",AND(Shape_Annually="Yes",Shape_Start&gt;YEAR(B253)))),'MWH-Split'!S246,'MWH-Split'!T246)*'MWH-Split'!U246,"")</f>
        <v/>
      </c>
      <c r="F253" s="192">
        <f>IFERROR('[1]Table 5'!F253*P253,"")</f>
        <v>0</v>
      </c>
      <c r="G253" s="192" t="str">
        <f>IFERROR('MWH-Split'!N246*P253,"")</f>
        <v/>
      </c>
      <c r="H253" s="193" t="str">
        <f>IFERROR('MWH-Split'!O246*P253,"")</f>
        <v/>
      </c>
      <c r="I253" s="194" t="str">
        <f t="shared" ref="I253:I263" si="46">IFERROR(MAX(ROUND(IF(ISNUMBER(F253),SUM(D253:E253)/SUM(G253:H253),""),2),0),"")</f>
        <v/>
      </c>
      <c r="J253" s="194" t="str">
        <f t="shared" ref="J253:J263" si="47">IFERROR(MAX(ROUND(IF(ISNUMBER(G253),D253/G253,""),2),0),"")</f>
        <v/>
      </c>
      <c r="K253" s="195" t="str">
        <f t="shared" ref="K253:K263" si="48">IFERROR(MAX(ROUND(IF(ISNUMBER(H253),E253/H253,""),2),0),"")</f>
        <v/>
      </c>
      <c r="M253" s="176">
        <f t="shared" si="43"/>
        <v>2039</v>
      </c>
      <c r="N253" s="177" t="str">
        <f t="shared" si="45"/>
        <v/>
      </c>
      <c r="P253" s="196">
        <f>IF('Monthly Levelized'!$K$5+'Monthly Levelized'!$L$5&lt;&gt;0,IFERROR(VLOOKUP(B253,'Monthly Levelized'!$G$5:$I$25,3,FALSE),P252),1)</f>
        <v>1</v>
      </c>
      <c r="Q253" s="226" t="str">
        <f t="shared" si="44"/>
        <v>-</v>
      </c>
      <c r="R253" s="223"/>
      <c r="S253" s="224"/>
      <c r="T253" s="224"/>
      <c r="U253" s="224"/>
      <c r="V253" s="224"/>
    </row>
    <row r="254" spans="2:22" hidden="1" outlineLevel="1" x14ac:dyDescent="0.25">
      <c r="B254" s="177">
        <f t="shared" si="42"/>
        <v>50802</v>
      </c>
      <c r="C254" s="171">
        <f>IFERROR('[1]Table 5'!E254*P254,"")</f>
        <v>0</v>
      </c>
      <c r="D254" s="172" t="str">
        <f>IFERROR(G254*IF(AND(C254&lt;0,OR(Shape_Annually="No",AND(Shape_Annually="Yes",Shape_Start&gt;YEAR(B254)))),'MWH-Split'!T247,'MWH-Split'!S247)*'MWH-Split'!U247,"")</f>
        <v/>
      </c>
      <c r="E254" s="173" t="str">
        <f>IFERROR(H254*IF(AND(C254&lt;0,OR(Shape_Annually="No",AND(Shape_Annually="Yes",Shape_Start&gt;YEAR(B254)))),'MWH-Split'!S247,'MWH-Split'!T247)*'MWH-Split'!U247,"")</f>
        <v/>
      </c>
      <c r="F254" s="172">
        <f>IFERROR('[1]Table 5'!F254*P254,"")</f>
        <v>0</v>
      </c>
      <c r="G254" s="172" t="str">
        <f>IFERROR('MWH-Split'!N247*P254,"")</f>
        <v/>
      </c>
      <c r="H254" s="173" t="str">
        <f>IFERROR('MWH-Split'!O247*P254,"")</f>
        <v/>
      </c>
      <c r="I254" s="174" t="str">
        <f t="shared" si="46"/>
        <v/>
      </c>
      <c r="J254" s="174" t="str">
        <f t="shared" si="47"/>
        <v/>
      </c>
      <c r="K254" s="175" t="str">
        <f t="shared" si="48"/>
        <v/>
      </c>
      <c r="M254" s="180">
        <f t="shared" si="43"/>
        <v>2039</v>
      </c>
      <c r="N254" s="177" t="str">
        <f t="shared" si="45"/>
        <v/>
      </c>
      <c r="P254" s="178">
        <f>IF('Monthly Levelized'!$K$5+'Monthly Levelized'!$L$5&lt;&gt;0,IFERROR(VLOOKUP(B254,'Monthly Levelized'!$G$5:$I$25,3,FALSE),P253),1)</f>
        <v>1</v>
      </c>
      <c r="Q254" s="226" t="str">
        <f t="shared" si="44"/>
        <v>-</v>
      </c>
      <c r="R254" s="223"/>
      <c r="S254" s="224"/>
      <c r="T254" s="224"/>
      <c r="U254" s="224"/>
      <c r="V254" s="224"/>
    </row>
    <row r="255" spans="2:22" hidden="1" outlineLevel="1" x14ac:dyDescent="0.25">
      <c r="B255" s="177">
        <f t="shared" si="42"/>
        <v>50830</v>
      </c>
      <c r="C255" s="171">
        <f>IFERROR('[1]Table 5'!E255*P255,"")</f>
        <v>0</v>
      </c>
      <c r="D255" s="172" t="str">
        <f>IFERROR(G255*IF(AND(C255&lt;0,OR(Shape_Annually="No",AND(Shape_Annually="Yes",Shape_Start&gt;YEAR(B255)))),'MWH-Split'!T248,'MWH-Split'!S248)*'MWH-Split'!U248,"")</f>
        <v/>
      </c>
      <c r="E255" s="173" t="str">
        <f>IFERROR(H255*IF(AND(C255&lt;0,OR(Shape_Annually="No",AND(Shape_Annually="Yes",Shape_Start&gt;YEAR(B255)))),'MWH-Split'!S248,'MWH-Split'!T248)*'MWH-Split'!U248,"")</f>
        <v/>
      </c>
      <c r="F255" s="172">
        <f>IFERROR('[1]Table 5'!F255*P255,"")</f>
        <v>0</v>
      </c>
      <c r="G255" s="172" t="str">
        <f>IFERROR('MWH-Split'!N248*P255,"")</f>
        <v/>
      </c>
      <c r="H255" s="173" t="str">
        <f>IFERROR('MWH-Split'!O248*P255,"")</f>
        <v/>
      </c>
      <c r="I255" s="174" t="str">
        <f t="shared" si="46"/>
        <v/>
      </c>
      <c r="J255" s="174" t="str">
        <f t="shared" si="47"/>
        <v/>
      </c>
      <c r="K255" s="175" t="str">
        <f t="shared" si="48"/>
        <v/>
      </c>
      <c r="M255" s="180">
        <f t="shared" si="43"/>
        <v>2039</v>
      </c>
      <c r="N255" s="177" t="str">
        <f t="shared" si="45"/>
        <v/>
      </c>
      <c r="P255" s="178">
        <f>IF('Monthly Levelized'!$K$5+'Monthly Levelized'!$L$5&lt;&gt;0,IFERROR(VLOOKUP(B255,'Monthly Levelized'!$G$5:$I$25,3,FALSE),P254),1)</f>
        <v>1</v>
      </c>
      <c r="Q255" s="226" t="str">
        <f t="shared" si="44"/>
        <v>-</v>
      </c>
      <c r="R255" s="223"/>
      <c r="S255" s="224"/>
      <c r="T255" s="224"/>
      <c r="U255" s="224"/>
      <c r="V255" s="224"/>
    </row>
    <row r="256" spans="2:22" hidden="1" outlineLevel="1" x14ac:dyDescent="0.25">
      <c r="B256" s="177">
        <f t="shared" si="42"/>
        <v>50861</v>
      </c>
      <c r="C256" s="171">
        <f>IFERROR('[1]Table 5'!E256*P256,"")</f>
        <v>0</v>
      </c>
      <c r="D256" s="172" t="str">
        <f>IFERROR(G256*IF(AND(C256&lt;0,OR(Shape_Annually="No",AND(Shape_Annually="Yes",Shape_Start&gt;YEAR(B256)))),'MWH-Split'!T249,'MWH-Split'!S249)*'MWH-Split'!U249,"")</f>
        <v/>
      </c>
      <c r="E256" s="173" t="str">
        <f>IFERROR(H256*IF(AND(C256&lt;0,OR(Shape_Annually="No",AND(Shape_Annually="Yes",Shape_Start&gt;YEAR(B256)))),'MWH-Split'!S249,'MWH-Split'!T249)*'MWH-Split'!U249,"")</f>
        <v/>
      </c>
      <c r="F256" s="172">
        <f>IFERROR('[1]Table 5'!F256*P256,"")</f>
        <v>0</v>
      </c>
      <c r="G256" s="172" t="str">
        <f>IFERROR('MWH-Split'!N249*P256,"")</f>
        <v/>
      </c>
      <c r="H256" s="173" t="str">
        <f>IFERROR('MWH-Split'!O249*P256,"")</f>
        <v/>
      </c>
      <c r="I256" s="174" t="str">
        <f t="shared" si="46"/>
        <v/>
      </c>
      <c r="J256" s="174" t="str">
        <f t="shared" si="47"/>
        <v/>
      </c>
      <c r="K256" s="175" t="str">
        <f t="shared" si="48"/>
        <v/>
      </c>
      <c r="M256" s="180">
        <f t="shared" si="43"/>
        <v>2039</v>
      </c>
      <c r="N256" s="177" t="str">
        <f t="shared" si="45"/>
        <v/>
      </c>
      <c r="P256" s="178">
        <f>IF('Monthly Levelized'!$K$5+'Monthly Levelized'!$L$5&lt;&gt;0,IFERROR(VLOOKUP(B256,'Monthly Levelized'!$G$5:$I$25,3,FALSE),P255),1)</f>
        <v>1</v>
      </c>
      <c r="Q256" s="226" t="str">
        <f t="shared" si="44"/>
        <v>-</v>
      </c>
      <c r="R256" s="223"/>
      <c r="S256" s="224"/>
      <c r="T256" s="224"/>
      <c r="U256" s="224"/>
      <c r="V256" s="224"/>
    </row>
    <row r="257" spans="2:22" hidden="1" outlineLevel="1" x14ac:dyDescent="0.25">
      <c r="B257" s="177">
        <f t="shared" si="42"/>
        <v>50891</v>
      </c>
      <c r="C257" s="171">
        <f>IFERROR('[1]Table 5'!E257*P257,"")</f>
        <v>0</v>
      </c>
      <c r="D257" s="172" t="str">
        <f>IFERROR(G257*IF(AND(C257&lt;0,OR(Shape_Annually="No",AND(Shape_Annually="Yes",Shape_Start&gt;YEAR(B257)))),'MWH-Split'!T250,'MWH-Split'!S250)*'MWH-Split'!U250,"")</f>
        <v/>
      </c>
      <c r="E257" s="173" t="str">
        <f>IFERROR(H257*IF(AND(C257&lt;0,OR(Shape_Annually="No",AND(Shape_Annually="Yes",Shape_Start&gt;YEAR(B257)))),'MWH-Split'!S250,'MWH-Split'!T250)*'MWH-Split'!U250,"")</f>
        <v/>
      </c>
      <c r="F257" s="172">
        <f>IFERROR('[1]Table 5'!F257*P257,"")</f>
        <v>0</v>
      </c>
      <c r="G257" s="172" t="str">
        <f>IFERROR('MWH-Split'!N250*P257,"")</f>
        <v/>
      </c>
      <c r="H257" s="173" t="str">
        <f>IFERROR('MWH-Split'!O250*P257,"")</f>
        <v/>
      </c>
      <c r="I257" s="174" t="str">
        <f t="shared" si="46"/>
        <v/>
      </c>
      <c r="J257" s="174" t="str">
        <f t="shared" si="47"/>
        <v/>
      </c>
      <c r="K257" s="175" t="str">
        <f t="shared" si="48"/>
        <v/>
      </c>
      <c r="M257" s="180">
        <f t="shared" si="43"/>
        <v>2039</v>
      </c>
      <c r="N257" s="177" t="str">
        <f t="shared" si="45"/>
        <v/>
      </c>
      <c r="P257" s="178">
        <f>IF('Monthly Levelized'!$K$5+'Monthly Levelized'!$L$5&lt;&gt;0,IFERROR(VLOOKUP(B257,'Monthly Levelized'!$G$5:$I$25,3,FALSE),P256),1)</f>
        <v>1</v>
      </c>
      <c r="Q257" s="226" t="str">
        <f t="shared" si="44"/>
        <v>-</v>
      </c>
      <c r="R257" s="223"/>
      <c r="S257" s="224"/>
      <c r="T257" s="224"/>
      <c r="U257" s="224"/>
      <c r="V257" s="224"/>
    </row>
    <row r="258" spans="2:22" hidden="1" outlineLevel="1" x14ac:dyDescent="0.25">
      <c r="B258" s="177">
        <f t="shared" si="42"/>
        <v>50922</v>
      </c>
      <c r="C258" s="171">
        <f>IFERROR('[1]Table 5'!E258*P258,"")</f>
        <v>0</v>
      </c>
      <c r="D258" s="172" t="str">
        <f>IFERROR(G258*IF(AND(C258&lt;0,OR(Shape_Annually="No",AND(Shape_Annually="Yes",Shape_Start&gt;YEAR(B258)))),'MWH-Split'!T251,'MWH-Split'!S251)*'MWH-Split'!U251,"")</f>
        <v/>
      </c>
      <c r="E258" s="173" t="str">
        <f>IFERROR(H258*IF(AND(C258&lt;0,OR(Shape_Annually="No",AND(Shape_Annually="Yes",Shape_Start&gt;YEAR(B258)))),'MWH-Split'!S251,'MWH-Split'!T251)*'MWH-Split'!U251,"")</f>
        <v/>
      </c>
      <c r="F258" s="172">
        <f>IFERROR('[1]Table 5'!F258*P258,"")</f>
        <v>0</v>
      </c>
      <c r="G258" s="172" t="str">
        <f>IFERROR('MWH-Split'!N251*P258,"")</f>
        <v/>
      </c>
      <c r="H258" s="173" t="str">
        <f>IFERROR('MWH-Split'!O251*P258,"")</f>
        <v/>
      </c>
      <c r="I258" s="174" t="str">
        <f t="shared" si="46"/>
        <v/>
      </c>
      <c r="J258" s="174" t="str">
        <f t="shared" si="47"/>
        <v/>
      </c>
      <c r="K258" s="175" t="str">
        <f t="shared" si="48"/>
        <v/>
      </c>
      <c r="M258" s="180">
        <f t="shared" si="43"/>
        <v>2039</v>
      </c>
      <c r="N258" s="177" t="str">
        <f t="shared" si="45"/>
        <v/>
      </c>
      <c r="P258" s="178">
        <f>IF('Monthly Levelized'!$K$5+'Monthly Levelized'!$L$5&lt;&gt;0,IFERROR(VLOOKUP(B258,'Monthly Levelized'!$G$5:$I$25,3,FALSE),P257),1)</f>
        <v>1</v>
      </c>
      <c r="Q258" s="226" t="str">
        <f t="shared" si="44"/>
        <v>-</v>
      </c>
      <c r="R258" s="223"/>
      <c r="S258" s="224"/>
      <c r="T258" s="224"/>
      <c r="U258" s="224"/>
      <c r="V258" s="224"/>
    </row>
    <row r="259" spans="2:22" hidden="1" outlineLevel="1" x14ac:dyDescent="0.25">
      <c r="B259" s="177">
        <f t="shared" si="42"/>
        <v>50952</v>
      </c>
      <c r="C259" s="171">
        <f>IFERROR('[1]Table 5'!E259*P259,"")</f>
        <v>0</v>
      </c>
      <c r="D259" s="172" t="str">
        <f>IFERROR(G259*IF(AND(C259&lt;0,OR(Shape_Annually="No",AND(Shape_Annually="Yes",Shape_Start&gt;YEAR(B259)))),'MWH-Split'!T252,'MWH-Split'!S252)*'MWH-Split'!U252,"")</f>
        <v/>
      </c>
      <c r="E259" s="173" t="str">
        <f>IFERROR(H259*IF(AND(C259&lt;0,OR(Shape_Annually="No",AND(Shape_Annually="Yes",Shape_Start&gt;YEAR(B259)))),'MWH-Split'!S252,'MWH-Split'!T252)*'MWH-Split'!U252,"")</f>
        <v/>
      </c>
      <c r="F259" s="172">
        <f>IFERROR('[1]Table 5'!F259*P259,"")</f>
        <v>0</v>
      </c>
      <c r="G259" s="172" t="str">
        <f>IFERROR('MWH-Split'!N252*P259,"")</f>
        <v/>
      </c>
      <c r="H259" s="173" t="str">
        <f>IFERROR('MWH-Split'!O252*P259,"")</f>
        <v/>
      </c>
      <c r="I259" s="174" t="str">
        <f t="shared" si="46"/>
        <v/>
      </c>
      <c r="J259" s="174" t="str">
        <f t="shared" si="47"/>
        <v/>
      </c>
      <c r="K259" s="175" t="str">
        <f t="shared" si="48"/>
        <v/>
      </c>
      <c r="M259" s="180">
        <f t="shared" si="43"/>
        <v>2039</v>
      </c>
      <c r="N259" s="177" t="str">
        <f t="shared" si="45"/>
        <v/>
      </c>
      <c r="P259" s="178">
        <f>IF('Monthly Levelized'!$K$5+'Monthly Levelized'!$L$5&lt;&gt;0,IFERROR(VLOOKUP(B259,'Monthly Levelized'!$G$5:$I$25,3,FALSE),P258),1)</f>
        <v>1</v>
      </c>
      <c r="Q259" s="226" t="str">
        <f t="shared" si="44"/>
        <v>-</v>
      </c>
      <c r="R259" s="223"/>
      <c r="S259" s="224"/>
      <c r="T259" s="224"/>
      <c r="U259" s="224"/>
      <c r="V259" s="224"/>
    </row>
    <row r="260" spans="2:22" hidden="1" outlineLevel="1" x14ac:dyDescent="0.25">
      <c r="B260" s="177">
        <f t="shared" si="42"/>
        <v>50983</v>
      </c>
      <c r="C260" s="171">
        <f>IFERROR('[1]Table 5'!E260*P260,"")</f>
        <v>0</v>
      </c>
      <c r="D260" s="172" t="str">
        <f>IFERROR(G260*IF(AND(C260&lt;0,OR(Shape_Annually="No",AND(Shape_Annually="Yes",Shape_Start&gt;YEAR(B260)))),'MWH-Split'!T253,'MWH-Split'!S253)*'MWH-Split'!U253,"")</f>
        <v/>
      </c>
      <c r="E260" s="173" t="str">
        <f>IFERROR(H260*IF(AND(C260&lt;0,OR(Shape_Annually="No",AND(Shape_Annually="Yes",Shape_Start&gt;YEAR(B260)))),'MWH-Split'!S253,'MWH-Split'!T253)*'MWH-Split'!U253,"")</f>
        <v/>
      </c>
      <c r="F260" s="172">
        <f>IFERROR('[1]Table 5'!F260*P260,"")</f>
        <v>0</v>
      </c>
      <c r="G260" s="172" t="str">
        <f>IFERROR('MWH-Split'!N253*P260,"")</f>
        <v/>
      </c>
      <c r="H260" s="173" t="str">
        <f>IFERROR('MWH-Split'!O253*P260,"")</f>
        <v/>
      </c>
      <c r="I260" s="174" t="str">
        <f t="shared" si="46"/>
        <v/>
      </c>
      <c r="J260" s="174" t="str">
        <f t="shared" si="47"/>
        <v/>
      </c>
      <c r="K260" s="175" t="str">
        <f t="shared" si="48"/>
        <v/>
      </c>
      <c r="M260" s="180">
        <f t="shared" si="43"/>
        <v>2039</v>
      </c>
      <c r="N260" s="177" t="str">
        <f t="shared" si="45"/>
        <v/>
      </c>
      <c r="P260" s="178">
        <f>IF('Monthly Levelized'!$K$5+'Monthly Levelized'!$L$5&lt;&gt;0,IFERROR(VLOOKUP(B260,'Monthly Levelized'!$G$5:$I$25,3,FALSE),P259),1)</f>
        <v>1</v>
      </c>
      <c r="Q260" s="226" t="str">
        <f t="shared" si="44"/>
        <v>-</v>
      </c>
      <c r="R260" s="223"/>
      <c r="S260" s="224"/>
      <c r="T260" s="224"/>
      <c r="U260" s="224"/>
      <c r="V260" s="224"/>
    </row>
    <row r="261" spans="2:22" hidden="1" outlineLevel="1" x14ac:dyDescent="0.25">
      <c r="B261" s="177">
        <f t="shared" si="42"/>
        <v>51014</v>
      </c>
      <c r="C261" s="171">
        <f>IFERROR('[1]Table 5'!E261*P261,"")</f>
        <v>0</v>
      </c>
      <c r="D261" s="172" t="str">
        <f>IFERROR(G261*IF(AND(C261&lt;0,OR(Shape_Annually="No",AND(Shape_Annually="Yes",Shape_Start&gt;YEAR(B261)))),'MWH-Split'!T254,'MWH-Split'!S254)*'MWH-Split'!U254,"")</f>
        <v/>
      </c>
      <c r="E261" s="173" t="str">
        <f>IFERROR(H261*IF(AND(C261&lt;0,OR(Shape_Annually="No",AND(Shape_Annually="Yes",Shape_Start&gt;YEAR(B261)))),'MWH-Split'!S254,'MWH-Split'!T254)*'MWH-Split'!U254,"")</f>
        <v/>
      </c>
      <c r="F261" s="172">
        <f>IFERROR('[1]Table 5'!F261*P261,"")</f>
        <v>0</v>
      </c>
      <c r="G261" s="172" t="str">
        <f>IFERROR('MWH-Split'!N254*P261,"")</f>
        <v/>
      </c>
      <c r="H261" s="173" t="str">
        <f>IFERROR('MWH-Split'!O254*P261,"")</f>
        <v/>
      </c>
      <c r="I261" s="174" t="str">
        <f t="shared" si="46"/>
        <v/>
      </c>
      <c r="J261" s="174" t="str">
        <f t="shared" si="47"/>
        <v/>
      </c>
      <c r="K261" s="175" t="str">
        <f t="shared" si="48"/>
        <v/>
      </c>
      <c r="M261" s="180">
        <f t="shared" si="43"/>
        <v>2039</v>
      </c>
      <c r="N261" s="177" t="str">
        <f t="shared" si="45"/>
        <v/>
      </c>
      <c r="P261" s="178">
        <f>IF('Monthly Levelized'!$K$5+'Monthly Levelized'!$L$5&lt;&gt;0,IFERROR(VLOOKUP(B261,'Monthly Levelized'!$G$5:$I$25,3,FALSE),P260),1)</f>
        <v>1</v>
      </c>
      <c r="Q261" s="226" t="str">
        <f t="shared" si="44"/>
        <v>-</v>
      </c>
      <c r="R261" s="223"/>
      <c r="S261" s="224"/>
      <c r="T261" s="224"/>
      <c r="U261" s="224"/>
      <c r="V261" s="224"/>
    </row>
    <row r="262" spans="2:22" hidden="1" outlineLevel="1" x14ac:dyDescent="0.25">
      <c r="B262" s="177">
        <f t="shared" si="42"/>
        <v>51044</v>
      </c>
      <c r="C262" s="171">
        <f>IFERROR('[1]Table 5'!E262*P262,"")</f>
        <v>0</v>
      </c>
      <c r="D262" s="172" t="str">
        <f>IFERROR(G262*IF(AND(C262&lt;0,OR(Shape_Annually="No",AND(Shape_Annually="Yes",Shape_Start&gt;YEAR(B262)))),'MWH-Split'!T255,'MWH-Split'!S255)*'MWH-Split'!U255,"")</f>
        <v/>
      </c>
      <c r="E262" s="173" t="str">
        <f>IFERROR(H262*IF(AND(C262&lt;0,OR(Shape_Annually="No",AND(Shape_Annually="Yes",Shape_Start&gt;YEAR(B262)))),'MWH-Split'!S255,'MWH-Split'!T255)*'MWH-Split'!U255,"")</f>
        <v/>
      </c>
      <c r="F262" s="172">
        <f>IFERROR('[1]Table 5'!F262*P262,"")</f>
        <v>0</v>
      </c>
      <c r="G262" s="172" t="str">
        <f>IFERROR('MWH-Split'!N255*P262,"")</f>
        <v/>
      </c>
      <c r="H262" s="173" t="str">
        <f>IFERROR('MWH-Split'!O255*P262,"")</f>
        <v/>
      </c>
      <c r="I262" s="174" t="str">
        <f t="shared" si="46"/>
        <v/>
      </c>
      <c r="J262" s="174" t="str">
        <f t="shared" si="47"/>
        <v/>
      </c>
      <c r="K262" s="175" t="str">
        <f t="shared" si="48"/>
        <v/>
      </c>
      <c r="M262" s="180">
        <f t="shared" si="43"/>
        <v>2039</v>
      </c>
      <c r="N262" s="177" t="str">
        <f t="shared" si="45"/>
        <v/>
      </c>
      <c r="P262" s="178">
        <f>IF('Monthly Levelized'!$K$5+'Monthly Levelized'!$L$5&lt;&gt;0,IFERROR(VLOOKUP(B262,'Monthly Levelized'!$G$5:$I$25,3,FALSE),P261),1)</f>
        <v>1</v>
      </c>
      <c r="Q262" s="226" t="str">
        <f t="shared" si="44"/>
        <v>-</v>
      </c>
      <c r="R262" s="223"/>
      <c r="S262" s="224"/>
      <c r="T262" s="224"/>
      <c r="U262" s="224"/>
      <c r="V262" s="224"/>
    </row>
    <row r="263" spans="2:22" hidden="1" outlineLevel="1" x14ac:dyDescent="0.25">
      <c r="B263" s="177">
        <f t="shared" si="42"/>
        <v>51075</v>
      </c>
      <c r="C263" s="171">
        <f>IFERROR('[1]Table 5'!E263*P263,"")</f>
        <v>0</v>
      </c>
      <c r="D263" s="172" t="str">
        <f>IFERROR(G263*IF(AND(C263&lt;0,OR(Shape_Annually="No",AND(Shape_Annually="Yes",Shape_Start&gt;YEAR(B263)))),'MWH-Split'!T256,'MWH-Split'!S256)*'MWH-Split'!U256,"")</f>
        <v/>
      </c>
      <c r="E263" s="173" t="str">
        <f>IFERROR(H263*IF(AND(C263&lt;0,OR(Shape_Annually="No",AND(Shape_Annually="Yes",Shape_Start&gt;YEAR(B263)))),'MWH-Split'!S256,'MWH-Split'!T256)*'MWH-Split'!U256,"")</f>
        <v/>
      </c>
      <c r="F263" s="172">
        <f>IFERROR('[1]Table 5'!F263*P263,"")</f>
        <v>0</v>
      </c>
      <c r="G263" s="172" t="str">
        <f>IFERROR('MWH-Split'!N256*P263,"")</f>
        <v/>
      </c>
      <c r="H263" s="173" t="str">
        <f>IFERROR('MWH-Split'!O256*P263,"")</f>
        <v/>
      </c>
      <c r="I263" s="174" t="str">
        <f t="shared" si="46"/>
        <v/>
      </c>
      <c r="J263" s="174" t="str">
        <f t="shared" si="47"/>
        <v/>
      </c>
      <c r="K263" s="175" t="str">
        <f t="shared" si="48"/>
        <v/>
      </c>
      <c r="M263" s="180">
        <f t="shared" si="43"/>
        <v>2039</v>
      </c>
      <c r="N263" s="177" t="str">
        <f t="shared" si="45"/>
        <v/>
      </c>
      <c r="P263" s="178">
        <f>IF('Monthly Levelized'!$K$5+'Monthly Levelized'!$L$5&lt;&gt;0,IFERROR(VLOOKUP(B263,'Monthly Levelized'!$G$5:$I$25,3,FALSE),P262),1)</f>
        <v>1</v>
      </c>
      <c r="Q263" s="226" t="str">
        <f t="shared" si="44"/>
        <v>-</v>
      </c>
      <c r="R263" s="223"/>
      <c r="S263" s="224"/>
      <c r="T263" s="224"/>
      <c r="U263" s="224"/>
      <c r="V263" s="224"/>
    </row>
    <row r="264" spans="2:22" hidden="1" x14ac:dyDescent="0.25">
      <c r="B264" s="188">
        <f t="shared" si="42"/>
        <v>51105</v>
      </c>
      <c r="C264" s="182">
        <f>IFERROR('[1]Table 5'!E264*P264,"")</f>
        <v>0</v>
      </c>
      <c r="D264" s="183" t="str">
        <f>IFERROR(G264*IF(AND(C264&lt;0,OR(Shape_Annually="No",AND(Shape_Annually="Yes",Shape_Start&gt;YEAR(B264)))),'MWH-Split'!T257,'MWH-Split'!S257)*'MWH-Split'!U257,"")</f>
        <v/>
      </c>
      <c r="E264" s="184" t="str">
        <f>IFERROR(H264*IF(AND(C264&lt;0,OR(Shape_Annually="No",AND(Shape_Annually="Yes",Shape_Start&gt;YEAR(B264)))),'MWH-Split'!S257,'MWH-Split'!T257)*'MWH-Split'!U257,"")</f>
        <v/>
      </c>
      <c r="F264" s="183">
        <f>IFERROR('[1]Table 5'!F264*P264,"")</f>
        <v>0</v>
      </c>
      <c r="G264" s="183" t="str">
        <f>IFERROR('MWH-Split'!N257*P264,"")</f>
        <v/>
      </c>
      <c r="H264" s="184" t="str">
        <f>IFERROR('MWH-Split'!O257*P264,"")</f>
        <v/>
      </c>
      <c r="I264" s="185" t="str">
        <f t="shared" ref="I264" si="49">IFERROR(MAX(ROUND(IF(ISNUMBER(F264),SUM(D264:E264)/SUM(G264:H264),""),2),0),"")</f>
        <v/>
      </c>
      <c r="J264" s="185" t="str">
        <f t="shared" ref="J264" si="50">IFERROR(MAX(ROUND(IF(ISNUMBER(G264),D264/G264,""),2),0),"")</f>
        <v/>
      </c>
      <c r="K264" s="186" t="str">
        <f t="shared" ref="K264" si="51">IFERROR(MAX(ROUND(IF(ISNUMBER(H264),E264/H264,""),2),0),"")</f>
        <v/>
      </c>
      <c r="M264" s="187">
        <f t="shared" si="43"/>
        <v>2039</v>
      </c>
      <c r="N264" s="188" t="str">
        <f t="shared" si="45"/>
        <v/>
      </c>
      <c r="P264" s="189">
        <f>IF('Monthly Levelized'!$K$5+'Monthly Levelized'!$L$5&lt;&gt;0,IFERROR(VLOOKUP(B264,'Monthly Levelized'!$G$5:$I$25,3,FALSE),P263),1)</f>
        <v>1</v>
      </c>
      <c r="Q264" s="226" t="str">
        <f t="shared" si="44"/>
        <v>-</v>
      </c>
      <c r="R264" s="223"/>
      <c r="S264" s="224"/>
      <c r="T264" s="224"/>
      <c r="U264" s="224"/>
      <c r="V264" s="224"/>
    </row>
    <row r="265" spans="2:22" x14ac:dyDescent="0.25">
      <c r="B265" s="197"/>
      <c r="Q265" s="226"/>
      <c r="R265" s="223"/>
      <c r="S265" s="224"/>
      <c r="T265" s="224"/>
      <c r="U265" s="224"/>
      <c r="V265" s="224"/>
    </row>
    <row r="266" spans="2:22" x14ac:dyDescent="0.25">
      <c r="B266" s="198" t="s">
        <v>85</v>
      </c>
      <c r="Q266" s="226"/>
      <c r="R266" s="223"/>
      <c r="S266" s="224"/>
      <c r="T266" s="224"/>
      <c r="U266" s="224"/>
      <c r="V266" s="224"/>
    </row>
    <row r="267" spans="2:22" x14ac:dyDescent="0.25">
      <c r="B267" s="198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226"/>
      <c r="R267" s="223"/>
      <c r="S267" s="224"/>
      <c r="T267" s="224"/>
      <c r="U267" s="224"/>
      <c r="V267" s="224"/>
    </row>
    <row r="268" spans="2:22" x14ac:dyDescent="0.25">
      <c r="B268" s="198" t="str">
        <f>IF(Shape_Annually="Yes","NOTE:     'HLH' + 'LLH' dollars will match 'Total' dollars on an annual basis","")</f>
        <v>NOTE:     'HLH' + 'LLH' dollars will match 'Total' dollars on an annual basis</v>
      </c>
      <c r="Q268" s="226"/>
      <c r="R268" s="223"/>
      <c r="S268" s="224"/>
      <c r="T268" s="224"/>
      <c r="U268" s="224"/>
      <c r="V268" s="224"/>
    </row>
    <row r="269" spans="2:22" x14ac:dyDescent="0.25">
      <c r="B269" s="199" t="str">
        <f>IF(SUM(F253:F263)&lt;&gt;0,"(b)  Energy Dollars post-2036 are escalated with inflation","")</f>
        <v/>
      </c>
      <c r="Q269" s="226"/>
      <c r="R269" s="223"/>
      <c r="S269" s="224"/>
      <c r="T269" s="224"/>
      <c r="U269" s="224"/>
      <c r="V269" s="224"/>
    </row>
    <row r="270" spans="2:22" x14ac:dyDescent="0.25">
      <c r="Q270" s="226"/>
      <c r="R270" s="223"/>
      <c r="S270" s="224"/>
      <c r="T270" s="224"/>
      <c r="U270" s="224"/>
      <c r="V270" s="224"/>
    </row>
  </sheetData>
  <conditionalFormatting sqref="C253:K263 C13:K240">
    <cfRule type="cellIs" dxfId="10" priority="2" operator="equal">
      <formula>0</formula>
    </cfRule>
  </conditionalFormatting>
  <conditionalFormatting sqref="C241:K251">
    <cfRule type="cellIs" dxfId="9" priority="1" operator="equal">
      <formula>0</formula>
    </cfRule>
  </conditionalFormatting>
  <printOptions horizontalCentered="1"/>
  <pageMargins left="0.8" right="0.3" top="0.4" bottom="0.4" header="0.5" footer="0.2"/>
  <pageSetup scale="86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X257"/>
  <sheetViews>
    <sheetView zoomScale="80" zoomScaleNormal="8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 activeCell="E32" sqref="E32"/>
    </sheetView>
  </sheetViews>
  <sheetFormatPr defaultColWidth="9.140625" defaultRowHeight="15" customHeight="1" outlineLevelRow="1" x14ac:dyDescent="0.2"/>
  <cols>
    <col min="1" max="1" width="9.5703125" style="12" bestFit="1" customWidth="1"/>
    <col min="2" max="2" width="21.85546875" style="12" customWidth="1"/>
    <col min="3" max="4" width="9.140625" style="12" customWidth="1"/>
    <col min="5" max="5" width="11.42578125" style="12" customWidth="1"/>
    <col min="6" max="6" width="2.7109375" style="12" customWidth="1"/>
    <col min="7" max="7" width="11.7109375" style="113" customWidth="1"/>
    <col min="8" max="8" width="23.85546875" style="12" customWidth="1"/>
    <col min="9" max="10" width="9.140625" style="12" customWidth="1"/>
    <col min="11" max="11" width="12.28515625" style="111" customWidth="1"/>
    <col min="12" max="12" width="2.7109375" style="12" customWidth="1"/>
    <col min="13" max="13" width="18.28515625" style="12" customWidth="1"/>
    <col min="14" max="14" width="16.28515625" style="12" customWidth="1"/>
    <col min="15" max="15" width="9.140625" style="12" customWidth="1"/>
    <col min="16" max="16" width="11.140625" style="12" customWidth="1"/>
    <col min="17" max="17" width="2.28515625" style="12" customWidth="1"/>
    <col min="18" max="20" width="9.140625" style="12" customWidth="1"/>
    <col min="21" max="21" width="11.140625" style="12" customWidth="1"/>
    <col min="22" max="22" width="2.42578125" style="12" customWidth="1"/>
    <col min="23" max="23" width="20.28515625" style="12" customWidth="1"/>
    <col min="24" max="16384" width="9.140625" style="12"/>
  </cols>
  <sheetData>
    <row r="1" spans="1:24" ht="29.25" thickBot="1" x14ac:dyDescent="0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W1" s="16" t="s">
        <v>84</v>
      </c>
      <c r="X1" s="17"/>
    </row>
    <row r="2" spans="1:24" ht="15" customHeight="1" x14ac:dyDescent="0.2">
      <c r="B2" s="14" t="s">
        <v>47</v>
      </c>
      <c r="C2" s="14"/>
      <c r="G2" s="12"/>
      <c r="H2" s="14"/>
      <c r="I2" s="14"/>
      <c r="K2" s="12"/>
      <c r="M2" s="18"/>
    </row>
    <row r="3" spans="1:24" ht="15" customHeight="1" x14ac:dyDescent="0.2">
      <c r="B3" s="19">
        <f>[1]!Study_MW</f>
        <v>6.2</v>
      </c>
      <c r="C3" s="14" t="s">
        <v>48</v>
      </c>
      <c r="G3" s="12"/>
      <c r="K3" s="12"/>
      <c r="M3" s="18"/>
      <c r="R3" s="12" t="s">
        <v>54</v>
      </c>
      <c r="T3" s="20"/>
    </row>
    <row r="4" spans="1:24" ht="15" customHeight="1" x14ac:dyDescent="0.2">
      <c r="B4" s="21">
        <f>[1]!Study_CF</f>
        <v>0.84999999999999987</v>
      </c>
      <c r="C4" s="14" t="s">
        <v>49</v>
      </c>
      <c r="E4" s="21">
        <f ca="1">IF(ISERROR(MATCH(SourceEnergy!N1,'MWH-Split'!M6:M245,0)),0,SUM(OFFSET(P5,MATCH(SourceEnergy!N1,'MWH-Split'!M6:M245,0),0,12))/('MWH-Split'!B3*24*(EDATE(SourceEnergy!N1,12)-SourceEnergy!N1)))</f>
        <v>0.84999999999999987</v>
      </c>
      <c r="G4" s="12"/>
      <c r="K4" s="12"/>
      <c r="R4" s="23"/>
      <c r="S4" s="24" t="s">
        <v>46</v>
      </c>
      <c r="T4" s="24"/>
      <c r="U4" s="25" t="s">
        <v>5</v>
      </c>
    </row>
    <row r="5" spans="1:24" ht="15" customHeight="1" thickBot="1" x14ac:dyDescent="0.2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22" t="s">
        <v>17</v>
      </c>
      <c r="N5" s="12" t="s">
        <v>9</v>
      </c>
      <c r="O5" s="12" t="s">
        <v>10</v>
      </c>
      <c r="P5" s="12" t="s">
        <v>18</v>
      </c>
      <c r="R5" s="26" t="s">
        <v>2</v>
      </c>
      <c r="S5" s="26" t="s">
        <v>9</v>
      </c>
      <c r="T5" s="26" t="s">
        <v>10</v>
      </c>
      <c r="U5" s="27" t="s">
        <v>4</v>
      </c>
    </row>
    <row r="6" spans="1:24" ht="15" customHeight="1" x14ac:dyDescent="0.2">
      <c r="A6" s="96">
        <v>43466</v>
      </c>
      <c r="B6" t="s">
        <v>107</v>
      </c>
      <c r="C6" t="s">
        <v>105</v>
      </c>
      <c r="D6" t="s">
        <v>9</v>
      </c>
      <c r="E6">
        <v>2192.3200000000002</v>
      </c>
      <c r="F6" s="10"/>
      <c r="G6" s="96"/>
      <c r="H6"/>
      <c r="I6"/>
      <c r="J6"/>
      <c r="K6"/>
      <c r="M6" s="89">
        <f>A6</f>
        <v>43466</v>
      </c>
      <c r="N6" s="28">
        <f>SUMIFS($E$6:$E$245,$A$6:$A$245,$M6,$D$6:$D$245,N$5)</f>
        <v>2192.3200000000002</v>
      </c>
      <c r="O6" s="29">
        <f t="shared" ref="O6:O69" si="0">SUMIFS($E$6:$E$245,$A$6:$A$245,$M6,$D$6:$D$245,O$5)</f>
        <v>1728.56</v>
      </c>
      <c r="P6" s="93">
        <f>N6+O6</f>
        <v>3920.88</v>
      </c>
      <c r="R6" s="30">
        <f>SourceEnergy!B13</f>
        <v>43466</v>
      </c>
      <c r="S6" s="31">
        <v>29.944700000000001</v>
      </c>
      <c r="T6" s="32">
        <v>25.834800000000001</v>
      </c>
      <c r="U6" s="33">
        <f>IF(AND(Shape_Annually="Yes",Shape_Start&lt;=W6),W13,IF(ISNUMBER(SourceEnergy!$C13),IF(SourceEnergy!$C13&lt;0,SourceEnergy!$C13/(SourceEnergy!$G13*T6+SourceEnergy!$H13*S6),SourceEnergy!$C13/(SourceEnergy!$G13*S6+SourceEnergy!$H13*T6)),""))</f>
        <v>0.68587344582696241</v>
      </c>
      <c r="W6" s="34">
        <f>YEAR(M6)</f>
        <v>2019</v>
      </c>
      <c r="X6" s="35"/>
    </row>
    <row r="7" spans="1:24" ht="15" customHeight="1" x14ac:dyDescent="0.2">
      <c r="A7" s="96">
        <v>43466</v>
      </c>
      <c r="B7" t="s">
        <v>107</v>
      </c>
      <c r="C7" t="s">
        <v>105</v>
      </c>
      <c r="D7" t="s">
        <v>10</v>
      </c>
      <c r="E7">
        <v>1728.56</v>
      </c>
      <c r="F7" s="10"/>
      <c r="G7" s="96"/>
      <c r="H7"/>
      <c r="I7"/>
      <c r="J7"/>
      <c r="K7"/>
      <c r="M7" s="90">
        <f>EDATE(M6,1)</f>
        <v>43497</v>
      </c>
      <c r="N7" s="36">
        <f t="shared" ref="N7:O70" si="1">SUMIFS($E$6:$E$245,$A$6:$A$245,$M7,$D$6:$D$245,N$5)</f>
        <v>2023.68</v>
      </c>
      <c r="O7" s="37">
        <f t="shared" si="0"/>
        <v>1517.76</v>
      </c>
      <c r="P7" s="94">
        <f t="shared" ref="P7:P70" si="2">N7+O7</f>
        <v>3541.44</v>
      </c>
      <c r="R7" s="38">
        <f>SourceEnergy!B14</f>
        <v>43497</v>
      </c>
      <c r="S7" s="39">
        <v>26.215</v>
      </c>
      <c r="T7" s="40">
        <v>21.9132</v>
      </c>
      <c r="U7" s="41">
        <f>IF(AND(Shape_Annually="Yes",Shape_Start&lt;=W6),W13,IF(ISNUMBER(SourceEnergy!$C14),IF(SourceEnergy!$C14&lt;0,SourceEnergy!$C14/(SourceEnergy!$G14*T7+SourceEnergy!$H14*S7),SourceEnergy!$C14/(SourceEnergy!$G14*S7+SourceEnergy!$H14*T7)),""))</f>
        <v>0.76400660634824913</v>
      </c>
      <c r="W7" s="12">
        <f>SUMPRODUCT(N6:N17,S6:S17)+SUMPRODUCT(O6:O17,T6:T17)</f>
        <v>1190759.1839056001</v>
      </c>
      <c r="X7" s="12" t="s">
        <v>78</v>
      </c>
    </row>
    <row r="8" spans="1:24" ht="15" customHeight="1" x14ac:dyDescent="0.2">
      <c r="A8" s="96">
        <v>43497</v>
      </c>
      <c r="B8" t="s">
        <v>107</v>
      </c>
      <c r="C8" t="s">
        <v>105</v>
      </c>
      <c r="D8" t="s">
        <v>9</v>
      </c>
      <c r="E8">
        <v>2023.68</v>
      </c>
      <c r="F8" s="10"/>
      <c r="G8" s="96"/>
      <c r="H8"/>
      <c r="I8"/>
      <c r="J8"/>
      <c r="K8"/>
      <c r="M8" s="90">
        <f t="shared" ref="M8:M71" si="3">EDATE(M7,1)</f>
        <v>43525</v>
      </c>
      <c r="N8" s="36">
        <f t="shared" si="1"/>
        <v>2192.3200000000002</v>
      </c>
      <c r="O8" s="37">
        <f t="shared" si="0"/>
        <v>1728.56</v>
      </c>
      <c r="P8" s="94">
        <f t="shared" si="2"/>
        <v>3920.88</v>
      </c>
      <c r="R8" s="38">
        <f>SourceEnergy!B15</f>
        <v>43525</v>
      </c>
      <c r="S8" s="39">
        <v>22.255970000000001</v>
      </c>
      <c r="T8" s="40">
        <v>19.164870000000001</v>
      </c>
      <c r="U8" s="41">
        <f>IF(AND(Shape_Annually="Yes",Shape_Start&lt;=W6),W13,IF(ISNUMBER(SourceEnergy!$C15),IF(SourceEnergy!$C15&lt;0,SourceEnergy!$C15/(SourceEnergy!$G15*T8+SourceEnergy!$H15*S8),SourceEnergy!$C15/(SourceEnergy!$G15*S8+SourceEnergy!$H15*T8)),""))</f>
        <v>0.77295126234830613</v>
      </c>
    </row>
    <row r="9" spans="1:24" ht="15" customHeight="1" x14ac:dyDescent="0.2">
      <c r="A9" s="96">
        <v>43497</v>
      </c>
      <c r="B9" t="s">
        <v>107</v>
      </c>
      <c r="C9" t="s">
        <v>105</v>
      </c>
      <c r="D9" t="s">
        <v>10</v>
      </c>
      <c r="E9">
        <v>1517.76</v>
      </c>
      <c r="F9" s="10"/>
      <c r="G9" s="96"/>
      <c r="H9"/>
      <c r="I9"/>
      <c r="J9"/>
      <c r="K9"/>
      <c r="M9" s="90">
        <f t="shared" si="3"/>
        <v>43556</v>
      </c>
      <c r="N9" s="36">
        <f t="shared" si="1"/>
        <v>2192.3200000000002</v>
      </c>
      <c r="O9" s="37">
        <f t="shared" si="0"/>
        <v>1602.08</v>
      </c>
      <c r="P9" s="94">
        <f t="shared" si="2"/>
        <v>3794.4</v>
      </c>
      <c r="R9" s="38">
        <f>SourceEnergy!B16</f>
        <v>43556</v>
      </c>
      <c r="S9" s="39">
        <v>20.99033</v>
      </c>
      <c r="T9" s="40">
        <v>17.360569999999999</v>
      </c>
      <c r="U9" s="41">
        <f>IF(AND(Shape_Annually="Yes",Shape_Start&lt;=W6),W13,IF(ISNUMBER(SourceEnergy!$C16),IF(SourceEnergy!$C16&lt;0,SourceEnergy!$C16/(SourceEnergy!$G16*T9+SourceEnergy!$H16*S9),SourceEnergy!$C16/(SourceEnergy!$G16*S9+SourceEnergy!$H16*T9)),""))</f>
        <v>0.70128584077457523</v>
      </c>
      <c r="W9" s="12">
        <f>VLOOKUP(W6,'[1]Table 5'!$L$16:$N$36,2,FALSE)</f>
        <v>803668.59913510084</v>
      </c>
      <c r="X9" s="12" t="s">
        <v>79</v>
      </c>
    </row>
    <row r="10" spans="1:24" ht="15" customHeight="1" x14ac:dyDescent="0.2">
      <c r="A10" s="96">
        <v>43525</v>
      </c>
      <c r="B10" t="s">
        <v>107</v>
      </c>
      <c r="C10" t="s">
        <v>105</v>
      </c>
      <c r="D10" t="s">
        <v>9</v>
      </c>
      <c r="E10">
        <v>2192.3200000000002</v>
      </c>
      <c r="F10" s="10"/>
      <c r="G10" s="96"/>
      <c r="H10"/>
      <c r="I10"/>
      <c r="J10"/>
      <c r="K10"/>
      <c r="M10" s="90">
        <f t="shared" si="3"/>
        <v>43586</v>
      </c>
      <c r="N10" s="36">
        <f t="shared" si="1"/>
        <v>2192.3200000000002</v>
      </c>
      <c r="O10" s="37">
        <f t="shared" si="0"/>
        <v>1728.56</v>
      </c>
      <c r="P10" s="94">
        <f t="shared" si="2"/>
        <v>3920.88</v>
      </c>
      <c r="R10" s="38">
        <f>SourceEnergy!B17</f>
        <v>43586</v>
      </c>
      <c r="S10" s="39">
        <v>21.559200000000001</v>
      </c>
      <c r="T10" s="40">
        <v>18.06213</v>
      </c>
      <c r="U10" s="41">
        <f>IF(AND(Shape_Annually="Yes",Shape_Start&lt;=W6),W13,IF(ISNUMBER(SourceEnergy!$C17),IF(SourceEnergy!$C17&lt;0,SourceEnergy!$C17/(SourceEnergy!$G17*T10+SourceEnergy!$H17*S10),SourceEnergy!$C17/(SourceEnergy!$G17*S10+SourceEnergy!$H17*T10)),""))</f>
        <v>0.70280912347959434</v>
      </c>
      <c r="W10" s="12">
        <f>VLOOKUP(W6,'[1]Table 5'!$L$16:$N$36,3,FALSE)</f>
        <v>0</v>
      </c>
      <c r="X10" s="12" t="s">
        <v>80</v>
      </c>
    </row>
    <row r="11" spans="1:24" ht="15" customHeight="1" x14ac:dyDescent="0.2">
      <c r="A11" s="96">
        <v>43525</v>
      </c>
      <c r="B11" t="s">
        <v>107</v>
      </c>
      <c r="C11" t="s">
        <v>105</v>
      </c>
      <c r="D11" t="s">
        <v>10</v>
      </c>
      <c r="E11">
        <v>1728.56</v>
      </c>
      <c r="F11" s="10"/>
      <c r="G11" s="96"/>
      <c r="H11"/>
      <c r="I11"/>
      <c r="J11"/>
      <c r="K11"/>
      <c r="M11" s="90">
        <f t="shared" si="3"/>
        <v>43617</v>
      </c>
      <c r="N11" s="36">
        <f t="shared" si="1"/>
        <v>2108</v>
      </c>
      <c r="O11" s="37">
        <f t="shared" si="0"/>
        <v>1686.4</v>
      </c>
      <c r="P11" s="94">
        <f t="shared" si="2"/>
        <v>3794.4</v>
      </c>
      <c r="R11" s="38">
        <f>SourceEnergy!B18</f>
        <v>43617</v>
      </c>
      <c r="S11" s="39">
        <v>31.04147</v>
      </c>
      <c r="T11" s="40">
        <v>22.637270000000001</v>
      </c>
      <c r="U11" s="41">
        <f>IF(AND(Shape_Annually="Yes",Shape_Start&lt;=W6),W13,IF(ISNUMBER(SourceEnergy!$C18),IF(SourceEnergy!$C18&lt;0,SourceEnergy!$C18/(SourceEnergy!$G18*T11+SourceEnergy!$H18*S11),SourceEnergy!$C18/(SourceEnergy!$G18*S11+SourceEnergy!$H18*T11)),""))</f>
        <v>0.54225433094570419</v>
      </c>
      <c r="W11" s="12">
        <f>W9+W10</f>
        <v>803668.59913510084</v>
      </c>
      <c r="X11" s="12" t="s">
        <v>81</v>
      </c>
    </row>
    <row r="12" spans="1:24" ht="15" customHeight="1" x14ac:dyDescent="0.2">
      <c r="A12" s="96">
        <v>43556</v>
      </c>
      <c r="B12" t="s">
        <v>107</v>
      </c>
      <c r="C12" t="s">
        <v>105</v>
      </c>
      <c r="D12" t="s">
        <v>9</v>
      </c>
      <c r="E12">
        <v>2192.3200000000002</v>
      </c>
      <c r="F12" s="10"/>
      <c r="G12" s="96"/>
      <c r="H12"/>
      <c r="I12"/>
      <c r="J12"/>
      <c r="K12"/>
      <c r="M12" s="90">
        <f t="shared" si="3"/>
        <v>43647</v>
      </c>
      <c r="N12" s="36">
        <f t="shared" si="1"/>
        <v>2192.3200000000002</v>
      </c>
      <c r="O12" s="37">
        <f t="shared" si="0"/>
        <v>1728.56</v>
      </c>
      <c r="P12" s="94">
        <f t="shared" si="2"/>
        <v>3920.88</v>
      </c>
      <c r="R12" s="38">
        <f>SourceEnergy!B19</f>
        <v>43647</v>
      </c>
      <c r="S12" s="39">
        <v>43.720750000000002</v>
      </c>
      <c r="T12" s="40">
        <v>23.49</v>
      </c>
      <c r="U12" s="41">
        <f>IF(AND(Shape_Annually="Yes",Shape_Start&lt;=W6),W13,IF(ISNUMBER(SourceEnergy!$C19),IF(SourceEnergy!$C19&lt;0,SourceEnergy!$C19/(SourceEnergy!$G19*T12+SourceEnergy!$H19*S12),SourceEnergy!$C19/(SourceEnergy!$G19*S12+SourceEnergy!$H19*T12)),""))</f>
        <v>0.6693402101896867</v>
      </c>
    </row>
    <row r="13" spans="1:24" ht="15" customHeight="1" x14ac:dyDescent="0.2">
      <c r="A13" s="96">
        <v>43556</v>
      </c>
      <c r="B13" t="s">
        <v>107</v>
      </c>
      <c r="C13" t="s">
        <v>105</v>
      </c>
      <c r="D13" t="s">
        <v>10</v>
      </c>
      <c r="E13">
        <v>1602.08</v>
      </c>
      <c r="F13" s="10"/>
      <c r="G13" s="96"/>
      <c r="H13"/>
      <c r="I13"/>
      <c r="J13"/>
      <c r="K13"/>
      <c r="M13" s="90">
        <f t="shared" si="3"/>
        <v>43678</v>
      </c>
      <c r="N13" s="36">
        <f t="shared" si="1"/>
        <v>2276.64</v>
      </c>
      <c r="O13" s="37">
        <f t="shared" si="0"/>
        <v>1644.24</v>
      </c>
      <c r="P13" s="94">
        <f t="shared" si="2"/>
        <v>3920.88</v>
      </c>
      <c r="R13" s="38">
        <f>SourceEnergy!B20</f>
        <v>43678</v>
      </c>
      <c r="S13" s="39">
        <v>44.639150000000001</v>
      </c>
      <c r="T13" s="40">
        <v>24.21</v>
      </c>
      <c r="U13" s="41">
        <f>IF(AND(Shape_Annually="Yes",Shape_Start&lt;=W6),W13,IF(ISNUMBER(SourceEnergy!$C20),IF(SourceEnergy!$C20&lt;0,SourceEnergy!$C20/(SourceEnergy!$G20*T13+SourceEnergy!$H20*S13),SourceEnergy!$C20/(SourceEnergy!$G20*S13+SourceEnergy!$H20*T13)),""))</f>
        <v>0.71206108567998638</v>
      </c>
      <c r="W13" s="42">
        <f>W11/W7</f>
        <v>0.67492118473453933</v>
      </c>
      <c r="X13" s="12" t="s">
        <v>82</v>
      </c>
    </row>
    <row r="14" spans="1:24" ht="15" customHeight="1" x14ac:dyDescent="0.2">
      <c r="A14" s="96">
        <v>43586</v>
      </c>
      <c r="B14" t="s">
        <v>107</v>
      </c>
      <c r="C14" t="s">
        <v>105</v>
      </c>
      <c r="D14" t="s">
        <v>9</v>
      </c>
      <c r="E14">
        <v>2192.3200000000002</v>
      </c>
      <c r="F14" s="10"/>
      <c r="G14" s="96"/>
      <c r="H14"/>
      <c r="I14"/>
      <c r="J14"/>
      <c r="K14"/>
      <c r="M14" s="90">
        <f t="shared" si="3"/>
        <v>43709</v>
      </c>
      <c r="N14" s="36">
        <f t="shared" si="1"/>
        <v>2023.68</v>
      </c>
      <c r="O14" s="37">
        <f t="shared" si="0"/>
        <v>1770.72</v>
      </c>
      <c r="P14" s="94">
        <f t="shared" si="2"/>
        <v>3794.4</v>
      </c>
      <c r="R14" s="38">
        <f>SourceEnergy!B21</f>
        <v>43709</v>
      </c>
      <c r="S14" s="39">
        <v>35.679450000000003</v>
      </c>
      <c r="T14" s="40">
        <v>21.83</v>
      </c>
      <c r="U14" s="41">
        <f>IF(AND(Shape_Annually="Yes",Shape_Start&lt;=W6),W13,IF(ISNUMBER(SourceEnergy!$C21),IF(SourceEnergy!$C21&lt;0,SourceEnergy!$C21/(SourceEnergy!$G21*T14+SourceEnergy!$H21*S14),SourceEnergy!$C21/(SourceEnergy!$G21*S14+SourceEnergy!$H21*T14)),""))</f>
        <v>0.68960442222100204</v>
      </c>
    </row>
    <row r="15" spans="1:24" ht="15" customHeight="1" x14ac:dyDescent="0.2">
      <c r="A15" s="96">
        <v>43586</v>
      </c>
      <c r="B15" t="s">
        <v>107</v>
      </c>
      <c r="C15" t="s">
        <v>105</v>
      </c>
      <c r="D15" t="s">
        <v>10</v>
      </c>
      <c r="E15">
        <v>1728.56</v>
      </c>
      <c r="F15" s="10"/>
      <c r="G15" s="96"/>
      <c r="H15"/>
      <c r="I15"/>
      <c r="J15"/>
      <c r="K15"/>
      <c r="M15" s="90">
        <f t="shared" si="3"/>
        <v>43739</v>
      </c>
      <c r="N15" s="36">
        <f t="shared" si="1"/>
        <v>2276.64</v>
      </c>
      <c r="O15" s="37">
        <f t="shared" si="0"/>
        <v>1644.24</v>
      </c>
      <c r="P15" s="94">
        <f t="shared" si="2"/>
        <v>3920.88</v>
      </c>
      <c r="R15" s="38">
        <f>SourceEnergy!B22</f>
        <v>43739</v>
      </c>
      <c r="S15" s="39">
        <v>23.534099999999999</v>
      </c>
      <c r="T15" s="40">
        <v>21.384049999999998</v>
      </c>
      <c r="U15" s="41">
        <f>IF(AND(Shape_Annually="Yes",Shape_Start&lt;=W6),W13,IF(ISNUMBER(SourceEnergy!$C22),IF(SourceEnergy!$C22&lt;0,SourceEnergy!$C22/(SourceEnergy!$G22*T15+SourceEnergy!$H22*S15),SourceEnergy!$C22/(SourceEnergy!$G22*S15+SourceEnergy!$H22*T15)),""))</f>
        <v>0.71438695142979969</v>
      </c>
    </row>
    <row r="16" spans="1:24" ht="15" customHeight="1" x14ac:dyDescent="0.2">
      <c r="A16" s="96">
        <v>43617</v>
      </c>
      <c r="B16" t="s">
        <v>107</v>
      </c>
      <c r="C16" t="s">
        <v>105</v>
      </c>
      <c r="D16" t="s">
        <v>9</v>
      </c>
      <c r="E16">
        <v>2108</v>
      </c>
      <c r="F16" s="10"/>
      <c r="G16" s="96"/>
      <c r="H16"/>
      <c r="I16"/>
      <c r="J16"/>
      <c r="K16"/>
      <c r="M16" s="90">
        <f t="shared" si="3"/>
        <v>43770</v>
      </c>
      <c r="N16" s="36">
        <f t="shared" si="1"/>
        <v>2108</v>
      </c>
      <c r="O16" s="37">
        <f t="shared" si="0"/>
        <v>1686.4</v>
      </c>
      <c r="P16" s="94">
        <f t="shared" si="2"/>
        <v>3794.4</v>
      </c>
      <c r="R16" s="38">
        <f>SourceEnergy!B23</f>
        <v>43770</v>
      </c>
      <c r="S16" s="39">
        <v>23.092449999999999</v>
      </c>
      <c r="T16" s="40">
        <v>21.192350000000001</v>
      </c>
      <c r="U16" s="41">
        <f>IF(AND(Shape_Annually="Yes",Shape_Start&lt;=W6),W13,IF(ISNUMBER(SourceEnergy!$C23),IF(SourceEnergy!$C23&lt;0,SourceEnergy!$C23/(SourceEnergy!$G23*T16+SourceEnergy!$H23*S16),SourceEnergy!$C23/(SourceEnergy!$G23*S16+SourceEnergy!$H23*T16)),""))</f>
        <v>0.69284238067520343</v>
      </c>
    </row>
    <row r="17" spans="1:24" ht="15" customHeight="1" x14ac:dyDescent="0.2">
      <c r="A17" s="96">
        <v>43617</v>
      </c>
      <c r="B17" t="s">
        <v>107</v>
      </c>
      <c r="C17" t="s">
        <v>105</v>
      </c>
      <c r="D17" t="s">
        <v>10</v>
      </c>
      <c r="E17">
        <v>1686.4</v>
      </c>
      <c r="F17" s="10"/>
      <c r="G17" s="96"/>
      <c r="H17"/>
      <c r="I17"/>
      <c r="J17"/>
      <c r="K17"/>
      <c r="M17" s="91">
        <f t="shared" si="3"/>
        <v>43800</v>
      </c>
      <c r="N17" s="43">
        <f t="shared" si="1"/>
        <v>2108</v>
      </c>
      <c r="O17" s="44">
        <f t="shared" si="0"/>
        <v>1812.88</v>
      </c>
      <c r="P17" s="95">
        <f t="shared" si="2"/>
        <v>3920.88</v>
      </c>
      <c r="R17" s="45">
        <f>SourceEnergy!B24</f>
        <v>43800</v>
      </c>
      <c r="S17" s="46">
        <v>25.7164</v>
      </c>
      <c r="T17" s="47">
        <v>22.16525</v>
      </c>
      <c r="U17" s="48">
        <f>IF(AND(Shape_Annually="Yes",Shape_Start&lt;=W6),W13,IF(ISNUMBER(SourceEnergy!$C24),IF(SourceEnergy!$C24&lt;0,SourceEnergy!$C24/(SourceEnergy!$G24*T17+SourceEnergy!$H24*S17),SourceEnergy!$C24/(SourceEnergy!$G24*S17+SourceEnergy!$H24*T17)),""))</f>
        <v>0.47944778517685216</v>
      </c>
    </row>
    <row r="18" spans="1:24" ht="15" customHeight="1" outlineLevel="1" x14ac:dyDescent="0.2">
      <c r="A18" s="96">
        <v>43647</v>
      </c>
      <c r="B18" t="s">
        <v>107</v>
      </c>
      <c r="C18" t="s">
        <v>105</v>
      </c>
      <c r="D18" t="s">
        <v>9</v>
      </c>
      <c r="E18">
        <v>2192.3200000000002</v>
      </c>
      <c r="F18" s="10"/>
      <c r="G18" s="96"/>
      <c r="H18"/>
      <c r="I18"/>
      <c r="J18"/>
      <c r="K18"/>
      <c r="M18" s="92">
        <f t="shared" si="3"/>
        <v>43831</v>
      </c>
      <c r="N18" s="28">
        <f t="shared" si="1"/>
        <v>0</v>
      </c>
      <c r="O18" s="29">
        <f t="shared" si="0"/>
        <v>0</v>
      </c>
      <c r="P18" s="93">
        <f t="shared" si="2"/>
        <v>0</v>
      </c>
      <c r="R18" s="30">
        <f>SourceEnergy!B25</f>
        <v>43831</v>
      </c>
      <c r="S18" s="31">
        <v>26.290749999999999</v>
      </c>
      <c r="T18" s="32">
        <v>25.792300000000001</v>
      </c>
      <c r="U18" s="33" t="e">
        <f>IF(AND(Shape_Annually="Yes",Shape_Start&lt;=W18),W25,IF(ISNUMBER(SourceEnergy!$C25),IF(SourceEnergy!$C25&lt;0,SourceEnergy!$C25/(SourceEnergy!$G25*T18+SourceEnergy!$H25*S18),SourceEnergy!$C25/(SourceEnergy!$G25*S18+SourceEnergy!$H25*T18)),""))</f>
        <v>#VALUE!</v>
      </c>
      <c r="W18" s="34">
        <f>YEAR(M18)</f>
        <v>2020</v>
      </c>
      <c r="X18" s="35"/>
    </row>
    <row r="19" spans="1:24" ht="15" customHeight="1" outlineLevel="1" x14ac:dyDescent="0.2">
      <c r="A19" s="96">
        <v>43647</v>
      </c>
      <c r="B19" t="s">
        <v>107</v>
      </c>
      <c r="C19" t="s">
        <v>105</v>
      </c>
      <c r="D19" t="s">
        <v>10</v>
      </c>
      <c r="E19">
        <v>1728.56</v>
      </c>
      <c r="F19" s="10"/>
      <c r="G19" s="96"/>
      <c r="H19"/>
      <c r="I19"/>
      <c r="J19"/>
      <c r="K19"/>
      <c r="M19" s="90">
        <f t="shared" si="3"/>
        <v>43862</v>
      </c>
      <c r="N19" s="36">
        <f t="shared" si="1"/>
        <v>0</v>
      </c>
      <c r="O19" s="37">
        <f t="shared" si="0"/>
        <v>0</v>
      </c>
      <c r="P19" s="94">
        <f t="shared" si="2"/>
        <v>0</v>
      </c>
      <c r="R19" s="38">
        <f>SourceEnergy!B26</f>
        <v>43862</v>
      </c>
      <c r="S19" s="39">
        <v>25.590399999999999</v>
      </c>
      <c r="T19" s="40">
        <v>24.366150000000001</v>
      </c>
      <c r="U19" s="41" t="e">
        <f>IF(AND(Shape_Annually="Yes",Shape_Start&lt;=W18),W25,IF(ISNUMBER(SourceEnergy!$C26),IF(SourceEnergy!$C26&lt;0,SourceEnergy!$C26/(SourceEnergy!$G26*T19+SourceEnergy!$H26*S19),SourceEnergy!$C26/(SourceEnergy!$G26*S19+SourceEnergy!$H26*T19)),""))</f>
        <v>#VALUE!</v>
      </c>
      <c r="W19" s="12">
        <f>SUMPRODUCT(N18:N29,S18:S29)+SUMPRODUCT(O18:O29,T18:T29)</f>
        <v>0</v>
      </c>
      <c r="X19" s="12" t="s">
        <v>78</v>
      </c>
    </row>
    <row r="20" spans="1:24" ht="15" customHeight="1" outlineLevel="1" x14ac:dyDescent="0.2">
      <c r="A20" s="96">
        <v>43678</v>
      </c>
      <c r="B20" t="s">
        <v>107</v>
      </c>
      <c r="C20" t="s">
        <v>105</v>
      </c>
      <c r="D20" t="s">
        <v>9</v>
      </c>
      <c r="E20">
        <v>2276.64</v>
      </c>
      <c r="F20" s="10"/>
      <c r="G20" s="96"/>
      <c r="H20"/>
      <c r="I20"/>
      <c r="J20"/>
      <c r="K20"/>
      <c r="M20" s="90">
        <f t="shared" si="3"/>
        <v>43891</v>
      </c>
      <c r="N20" s="36">
        <f t="shared" si="1"/>
        <v>0</v>
      </c>
      <c r="O20" s="37">
        <f t="shared" si="0"/>
        <v>0</v>
      </c>
      <c r="P20" s="94">
        <f t="shared" si="2"/>
        <v>0</v>
      </c>
      <c r="R20" s="38">
        <f>SourceEnergy!B27</f>
        <v>43891</v>
      </c>
      <c r="S20" s="39">
        <v>22.713550000000001</v>
      </c>
      <c r="T20" s="40">
        <v>22.139700000000001</v>
      </c>
      <c r="U20" s="41" t="e">
        <f>IF(AND(Shape_Annually="Yes",Shape_Start&lt;=W18),W25,IF(ISNUMBER(SourceEnergy!$C27),IF(SourceEnergy!$C27&lt;0,SourceEnergy!$C27/(SourceEnergy!$G27*T20+SourceEnergy!$H27*S20),SourceEnergy!$C27/(SourceEnergy!$G27*S20+SourceEnergy!$H27*T20)),""))</f>
        <v>#VALUE!</v>
      </c>
    </row>
    <row r="21" spans="1:24" ht="15" customHeight="1" outlineLevel="1" x14ac:dyDescent="0.2">
      <c r="A21" s="96">
        <v>43678</v>
      </c>
      <c r="B21" t="s">
        <v>107</v>
      </c>
      <c r="C21" t="s">
        <v>105</v>
      </c>
      <c r="D21" t="s">
        <v>10</v>
      </c>
      <c r="E21">
        <v>1644.24</v>
      </c>
      <c r="F21" s="10"/>
      <c r="G21" s="96"/>
      <c r="H21"/>
      <c r="I21"/>
      <c r="J21"/>
      <c r="K21"/>
      <c r="M21" s="90">
        <f t="shared" si="3"/>
        <v>43922</v>
      </c>
      <c r="N21" s="36">
        <f t="shared" si="1"/>
        <v>0</v>
      </c>
      <c r="O21" s="37">
        <f t="shared" si="0"/>
        <v>0</v>
      </c>
      <c r="P21" s="94">
        <f t="shared" si="2"/>
        <v>0</v>
      </c>
      <c r="R21" s="38">
        <f>SourceEnergy!B28</f>
        <v>43922</v>
      </c>
      <c r="S21" s="39">
        <v>22.2422</v>
      </c>
      <c r="T21" s="40">
        <v>19.4178</v>
      </c>
      <c r="U21" s="41" t="e">
        <f>IF(AND(Shape_Annually="Yes",Shape_Start&lt;=W18),W25,IF(ISNUMBER(SourceEnergy!$C28),IF(SourceEnergy!$C28&lt;0,SourceEnergy!$C28/(SourceEnergy!$G28*T21+SourceEnergy!$H28*S21),SourceEnergy!$C28/(SourceEnergy!$G28*S21+SourceEnergy!$H28*T21)),""))</f>
        <v>#VALUE!</v>
      </c>
      <c r="W21" s="12">
        <f>VLOOKUP(W18,'[1]Table 5'!$L$16:$N$36,2,FALSE)</f>
        <v>0</v>
      </c>
      <c r="X21" s="12" t="s">
        <v>79</v>
      </c>
    </row>
    <row r="22" spans="1:24" ht="15" customHeight="1" outlineLevel="1" x14ac:dyDescent="0.2">
      <c r="A22" s="96">
        <v>43709</v>
      </c>
      <c r="B22" t="s">
        <v>107</v>
      </c>
      <c r="C22" t="s">
        <v>105</v>
      </c>
      <c r="D22" t="s">
        <v>9</v>
      </c>
      <c r="E22">
        <v>2023.68</v>
      </c>
      <c r="F22" s="10"/>
      <c r="G22" s="96"/>
      <c r="H22"/>
      <c r="I22"/>
      <c r="J22"/>
      <c r="K22"/>
      <c r="M22" s="90">
        <f t="shared" si="3"/>
        <v>43952</v>
      </c>
      <c r="N22" s="36">
        <f t="shared" si="1"/>
        <v>0</v>
      </c>
      <c r="O22" s="37">
        <f t="shared" si="0"/>
        <v>0</v>
      </c>
      <c r="P22" s="94">
        <f t="shared" si="2"/>
        <v>0</v>
      </c>
      <c r="R22" s="38">
        <f>SourceEnergy!B29</f>
        <v>43952</v>
      </c>
      <c r="S22" s="39">
        <v>23.34995</v>
      </c>
      <c r="T22" s="40">
        <v>20.549949999999999</v>
      </c>
      <c r="U22" s="41" t="e">
        <f>IF(AND(Shape_Annually="Yes",Shape_Start&lt;=W18),W25,IF(ISNUMBER(SourceEnergy!$C29),IF(SourceEnergy!$C29&lt;0,SourceEnergy!$C29/(SourceEnergy!$G29*T22+SourceEnergy!$H29*S22),SourceEnergy!$C29/(SourceEnergy!$G29*S22+SourceEnergy!$H29*T22)),""))</f>
        <v>#VALUE!</v>
      </c>
      <c r="W22" s="12">
        <f>VLOOKUP(W18,'[1]Table 5'!$L$16:$N$36,3,FALSE)</f>
        <v>0</v>
      </c>
      <c r="X22" s="12" t="s">
        <v>80</v>
      </c>
    </row>
    <row r="23" spans="1:24" ht="15" customHeight="1" outlineLevel="1" x14ac:dyDescent="0.2">
      <c r="A23" s="96">
        <v>43709</v>
      </c>
      <c r="B23" t="s">
        <v>107</v>
      </c>
      <c r="C23" t="s">
        <v>105</v>
      </c>
      <c r="D23" t="s">
        <v>10</v>
      </c>
      <c r="E23">
        <v>1770.72</v>
      </c>
      <c r="F23" s="10"/>
      <c r="G23" s="96"/>
      <c r="H23"/>
      <c r="I23"/>
      <c r="J23"/>
      <c r="K23"/>
      <c r="M23" s="90">
        <f t="shared" si="3"/>
        <v>43983</v>
      </c>
      <c r="N23" s="36">
        <f t="shared" si="1"/>
        <v>0</v>
      </c>
      <c r="O23" s="37">
        <f t="shared" si="0"/>
        <v>0</v>
      </c>
      <c r="P23" s="94">
        <f t="shared" si="2"/>
        <v>0</v>
      </c>
      <c r="R23" s="38">
        <f>SourceEnergy!B30</f>
        <v>43983</v>
      </c>
      <c r="S23" s="39">
        <v>35.074950000000001</v>
      </c>
      <c r="T23" s="40">
        <v>22.124949999999998</v>
      </c>
      <c r="U23" s="41" t="e">
        <f>IF(AND(Shape_Annually="Yes",Shape_Start&lt;=W18),W25,IF(ISNUMBER(SourceEnergy!$C30),IF(SourceEnergy!$C30&lt;0,SourceEnergy!$C30/(SourceEnergy!$G30*T23+SourceEnergy!$H30*S23),SourceEnergy!$C30/(SourceEnergy!$G30*S23+SourceEnergy!$H30*T23)),""))</f>
        <v>#VALUE!</v>
      </c>
      <c r="W23" s="12">
        <f>W21+W22</f>
        <v>0</v>
      </c>
      <c r="X23" s="12" t="s">
        <v>81</v>
      </c>
    </row>
    <row r="24" spans="1:24" ht="15" customHeight="1" outlineLevel="1" x14ac:dyDescent="0.2">
      <c r="A24" s="96">
        <v>43739</v>
      </c>
      <c r="B24" t="s">
        <v>107</v>
      </c>
      <c r="C24" t="s">
        <v>105</v>
      </c>
      <c r="D24" t="s">
        <v>9</v>
      </c>
      <c r="E24">
        <v>2276.64</v>
      </c>
      <c r="F24" s="10"/>
      <c r="G24" s="96"/>
      <c r="H24"/>
      <c r="I24"/>
      <c r="J24"/>
      <c r="K24"/>
      <c r="M24" s="90">
        <f t="shared" si="3"/>
        <v>44013</v>
      </c>
      <c r="N24" s="36">
        <f t="shared" si="1"/>
        <v>0</v>
      </c>
      <c r="O24" s="37">
        <f t="shared" si="0"/>
        <v>0</v>
      </c>
      <c r="P24" s="94">
        <f t="shared" si="2"/>
        <v>0</v>
      </c>
      <c r="R24" s="38">
        <f>SourceEnergy!B31</f>
        <v>44013</v>
      </c>
      <c r="S24" s="39">
        <v>44.875</v>
      </c>
      <c r="T24" s="40">
        <v>25.074999999999999</v>
      </c>
      <c r="U24" s="41" t="e">
        <f>IF(AND(Shape_Annually="Yes",Shape_Start&lt;=W18),W25,IF(ISNUMBER(SourceEnergy!$C31),IF(SourceEnergy!$C31&lt;0,SourceEnergy!$C31/(SourceEnergy!$G31*T24+SourceEnergy!$H31*S24),SourceEnergy!$C31/(SourceEnergy!$G31*S24+SourceEnergy!$H31*T24)),""))</f>
        <v>#VALUE!</v>
      </c>
    </row>
    <row r="25" spans="1:24" ht="15" customHeight="1" outlineLevel="1" x14ac:dyDescent="0.2">
      <c r="A25" s="96">
        <v>43739</v>
      </c>
      <c r="B25" t="s">
        <v>107</v>
      </c>
      <c r="C25" t="s">
        <v>105</v>
      </c>
      <c r="D25" t="s">
        <v>10</v>
      </c>
      <c r="E25">
        <v>1644.24</v>
      </c>
      <c r="F25" s="10"/>
      <c r="G25" s="96"/>
      <c r="H25"/>
      <c r="I25"/>
      <c r="J25"/>
      <c r="K25"/>
      <c r="M25" s="90">
        <f t="shared" si="3"/>
        <v>44044</v>
      </c>
      <c r="N25" s="36">
        <f t="shared" si="1"/>
        <v>0</v>
      </c>
      <c r="O25" s="37">
        <f t="shared" si="0"/>
        <v>0</v>
      </c>
      <c r="P25" s="94">
        <f t="shared" si="2"/>
        <v>0</v>
      </c>
      <c r="R25" s="38">
        <f>SourceEnergy!B32</f>
        <v>44044</v>
      </c>
      <c r="S25" s="39">
        <v>41.7</v>
      </c>
      <c r="T25" s="40">
        <v>25.725000000000001</v>
      </c>
      <c r="U25" s="41" t="e">
        <f>IF(AND(Shape_Annually="Yes",Shape_Start&lt;=W18),W25,IF(ISNUMBER(SourceEnergy!$C32),IF(SourceEnergy!$C32&lt;0,SourceEnergy!$C32/(SourceEnergy!$G32*T25+SourceEnergy!$H32*S25),SourceEnergy!$C32/(SourceEnergy!$G32*S25+SourceEnergy!$H32*T25)),""))</f>
        <v>#VALUE!</v>
      </c>
      <c r="W25" s="42" t="e">
        <f>W23/W19</f>
        <v>#DIV/0!</v>
      </c>
      <c r="X25" s="12" t="s">
        <v>82</v>
      </c>
    </row>
    <row r="26" spans="1:24" ht="15" customHeight="1" outlineLevel="1" x14ac:dyDescent="0.2">
      <c r="A26" s="96">
        <v>43770</v>
      </c>
      <c r="B26" t="s">
        <v>107</v>
      </c>
      <c r="C26" t="s">
        <v>105</v>
      </c>
      <c r="D26" t="s">
        <v>9</v>
      </c>
      <c r="E26">
        <v>2108</v>
      </c>
      <c r="F26" s="10"/>
      <c r="G26" s="96"/>
      <c r="H26"/>
      <c r="I26"/>
      <c r="J26"/>
      <c r="K26"/>
      <c r="M26" s="90">
        <f t="shared" si="3"/>
        <v>44075</v>
      </c>
      <c r="N26" s="36">
        <f t="shared" si="1"/>
        <v>0</v>
      </c>
      <c r="O26" s="37">
        <f t="shared" si="0"/>
        <v>0</v>
      </c>
      <c r="P26" s="94">
        <f t="shared" si="2"/>
        <v>0</v>
      </c>
      <c r="R26" s="38">
        <f>SourceEnergy!B33</f>
        <v>44075</v>
      </c>
      <c r="S26" s="39">
        <v>34.199950000000001</v>
      </c>
      <c r="T26" s="40">
        <v>23.84995</v>
      </c>
      <c r="U26" s="41" t="e">
        <f>IF(AND(Shape_Annually="Yes",Shape_Start&lt;=W18),W25,IF(ISNUMBER(SourceEnergy!$C33),IF(SourceEnergy!$C33&lt;0,SourceEnergy!$C33/(SourceEnergy!$G33*T26+SourceEnergy!$H33*S26),SourceEnergy!$C33/(SourceEnergy!$G33*S26+SourceEnergy!$H33*T26)),""))</f>
        <v>#VALUE!</v>
      </c>
    </row>
    <row r="27" spans="1:24" ht="15" customHeight="1" outlineLevel="1" x14ac:dyDescent="0.2">
      <c r="A27" s="96">
        <v>43770</v>
      </c>
      <c r="B27" t="s">
        <v>107</v>
      </c>
      <c r="C27" t="s">
        <v>105</v>
      </c>
      <c r="D27" t="s">
        <v>10</v>
      </c>
      <c r="E27">
        <v>1686.4</v>
      </c>
      <c r="F27" s="10"/>
      <c r="G27" s="96"/>
      <c r="H27"/>
      <c r="I27"/>
      <c r="J27"/>
      <c r="K27"/>
      <c r="M27" s="90">
        <f t="shared" si="3"/>
        <v>44105</v>
      </c>
      <c r="N27" s="36">
        <f t="shared" si="1"/>
        <v>0</v>
      </c>
      <c r="O27" s="37">
        <f t="shared" si="0"/>
        <v>0</v>
      </c>
      <c r="P27" s="94">
        <f t="shared" si="2"/>
        <v>0</v>
      </c>
      <c r="R27" s="38">
        <f>SourceEnergy!B34</f>
        <v>44105</v>
      </c>
      <c r="S27" s="39">
        <v>26.424949999999999</v>
      </c>
      <c r="T27" s="40">
        <v>24.09995</v>
      </c>
      <c r="U27" s="41" t="e">
        <f>IF(AND(Shape_Annually="Yes",Shape_Start&lt;=W18),W25,IF(ISNUMBER(SourceEnergy!$C34),IF(SourceEnergy!$C34&lt;0,SourceEnergy!$C34/(SourceEnergy!$G34*T27+SourceEnergy!$H34*S27),SourceEnergy!$C34/(SourceEnergy!$G34*S27+SourceEnergy!$H34*T27)),""))</f>
        <v>#VALUE!</v>
      </c>
    </row>
    <row r="28" spans="1:24" ht="15" customHeight="1" outlineLevel="1" x14ac:dyDescent="0.2">
      <c r="A28" s="96">
        <v>43800</v>
      </c>
      <c r="B28" t="s">
        <v>107</v>
      </c>
      <c r="C28" t="s">
        <v>105</v>
      </c>
      <c r="D28" t="s">
        <v>9</v>
      </c>
      <c r="E28">
        <v>2108</v>
      </c>
      <c r="F28" s="10"/>
      <c r="G28" s="96"/>
      <c r="H28"/>
      <c r="I28"/>
      <c r="J28"/>
      <c r="K28"/>
      <c r="M28" s="90">
        <f t="shared" si="3"/>
        <v>44136</v>
      </c>
      <c r="N28" s="36">
        <f t="shared" si="1"/>
        <v>0</v>
      </c>
      <c r="O28" s="37">
        <f t="shared" si="0"/>
        <v>0</v>
      </c>
      <c r="P28" s="94">
        <f t="shared" si="2"/>
        <v>0</v>
      </c>
      <c r="R28" s="38">
        <f>SourceEnergy!B35</f>
        <v>44136</v>
      </c>
      <c r="S28" s="39">
        <v>26.225000000000001</v>
      </c>
      <c r="T28" s="40">
        <v>23.65</v>
      </c>
      <c r="U28" s="41" t="e">
        <f>IF(AND(Shape_Annually="Yes",Shape_Start&lt;=W18),W25,IF(ISNUMBER(SourceEnergy!$C35),IF(SourceEnergy!$C35&lt;0,SourceEnergy!$C35/(SourceEnergy!$G35*T28+SourceEnergy!$H35*S28),SourceEnergy!$C35/(SourceEnergy!$G35*S28+SourceEnergy!$H35*T28)),""))</f>
        <v>#VALUE!</v>
      </c>
    </row>
    <row r="29" spans="1:24" ht="15" customHeight="1" outlineLevel="1" x14ac:dyDescent="0.2">
      <c r="A29" s="96">
        <v>43800</v>
      </c>
      <c r="B29" t="s">
        <v>107</v>
      </c>
      <c r="C29" t="s">
        <v>105</v>
      </c>
      <c r="D29" t="s">
        <v>10</v>
      </c>
      <c r="E29">
        <v>1812.88</v>
      </c>
      <c r="F29" s="10"/>
      <c r="G29" s="96"/>
      <c r="H29"/>
      <c r="I29"/>
      <c r="J29"/>
      <c r="K29"/>
      <c r="M29" s="91">
        <f t="shared" si="3"/>
        <v>44166</v>
      </c>
      <c r="N29" s="43">
        <f t="shared" si="1"/>
        <v>0</v>
      </c>
      <c r="O29" s="44">
        <f t="shared" si="0"/>
        <v>0</v>
      </c>
      <c r="P29" s="95">
        <f t="shared" si="2"/>
        <v>0</v>
      </c>
      <c r="R29" s="45">
        <f>SourceEnergy!B36</f>
        <v>44166</v>
      </c>
      <c r="S29" s="46">
        <v>29.425000000000001</v>
      </c>
      <c r="T29" s="47">
        <v>26.3</v>
      </c>
      <c r="U29" s="48" t="e">
        <f>IF(AND(Shape_Annually="Yes",Shape_Start&lt;=W18),W25,IF(ISNUMBER(SourceEnergy!$C36),IF(SourceEnergy!$C36&lt;0,SourceEnergy!$C36/(SourceEnergy!$G36*T29+SourceEnergy!$H36*S29),SourceEnergy!$C36/(SourceEnergy!$G36*S29+SourceEnergy!$H36*T29)),""))</f>
        <v>#VALUE!</v>
      </c>
    </row>
    <row r="30" spans="1:24" ht="15" customHeight="1" outlineLevel="1" x14ac:dyDescent="0.2">
      <c r="A30" s="96"/>
      <c r="B30"/>
      <c r="C30"/>
      <c r="D30"/>
      <c r="E30"/>
      <c r="F30" s="10"/>
      <c r="G30" s="96"/>
      <c r="H30"/>
      <c r="I30"/>
      <c r="J30"/>
      <c r="K30"/>
      <c r="M30" s="92">
        <f t="shared" si="3"/>
        <v>44197</v>
      </c>
      <c r="N30" s="28">
        <f t="shared" si="1"/>
        <v>0</v>
      </c>
      <c r="O30" s="29">
        <f t="shared" si="0"/>
        <v>0</v>
      </c>
      <c r="P30" s="93">
        <f t="shared" si="2"/>
        <v>0</v>
      </c>
      <c r="R30" s="30">
        <f>SourceEnergy!B37</f>
        <v>44197</v>
      </c>
      <c r="S30" s="31">
        <v>33.325000000000003</v>
      </c>
      <c r="T30" s="32">
        <v>28.975000000000001</v>
      </c>
      <c r="U30" s="33" t="e">
        <f>IF(AND(Shape_Annually="Yes",Shape_Start&lt;=W30),W37,IF(ISNUMBER(SourceEnergy!$C37),IF(SourceEnergy!$C37&lt;0,SourceEnergy!$C37/(SourceEnergy!$G37*T30+SourceEnergy!$H37*S30),SourceEnergy!$C37/(SourceEnergy!$G37*S30+SourceEnergy!$H37*T30)),""))</f>
        <v>#VALUE!</v>
      </c>
      <c r="W30" s="34">
        <f>YEAR(M30)</f>
        <v>2021</v>
      </c>
      <c r="X30" s="35"/>
    </row>
    <row r="31" spans="1:24" ht="15" customHeight="1" outlineLevel="1" x14ac:dyDescent="0.2">
      <c r="A31" s="96"/>
      <c r="B31"/>
      <c r="C31"/>
      <c r="D31"/>
      <c r="E31"/>
      <c r="F31" s="10"/>
      <c r="G31" s="96"/>
      <c r="H31"/>
      <c r="I31"/>
      <c r="J31"/>
      <c r="K31"/>
      <c r="M31" s="90">
        <f t="shared" si="3"/>
        <v>44228</v>
      </c>
      <c r="N31" s="36">
        <f t="shared" si="1"/>
        <v>0</v>
      </c>
      <c r="O31" s="37">
        <f t="shared" si="0"/>
        <v>0</v>
      </c>
      <c r="P31" s="94">
        <f t="shared" si="2"/>
        <v>0</v>
      </c>
      <c r="R31" s="38">
        <f>SourceEnergy!B38</f>
        <v>44228</v>
      </c>
      <c r="S31" s="39">
        <v>32.725000000000001</v>
      </c>
      <c r="T31" s="40">
        <v>27.45</v>
      </c>
      <c r="U31" s="41" t="e">
        <f>IF(AND(Shape_Annually="Yes",Shape_Start&lt;=W30),W37,IF(ISNUMBER(SourceEnergy!$C38),IF(SourceEnergy!$C38&lt;0,SourceEnergy!$C38/(SourceEnergy!$G38*T31+SourceEnergy!$H38*S31),SourceEnergy!$C38/(SourceEnergy!$G38*S31+SourceEnergy!$H38*T31)),""))</f>
        <v>#VALUE!</v>
      </c>
      <c r="W31" s="12">
        <f>SUMPRODUCT(N30:N41,S30:S41)+SUMPRODUCT(O30:O41,T30:T41)</f>
        <v>0</v>
      </c>
      <c r="X31" s="12" t="s">
        <v>78</v>
      </c>
    </row>
    <row r="32" spans="1:24" ht="15" customHeight="1" outlineLevel="1" x14ac:dyDescent="0.2">
      <c r="A32" s="96"/>
      <c r="B32"/>
      <c r="C32"/>
      <c r="D32"/>
      <c r="E32"/>
      <c r="F32" s="10"/>
      <c r="G32" s="96"/>
      <c r="H32"/>
      <c r="I32"/>
      <c r="J32"/>
      <c r="K32"/>
      <c r="M32" s="90">
        <f t="shared" si="3"/>
        <v>44256</v>
      </c>
      <c r="N32" s="36">
        <f t="shared" si="1"/>
        <v>0</v>
      </c>
      <c r="O32" s="37">
        <f t="shared" si="0"/>
        <v>0</v>
      </c>
      <c r="P32" s="94">
        <f t="shared" si="2"/>
        <v>0</v>
      </c>
      <c r="R32" s="38">
        <f>SourceEnergy!B39</f>
        <v>44256</v>
      </c>
      <c r="S32" s="39">
        <v>28.9846</v>
      </c>
      <c r="T32" s="40">
        <v>25.734000000000002</v>
      </c>
      <c r="U32" s="41" t="e">
        <f>IF(AND(Shape_Annually="Yes",Shape_Start&lt;=W30),W37,IF(ISNUMBER(SourceEnergy!$C39),IF(SourceEnergy!$C39&lt;0,SourceEnergy!$C39/(SourceEnergy!$G39*T32+SourceEnergy!$H39*S32),SourceEnergy!$C39/(SourceEnergy!$G39*S32+SourceEnergy!$H39*T32)),""))</f>
        <v>#VALUE!</v>
      </c>
    </row>
    <row r="33" spans="1:24" ht="15" customHeight="1" outlineLevel="1" x14ac:dyDescent="0.2">
      <c r="A33" s="96"/>
      <c r="B33"/>
      <c r="C33"/>
      <c r="D33"/>
      <c r="E33"/>
      <c r="F33" s="10"/>
      <c r="G33" s="96"/>
      <c r="H33"/>
      <c r="I33"/>
      <c r="J33"/>
      <c r="K33"/>
      <c r="M33" s="90">
        <f t="shared" si="3"/>
        <v>44287</v>
      </c>
      <c r="N33" s="36">
        <f t="shared" si="1"/>
        <v>0</v>
      </c>
      <c r="O33" s="37">
        <f t="shared" si="0"/>
        <v>0</v>
      </c>
      <c r="P33" s="94">
        <f t="shared" si="2"/>
        <v>0</v>
      </c>
      <c r="R33" s="38">
        <f>SourceEnergy!B40</f>
        <v>44287</v>
      </c>
      <c r="S33" s="39">
        <v>26.809799999999999</v>
      </c>
      <c r="T33" s="40">
        <v>21.8081</v>
      </c>
      <c r="U33" s="41" t="e">
        <f>IF(AND(Shape_Annually="Yes",Shape_Start&lt;=W30),W37,IF(ISNUMBER(SourceEnergy!$C40),IF(SourceEnergy!$C40&lt;0,SourceEnergy!$C40/(SourceEnergy!$G40*T33+SourceEnergy!$H40*S33),SourceEnergy!$C40/(SourceEnergy!$G40*S33+SourceEnergy!$H40*T33)),""))</f>
        <v>#VALUE!</v>
      </c>
      <c r="W33" s="12">
        <f>VLOOKUP(W30,'[1]Table 5'!$L$16:$N$36,2,FALSE)</f>
        <v>0</v>
      </c>
      <c r="X33" s="12" t="s">
        <v>79</v>
      </c>
    </row>
    <row r="34" spans="1:24" ht="15" customHeight="1" outlineLevel="1" x14ac:dyDescent="0.2">
      <c r="A34" s="96"/>
      <c r="B34"/>
      <c r="C34"/>
      <c r="D34"/>
      <c r="E34"/>
      <c r="F34" s="10"/>
      <c r="G34" s="96"/>
      <c r="H34"/>
      <c r="I34"/>
      <c r="J34"/>
      <c r="K34"/>
      <c r="M34" s="90">
        <f t="shared" si="3"/>
        <v>44317</v>
      </c>
      <c r="N34" s="36">
        <f t="shared" si="1"/>
        <v>0</v>
      </c>
      <c r="O34" s="37">
        <f t="shared" si="0"/>
        <v>0</v>
      </c>
      <c r="P34" s="94">
        <f t="shared" si="2"/>
        <v>0</v>
      </c>
      <c r="R34" s="38">
        <f>SourceEnergy!B41</f>
        <v>44317</v>
      </c>
      <c r="S34" s="39">
        <v>28.210750000000001</v>
      </c>
      <c r="T34" s="40">
        <v>23.209</v>
      </c>
      <c r="U34" s="41" t="e">
        <f>IF(AND(Shape_Annually="Yes",Shape_Start&lt;=W30),W37,IF(ISNUMBER(SourceEnergy!$C41),IF(SourceEnergy!$C41&lt;0,SourceEnergy!$C41/(SourceEnergy!$G41*T34+SourceEnergy!$H41*S34),SourceEnergy!$C41/(SourceEnergy!$G41*S34+SourceEnergy!$H41*T34)),""))</f>
        <v>#VALUE!</v>
      </c>
      <c r="W34" s="12">
        <f>VLOOKUP(W30,'[1]Table 5'!$L$16:$N$36,3,FALSE)</f>
        <v>0</v>
      </c>
      <c r="X34" s="12" t="s">
        <v>80</v>
      </c>
    </row>
    <row r="35" spans="1:24" ht="15" customHeight="1" outlineLevel="1" x14ac:dyDescent="0.2">
      <c r="A35" s="96"/>
      <c r="B35"/>
      <c r="C35"/>
      <c r="D35"/>
      <c r="E35"/>
      <c r="F35" s="10"/>
      <c r="G35" s="96"/>
      <c r="H35"/>
      <c r="I35"/>
      <c r="J35"/>
      <c r="K35"/>
      <c r="M35" s="90">
        <f t="shared" si="3"/>
        <v>44348</v>
      </c>
      <c r="N35" s="36">
        <f t="shared" si="1"/>
        <v>0</v>
      </c>
      <c r="O35" s="37">
        <f t="shared" si="0"/>
        <v>0</v>
      </c>
      <c r="P35" s="94">
        <f t="shared" si="2"/>
        <v>0</v>
      </c>
      <c r="R35" s="38">
        <f>SourceEnergy!B42</f>
        <v>44348</v>
      </c>
      <c r="S35" s="39">
        <v>32.801499999999997</v>
      </c>
      <c r="T35" s="40">
        <v>24.74455</v>
      </c>
      <c r="U35" s="41" t="e">
        <f>IF(AND(Shape_Annually="Yes",Shape_Start&lt;=W30),W37,IF(ISNUMBER(SourceEnergy!$C42),IF(SourceEnergy!$C42&lt;0,SourceEnergy!$C42/(SourceEnergy!$G42*T35+SourceEnergy!$H42*S35),SourceEnergy!$C42/(SourceEnergy!$G42*S35+SourceEnergy!$H42*T35)),""))</f>
        <v>#VALUE!</v>
      </c>
      <c r="W35" s="12">
        <f>W33+W34</f>
        <v>0</v>
      </c>
      <c r="X35" s="12" t="s">
        <v>81</v>
      </c>
    </row>
    <row r="36" spans="1:24" ht="15" customHeight="1" outlineLevel="1" x14ac:dyDescent="0.2">
      <c r="A36" s="96"/>
      <c r="B36"/>
      <c r="C36"/>
      <c r="D36"/>
      <c r="E36"/>
      <c r="F36" s="10"/>
      <c r="G36" s="96"/>
      <c r="H36"/>
      <c r="I36"/>
      <c r="J36"/>
      <c r="K36"/>
      <c r="M36" s="90">
        <f t="shared" si="3"/>
        <v>44378</v>
      </c>
      <c r="N36" s="36">
        <f t="shared" si="1"/>
        <v>0</v>
      </c>
      <c r="O36" s="37">
        <f t="shared" si="0"/>
        <v>0</v>
      </c>
      <c r="P36" s="94">
        <f t="shared" si="2"/>
        <v>0</v>
      </c>
      <c r="R36" s="38">
        <f>SourceEnergy!B43</f>
        <v>44378</v>
      </c>
      <c r="S36" s="39">
        <v>42.438699999999997</v>
      </c>
      <c r="T36" s="40">
        <v>28.74905</v>
      </c>
      <c r="U36" s="41" t="e">
        <f>IF(AND(Shape_Annually="Yes",Shape_Start&lt;=W30),W37,IF(ISNUMBER(SourceEnergy!$C43),IF(SourceEnergy!$C43&lt;0,SourceEnergy!$C43/(SourceEnergy!$G43*T36+SourceEnergy!$H43*S36),SourceEnergy!$C43/(SourceEnergy!$G43*S36+SourceEnergy!$H43*T36)),""))</f>
        <v>#VALUE!</v>
      </c>
    </row>
    <row r="37" spans="1:24" ht="15" customHeight="1" outlineLevel="1" x14ac:dyDescent="0.2">
      <c r="A37" s="96"/>
      <c r="B37"/>
      <c r="C37"/>
      <c r="D37"/>
      <c r="E37"/>
      <c r="F37" s="10"/>
      <c r="G37" s="96"/>
      <c r="H37"/>
      <c r="I37"/>
      <c r="J37"/>
      <c r="K37"/>
      <c r="M37" s="90">
        <f t="shared" si="3"/>
        <v>44409</v>
      </c>
      <c r="N37" s="36">
        <f t="shared" si="1"/>
        <v>0</v>
      </c>
      <c r="O37" s="37">
        <f t="shared" si="0"/>
        <v>0</v>
      </c>
      <c r="P37" s="94">
        <f t="shared" si="2"/>
        <v>0</v>
      </c>
      <c r="R37" s="38">
        <f>SourceEnergy!B44</f>
        <v>44409</v>
      </c>
      <c r="S37" s="39">
        <v>41.3369</v>
      </c>
      <c r="T37" s="40">
        <v>29.700099999999999</v>
      </c>
      <c r="U37" s="41" t="e">
        <f>IF(AND(Shape_Annually="Yes",Shape_Start&lt;=W30),W37,IF(ISNUMBER(SourceEnergy!$C44),IF(SourceEnergy!$C44&lt;0,SourceEnergy!$C44/(SourceEnergy!$G44*T37+SourceEnergy!$H44*S37),SourceEnergy!$C44/(SourceEnergy!$G44*S37+SourceEnergy!$H44*T37)),""))</f>
        <v>#VALUE!</v>
      </c>
      <c r="W37" s="42" t="e">
        <f>W35/W31</f>
        <v>#DIV/0!</v>
      </c>
      <c r="X37" s="12" t="s">
        <v>82</v>
      </c>
    </row>
    <row r="38" spans="1:24" ht="15" customHeight="1" outlineLevel="1" x14ac:dyDescent="0.2">
      <c r="A38" s="96"/>
      <c r="B38"/>
      <c r="C38"/>
      <c r="D38"/>
      <c r="E38"/>
      <c r="F38" s="10"/>
      <c r="G38" s="96"/>
      <c r="H38"/>
      <c r="I38"/>
      <c r="J38"/>
      <c r="K38"/>
      <c r="M38" s="90">
        <f t="shared" si="3"/>
        <v>44440</v>
      </c>
      <c r="N38" s="36">
        <f t="shared" si="1"/>
        <v>0</v>
      </c>
      <c r="O38" s="37">
        <f t="shared" si="0"/>
        <v>0</v>
      </c>
      <c r="P38" s="94">
        <f t="shared" si="2"/>
        <v>0</v>
      </c>
      <c r="R38" s="38">
        <f>SourceEnergy!B45</f>
        <v>44440</v>
      </c>
      <c r="S38" s="39">
        <v>33.965949999999999</v>
      </c>
      <c r="T38" s="40">
        <v>27.483499999999999</v>
      </c>
      <c r="U38" s="41" t="e">
        <f>IF(AND(Shape_Annually="Yes",Shape_Start&lt;=W30),W37,IF(ISNUMBER(SourceEnergy!$C45),IF(SourceEnergy!$C45&lt;0,SourceEnergy!$C45/(SourceEnergy!$G45*T38+SourceEnergy!$H45*S38),SourceEnergy!$C45/(SourceEnergy!$G45*S38+SourceEnergy!$H45*T38)),""))</f>
        <v>#VALUE!</v>
      </c>
    </row>
    <row r="39" spans="1:24" ht="15" customHeight="1" outlineLevel="1" x14ac:dyDescent="0.2">
      <c r="A39" s="96"/>
      <c r="B39"/>
      <c r="C39"/>
      <c r="D39"/>
      <c r="E39"/>
      <c r="F39" s="10"/>
      <c r="G39" s="96"/>
      <c r="H39"/>
      <c r="I39"/>
      <c r="J39"/>
      <c r="K39"/>
      <c r="M39" s="90">
        <f t="shared" si="3"/>
        <v>44470</v>
      </c>
      <c r="N39" s="36">
        <f t="shared" si="1"/>
        <v>0</v>
      </c>
      <c r="O39" s="37">
        <f t="shared" si="0"/>
        <v>0</v>
      </c>
      <c r="P39" s="94">
        <f t="shared" si="2"/>
        <v>0</v>
      </c>
      <c r="R39" s="38">
        <f>SourceEnergy!B46</f>
        <v>44470</v>
      </c>
      <c r="S39" s="39">
        <v>32.224699999999999</v>
      </c>
      <c r="T39" s="40">
        <v>27.895</v>
      </c>
      <c r="U39" s="41" t="e">
        <f>IF(AND(Shape_Annually="Yes",Shape_Start&lt;=W30),W37,IF(ISNUMBER(SourceEnergy!$C46),IF(SourceEnergy!$C46&lt;0,SourceEnergy!$C46/(SourceEnergy!$G46*T39+SourceEnergy!$H46*S39),SourceEnergy!$C46/(SourceEnergy!$G46*S39+SourceEnergy!$H46*T39)),""))</f>
        <v>#VALUE!</v>
      </c>
    </row>
    <row r="40" spans="1:24" ht="15" customHeight="1" outlineLevel="1" x14ac:dyDescent="0.2">
      <c r="A40" s="96"/>
      <c r="B40"/>
      <c r="C40"/>
      <c r="D40"/>
      <c r="E40"/>
      <c r="F40" s="10"/>
      <c r="G40" s="96"/>
      <c r="H40"/>
      <c r="I40"/>
      <c r="J40"/>
      <c r="K40"/>
      <c r="M40" s="90">
        <f t="shared" si="3"/>
        <v>44501</v>
      </c>
      <c r="N40" s="36">
        <f t="shared" si="1"/>
        <v>0</v>
      </c>
      <c r="O40" s="37">
        <f t="shared" si="0"/>
        <v>0</v>
      </c>
      <c r="P40" s="94">
        <f t="shared" si="2"/>
        <v>0</v>
      </c>
      <c r="R40" s="38">
        <f>SourceEnergy!B47</f>
        <v>44501</v>
      </c>
      <c r="S40" s="39">
        <v>32.04645</v>
      </c>
      <c r="T40" s="40">
        <v>27.463699999999999</v>
      </c>
      <c r="U40" s="41" t="e">
        <f>IF(AND(Shape_Annually="Yes",Shape_Start&lt;=W30),W37,IF(ISNUMBER(SourceEnergy!$C47),IF(SourceEnergy!$C47&lt;0,SourceEnergy!$C47/(SourceEnergy!$G47*T40+SourceEnergy!$H47*S40),SourceEnergy!$C47/(SourceEnergy!$G47*S40+SourceEnergy!$H47*T40)),""))</f>
        <v>#VALUE!</v>
      </c>
    </row>
    <row r="41" spans="1:24" ht="15" customHeight="1" outlineLevel="1" x14ac:dyDescent="0.2">
      <c r="A41" s="96"/>
      <c r="B41"/>
      <c r="C41"/>
      <c r="D41"/>
      <c r="E41"/>
      <c r="F41" s="10"/>
      <c r="G41" s="96"/>
      <c r="H41"/>
      <c r="I41"/>
      <c r="J41"/>
      <c r="K41"/>
      <c r="M41" s="91">
        <f t="shared" si="3"/>
        <v>44531</v>
      </c>
      <c r="N41" s="43">
        <f t="shared" si="1"/>
        <v>0</v>
      </c>
      <c r="O41" s="44">
        <f t="shared" si="0"/>
        <v>0</v>
      </c>
      <c r="P41" s="95">
        <f t="shared" si="2"/>
        <v>0</v>
      </c>
      <c r="R41" s="45">
        <f>SourceEnergy!B48</f>
        <v>44531</v>
      </c>
      <c r="S41" s="46">
        <v>35.801000000000002</v>
      </c>
      <c r="T41" s="47">
        <v>29.94735</v>
      </c>
      <c r="U41" s="48" t="e">
        <f>IF(AND(Shape_Annually="Yes",Shape_Start&lt;=W30),W37,IF(ISNUMBER(SourceEnergy!$C48),IF(SourceEnergy!$C48&lt;0,SourceEnergy!$C48/(SourceEnergy!$G48*T41+SourceEnergy!$H48*S41),SourceEnergy!$C48/(SourceEnergy!$G48*S41+SourceEnergy!$H48*T41)),""))</f>
        <v>#VALUE!</v>
      </c>
    </row>
    <row r="42" spans="1:24" ht="15" customHeight="1" outlineLevel="1" x14ac:dyDescent="0.2">
      <c r="A42" s="96"/>
      <c r="B42"/>
      <c r="C42"/>
      <c r="D42"/>
      <c r="E42"/>
      <c r="F42" s="10"/>
      <c r="G42" s="96"/>
      <c r="H42"/>
      <c r="I42"/>
      <c r="J42"/>
      <c r="K42"/>
      <c r="M42" s="92">
        <f t="shared" si="3"/>
        <v>44562</v>
      </c>
      <c r="N42" s="28">
        <f t="shared" si="1"/>
        <v>0</v>
      </c>
      <c r="O42" s="29">
        <f t="shared" si="0"/>
        <v>0</v>
      </c>
      <c r="P42" s="93">
        <f t="shared" si="2"/>
        <v>0</v>
      </c>
      <c r="R42" s="30">
        <f>SourceEnergy!B49</f>
        <v>44562</v>
      </c>
      <c r="S42" s="31">
        <v>35.713050000000003</v>
      </c>
      <c r="T42" s="32">
        <v>31.264050000000001</v>
      </c>
      <c r="U42" s="33" t="e">
        <f>IF(AND(Shape_Annually="Yes",Shape_Start&lt;=W42),W49,IF(ISNUMBER(SourceEnergy!$C49),IF(SourceEnergy!$C49&lt;0,SourceEnergy!$C49/(SourceEnergy!$G49*T42+SourceEnergy!$H49*S42),SourceEnergy!$C49/(SourceEnergy!$G49*S42+SourceEnergy!$H49*T42)),""))</f>
        <v>#VALUE!</v>
      </c>
      <c r="W42" s="34">
        <f>YEAR(M42)</f>
        <v>2022</v>
      </c>
      <c r="X42" s="35"/>
    </row>
    <row r="43" spans="1:24" ht="15" customHeight="1" outlineLevel="1" x14ac:dyDescent="0.2">
      <c r="A43" s="96"/>
      <c r="B43"/>
      <c r="C43"/>
      <c r="D43"/>
      <c r="E43"/>
      <c r="F43" s="10"/>
      <c r="G43" s="96"/>
      <c r="H43"/>
      <c r="I43"/>
      <c r="J43"/>
      <c r="K43"/>
      <c r="M43" s="90">
        <f t="shared" si="3"/>
        <v>44593</v>
      </c>
      <c r="N43" s="36">
        <f t="shared" si="1"/>
        <v>0</v>
      </c>
      <c r="O43" s="37">
        <f t="shared" si="0"/>
        <v>0</v>
      </c>
      <c r="P43" s="94">
        <f t="shared" si="2"/>
        <v>0</v>
      </c>
      <c r="R43" s="38">
        <f>SourceEnergy!B50</f>
        <v>44593</v>
      </c>
      <c r="S43" s="39">
        <v>34.863300000000002</v>
      </c>
      <c r="T43" s="40">
        <v>29.539750000000002</v>
      </c>
      <c r="U43" s="41" t="e">
        <f>IF(AND(Shape_Annually="Yes",Shape_Start&lt;=W42),W49,IF(ISNUMBER(SourceEnergy!$C50),IF(SourceEnergy!$C50&lt;0,SourceEnergy!$C50/(SourceEnergy!$G50*T43+SourceEnergy!$H50*S43),SourceEnergy!$C50/(SourceEnergy!$G50*S43+SourceEnergy!$H50*T43)),""))</f>
        <v>#VALUE!</v>
      </c>
      <c r="W43" s="12">
        <f>SUMPRODUCT(N42:N53,S42:S53)+SUMPRODUCT(O42:O53,T42:T53)</f>
        <v>0</v>
      </c>
      <c r="X43" s="12" t="s">
        <v>78</v>
      </c>
    </row>
    <row r="44" spans="1:24" ht="15" customHeight="1" outlineLevel="1" x14ac:dyDescent="0.2">
      <c r="A44" s="96"/>
      <c r="B44"/>
      <c r="C44"/>
      <c r="D44"/>
      <c r="E44"/>
      <c r="F44" s="10"/>
      <c r="G44" s="96"/>
      <c r="H44"/>
      <c r="I44"/>
      <c r="J44"/>
      <c r="K44"/>
      <c r="M44" s="90">
        <f t="shared" si="3"/>
        <v>44621</v>
      </c>
      <c r="N44" s="36">
        <f t="shared" si="1"/>
        <v>0</v>
      </c>
      <c r="O44" s="37">
        <f t="shared" si="0"/>
        <v>0</v>
      </c>
      <c r="P44" s="94">
        <f t="shared" si="2"/>
        <v>0</v>
      </c>
      <c r="R44" s="38">
        <f>SourceEnergy!B51</f>
        <v>44621</v>
      </c>
      <c r="S44" s="39">
        <v>30.864850000000001</v>
      </c>
      <c r="T44" s="40">
        <v>27.315550000000002</v>
      </c>
      <c r="U44" s="41" t="e">
        <f>IF(AND(Shape_Annually="Yes",Shape_Start&lt;=W42),W49,IF(ISNUMBER(SourceEnergy!$C51),IF(SourceEnergy!$C51&lt;0,SourceEnergy!$C51/(SourceEnergy!$G51*T44+SourceEnergy!$H51*S44),SourceEnergy!$C51/(SourceEnergy!$G51*S44+SourceEnergy!$H51*T44)),""))</f>
        <v>#VALUE!</v>
      </c>
    </row>
    <row r="45" spans="1:24" ht="15" customHeight="1" outlineLevel="1" x14ac:dyDescent="0.2">
      <c r="A45" s="96"/>
      <c r="B45"/>
      <c r="C45"/>
      <c r="D45"/>
      <c r="E45"/>
      <c r="F45" s="10"/>
      <c r="G45" s="96"/>
      <c r="H45"/>
      <c r="I45"/>
      <c r="J45"/>
      <c r="K45"/>
      <c r="M45" s="90">
        <f t="shared" si="3"/>
        <v>44652</v>
      </c>
      <c r="N45" s="36">
        <f t="shared" si="1"/>
        <v>0</v>
      </c>
      <c r="O45" s="37">
        <f t="shared" si="0"/>
        <v>0</v>
      </c>
      <c r="P45" s="94">
        <f t="shared" si="2"/>
        <v>0</v>
      </c>
      <c r="R45" s="38">
        <f>SourceEnergy!B52</f>
        <v>44652</v>
      </c>
      <c r="S45" s="39">
        <v>28.839500000000001</v>
      </c>
      <c r="T45" s="40">
        <v>23.3414</v>
      </c>
      <c r="U45" s="41" t="e">
        <f>IF(AND(Shape_Annually="Yes",Shape_Start&lt;=W42),W49,IF(ISNUMBER(SourceEnergy!$C52),IF(SourceEnergy!$C52&lt;0,SourceEnergy!$C52/(SourceEnergy!$G52*T45+SourceEnergy!$H52*S45),SourceEnergy!$C52/(SourceEnergy!$G52*S45+SourceEnergy!$H52*T45)),""))</f>
        <v>#VALUE!</v>
      </c>
      <c r="W45" s="12">
        <f>VLOOKUP(W42,'[1]Table 5'!$L$16:$N$36,2,FALSE)</f>
        <v>0</v>
      </c>
      <c r="X45" s="12" t="s">
        <v>79</v>
      </c>
    </row>
    <row r="46" spans="1:24" ht="15" customHeight="1" outlineLevel="1" x14ac:dyDescent="0.2">
      <c r="A46" s="96"/>
      <c r="B46"/>
      <c r="C46"/>
      <c r="D46"/>
      <c r="E46"/>
      <c r="F46" s="10"/>
      <c r="G46" s="96"/>
      <c r="H46"/>
      <c r="I46"/>
      <c r="J46"/>
      <c r="K46"/>
      <c r="M46" s="90">
        <f t="shared" si="3"/>
        <v>44682</v>
      </c>
      <c r="N46" s="36">
        <f t="shared" si="1"/>
        <v>0</v>
      </c>
      <c r="O46" s="37">
        <f t="shared" si="0"/>
        <v>0</v>
      </c>
      <c r="P46" s="94">
        <f t="shared" si="2"/>
        <v>0</v>
      </c>
      <c r="R46" s="38">
        <f>SourceEnergy!B53</f>
        <v>44682</v>
      </c>
      <c r="S46" s="39">
        <v>30.277149999999999</v>
      </c>
      <c r="T46" s="40">
        <v>24.93085</v>
      </c>
      <c r="U46" s="41" t="e">
        <f>IF(AND(Shape_Annually="Yes",Shape_Start&lt;=W42),W49,IF(ISNUMBER(SourceEnergy!$C53),IF(SourceEnergy!$C53&lt;0,SourceEnergy!$C53/(SourceEnergy!$G53*T46+SourceEnergy!$H53*S46),SourceEnergy!$C53/(SourceEnergy!$G53*S46+SourceEnergy!$H53*T46)),""))</f>
        <v>#VALUE!</v>
      </c>
      <c r="W46" s="12">
        <f>VLOOKUP(W42,'[1]Table 5'!$L$16:$N$36,3,FALSE)</f>
        <v>0</v>
      </c>
      <c r="X46" s="12" t="s">
        <v>80</v>
      </c>
    </row>
    <row r="47" spans="1:24" ht="15" customHeight="1" outlineLevel="1" x14ac:dyDescent="0.2">
      <c r="A47" s="96"/>
      <c r="B47"/>
      <c r="C47"/>
      <c r="D47"/>
      <c r="E47"/>
      <c r="F47" s="10"/>
      <c r="G47" s="96"/>
      <c r="H47"/>
      <c r="I47"/>
      <c r="J47"/>
      <c r="K47"/>
      <c r="M47" s="90">
        <f t="shared" si="3"/>
        <v>44713</v>
      </c>
      <c r="N47" s="36">
        <f t="shared" si="1"/>
        <v>0</v>
      </c>
      <c r="O47" s="37">
        <f t="shared" si="0"/>
        <v>0</v>
      </c>
      <c r="P47" s="94">
        <f t="shared" si="2"/>
        <v>0</v>
      </c>
      <c r="R47" s="38">
        <f>SourceEnergy!B54</f>
        <v>44713</v>
      </c>
      <c r="S47" s="39">
        <v>35.781649999999999</v>
      </c>
      <c r="T47" s="40">
        <v>26.6937</v>
      </c>
      <c r="U47" s="41" t="e">
        <f>IF(AND(Shape_Annually="Yes",Shape_Start&lt;=W42),W49,IF(ISNUMBER(SourceEnergy!$C54),IF(SourceEnergy!$C54&lt;0,SourceEnergy!$C54/(SourceEnergy!$G54*T47+SourceEnergy!$H54*S47),SourceEnergy!$C54/(SourceEnergy!$G54*S47+SourceEnergy!$H54*T47)),""))</f>
        <v>#VALUE!</v>
      </c>
      <c r="W47" s="12">
        <f>W45+W46</f>
        <v>0</v>
      </c>
      <c r="X47" s="12" t="s">
        <v>81</v>
      </c>
    </row>
    <row r="48" spans="1:24" ht="15" customHeight="1" outlineLevel="1" x14ac:dyDescent="0.2">
      <c r="A48" s="96"/>
      <c r="B48"/>
      <c r="C48"/>
      <c r="D48"/>
      <c r="E48"/>
      <c r="F48" s="10"/>
      <c r="G48" s="96"/>
      <c r="H48"/>
      <c r="I48"/>
      <c r="J48"/>
      <c r="K48"/>
      <c r="M48" s="90">
        <f t="shared" si="3"/>
        <v>44743</v>
      </c>
      <c r="N48" s="36">
        <f t="shared" si="1"/>
        <v>0</v>
      </c>
      <c r="O48" s="37">
        <f t="shared" si="0"/>
        <v>0</v>
      </c>
      <c r="P48" s="94">
        <f t="shared" si="2"/>
        <v>0</v>
      </c>
      <c r="R48" s="38">
        <f>SourceEnergy!B55</f>
        <v>44743</v>
      </c>
      <c r="S48" s="39">
        <v>44.318899999999999</v>
      </c>
      <c r="T48" s="40">
        <v>31.02345</v>
      </c>
      <c r="U48" s="41" t="e">
        <f>IF(AND(Shape_Annually="Yes",Shape_Start&lt;=W42),W49,IF(ISNUMBER(SourceEnergy!$C55),IF(SourceEnergy!$C55&lt;0,SourceEnergy!$C55/(SourceEnergy!$G55*T48+SourceEnergy!$H55*S48),SourceEnergy!$C55/(SourceEnergy!$G55*S48+SourceEnergy!$H55*T48)),""))</f>
        <v>#VALUE!</v>
      </c>
    </row>
    <row r="49" spans="1:24" ht="15" customHeight="1" outlineLevel="1" x14ac:dyDescent="0.2">
      <c r="A49" s="96"/>
      <c r="B49"/>
      <c r="C49"/>
      <c r="D49"/>
      <c r="E49"/>
      <c r="F49" s="10"/>
      <c r="G49" s="96"/>
      <c r="H49"/>
      <c r="I49"/>
      <c r="J49"/>
      <c r="K49"/>
      <c r="M49" s="90">
        <f t="shared" si="3"/>
        <v>44774</v>
      </c>
      <c r="N49" s="36">
        <f t="shared" si="1"/>
        <v>0</v>
      </c>
      <c r="O49" s="37">
        <f t="shared" si="0"/>
        <v>0</v>
      </c>
      <c r="P49" s="94">
        <f t="shared" si="2"/>
        <v>0</v>
      </c>
      <c r="R49" s="38">
        <f>SourceEnergy!B56</f>
        <v>44774</v>
      </c>
      <c r="S49" s="39">
        <v>43.347299999999997</v>
      </c>
      <c r="T49" s="40">
        <v>31.871700000000001</v>
      </c>
      <c r="U49" s="41" t="e">
        <f>IF(AND(Shape_Annually="Yes",Shape_Start&lt;=W42),W49,IF(ISNUMBER(SourceEnergy!$C56),IF(SourceEnergy!$C56&lt;0,SourceEnergy!$C56/(SourceEnergy!$G56*T49+SourceEnergy!$H56*S49),SourceEnergy!$C56/(SourceEnergy!$G56*S49+SourceEnergy!$H56*T49)),""))</f>
        <v>#VALUE!</v>
      </c>
      <c r="W49" s="42" t="e">
        <f>W47/W43</f>
        <v>#DIV/0!</v>
      </c>
      <c r="X49" s="12" t="s">
        <v>82</v>
      </c>
    </row>
    <row r="50" spans="1:24" ht="15" customHeight="1" outlineLevel="1" x14ac:dyDescent="0.2">
      <c r="A50" s="96"/>
      <c r="B50"/>
      <c r="C50"/>
      <c r="D50"/>
      <c r="E50"/>
      <c r="F50" s="10"/>
      <c r="G50" s="96"/>
      <c r="H50"/>
      <c r="I50"/>
      <c r="J50"/>
      <c r="K50"/>
      <c r="M50" s="90">
        <f t="shared" si="3"/>
        <v>44805</v>
      </c>
      <c r="N50" s="36">
        <f t="shared" si="1"/>
        <v>0</v>
      </c>
      <c r="O50" s="37">
        <f t="shared" si="0"/>
        <v>0</v>
      </c>
      <c r="P50" s="94">
        <f t="shared" si="2"/>
        <v>0</v>
      </c>
      <c r="R50" s="38">
        <f>SourceEnergy!B57</f>
        <v>44805</v>
      </c>
      <c r="S50" s="39">
        <v>43.625</v>
      </c>
      <c r="T50" s="40">
        <v>31.62</v>
      </c>
      <c r="U50" s="41" t="e">
        <f>IF(AND(Shape_Annually="Yes",Shape_Start&lt;=W42),W49,IF(ISNUMBER(SourceEnergy!$C57),IF(SourceEnergy!$C57&lt;0,SourceEnergy!$C57/(SourceEnergy!$G57*T50+SourceEnergy!$H57*S50),SourceEnergy!$C57/(SourceEnergy!$G57*S50+SourceEnergy!$H57*T50)),""))</f>
        <v>#VALUE!</v>
      </c>
    </row>
    <row r="51" spans="1:24" ht="15" customHeight="1" outlineLevel="1" x14ac:dyDescent="0.2">
      <c r="A51" s="96"/>
      <c r="B51"/>
      <c r="C51"/>
      <c r="D51"/>
      <c r="E51"/>
      <c r="F51" s="10"/>
      <c r="G51" s="96"/>
      <c r="H51"/>
      <c r="I51"/>
      <c r="J51"/>
      <c r="K51"/>
      <c r="M51" s="90">
        <f t="shared" si="3"/>
        <v>44835</v>
      </c>
      <c r="N51" s="36">
        <f t="shared" si="1"/>
        <v>0</v>
      </c>
      <c r="O51" s="37">
        <f t="shared" si="0"/>
        <v>0</v>
      </c>
      <c r="P51" s="94">
        <f t="shared" si="2"/>
        <v>0</v>
      </c>
      <c r="R51" s="38">
        <f>SourceEnergy!B58</f>
        <v>44835</v>
      </c>
      <c r="S51" s="39">
        <v>34.32</v>
      </c>
      <c r="T51" s="40">
        <v>29.6</v>
      </c>
      <c r="U51" s="41" t="e">
        <f>IF(AND(Shape_Annually="Yes",Shape_Start&lt;=W42),W49,IF(ISNUMBER(SourceEnergy!$C58),IF(SourceEnergy!$C58&lt;0,SourceEnergy!$C58/(SourceEnergy!$G58*T51+SourceEnergy!$H58*S51),SourceEnergy!$C58/(SourceEnergy!$G58*S51+SourceEnergy!$H58*T51)),""))</f>
        <v>#VALUE!</v>
      </c>
    </row>
    <row r="52" spans="1:24" ht="15" customHeight="1" outlineLevel="1" x14ac:dyDescent="0.2">
      <c r="A52" s="96"/>
      <c r="B52"/>
      <c r="C52"/>
      <c r="D52"/>
      <c r="E52"/>
      <c r="F52" s="10"/>
      <c r="G52" s="96"/>
      <c r="H52"/>
      <c r="I52"/>
      <c r="J52"/>
      <c r="K52"/>
      <c r="M52" s="90">
        <f t="shared" si="3"/>
        <v>44866</v>
      </c>
      <c r="N52" s="36">
        <f t="shared" si="1"/>
        <v>0</v>
      </c>
      <c r="O52" s="37">
        <f t="shared" si="0"/>
        <v>0</v>
      </c>
      <c r="P52" s="94">
        <f t="shared" si="2"/>
        <v>0</v>
      </c>
      <c r="R52" s="38">
        <f>SourceEnergy!B59</f>
        <v>44866</v>
      </c>
      <c r="S52" s="39">
        <v>33.020000000000003</v>
      </c>
      <c r="T52" s="40">
        <v>29.11</v>
      </c>
      <c r="U52" s="41" t="e">
        <f>IF(AND(Shape_Annually="Yes",Shape_Start&lt;=W42),W49,IF(ISNUMBER(SourceEnergy!$C59),IF(SourceEnergy!$C59&lt;0,SourceEnergy!$C59/(SourceEnergy!$G59*T52+SourceEnergy!$H59*S52),SourceEnergy!$C59/(SourceEnergy!$G59*S52+SourceEnergy!$H59*T52)),""))</f>
        <v>#VALUE!</v>
      </c>
    </row>
    <row r="53" spans="1:24" ht="15" customHeight="1" outlineLevel="1" x14ac:dyDescent="0.2">
      <c r="A53" s="96"/>
      <c r="B53"/>
      <c r="C53"/>
      <c r="D53"/>
      <c r="E53"/>
      <c r="F53" s="10"/>
      <c r="G53" s="96"/>
      <c r="H53"/>
      <c r="I53"/>
      <c r="J53"/>
      <c r="K53"/>
      <c r="M53" s="91">
        <f t="shared" si="3"/>
        <v>44896</v>
      </c>
      <c r="N53" s="43">
        <f t="shared" si="1"/>
        <v>0</v>
      </c>
      <c r="O53" s="44">
        <f t="shared" si="0"/>
        <v>0</v>
      </c>
      <c r="P53" s="95">
        <f t="shared" si="2"/>
        <v>0</v>
      </c>
      <c r="R53" s="45">
        <f>SourceEnergy!B60</f>
        <v>44896</v>
      </c>
      <c r="S53" s="46">
        <v>34.06</v>
      </c>
      <c r="T53" s="47">
        <v>30.09</v>
      </c>
      <c r="U53" s="48" t="e">
        <f>IF(AND(Shape_Annually="Yes",Shape_Start&lt;=W42),W49,IF(ISNUMBER(SourceEnergy!$C60),IF(SourceEnergy!$C60&lt;0,SourceEnergy!$C60/(SourceEnergy!$G60*T53+SourceEnergy!$H60*S53),SourceEnergy!$C60/(SourceEnergy!$G60*S53+SourceEnergy!$H60*T53)),""))</f>
        <v>#VALUE!</v>
      </c>
    </row>
    <row r="54" spans="1:24" ht="15" customHeight="1" outlineLevel="1" x14ac:dyDescent="0.2">
      <c r="A54" s="96"/>
      <c r="B54"/>
      <c r="C54"/>
      <c r="D54"/>
      <c r="E54"/>
      <c r="F54" s="10"/>
      <c r="G54" s="96"/>
      <c r="H54"/>
      <c r="I54"/>
      <c r="J54"/>
      <c r="K54"/>
      <c r="M54" s="92">
        <f t="shared" si="3"/>
        <v>44927</v>
      </c>
      <c r="N54" s="28">
        <f t="shared" si="1"/>
        <v>0</v>
      </c>
      <c r="O54" s="29">
        <f t="shared" si="0"/>
        <v>0</v>
      </c>
      <c r="P54" s="93">
        <f t="shared" si="2"/>
        <v>0</v>
      </c>
      <c r="R54" s="30">
        <f>SourceEnergy!B61</f>
        <v>44927</v>
      </c>
      <c r="S54" s="31">
        <v>34.4</v>
      </c>
      <c r="T54" s="32">
        <v>30.58</v>
      </c>
      <c r="U54" s="33" t="e">
        <f>IF(AND(Shape_Annually="Yes",Shape_Start&lt;=W54),W61,IF(ISNUMBER(SourceEnergy!$C61),IF(SourceEnergy!$C61&lt;0,SourceEnergy!$C61/(SourceEnergy!$G61*T54+SourceEnergy!$H61*S54),SourceEnergy!$C61/(SourceEnergy!$G61*S54+SourceEnergy!$H61*T54)),""))</f>
        <v>#VALUE!</v>
      </c>
      <c r="W54" s="34">
        <f>YEAR(M54)</f>
        <v>2023</v>
      </c>
      <c r="X54" s="35"/>
    </row>
    <row r="55" spans="1:24" ht="15" customHeight="1" outlineLevel="1" x14ac:dyDescent="0.2">
      <c r="A55" s="96"/>
      <c r="B55"/>
      <c r="C55"/>
      <c r="D55"/>
      <c r="E55"/>
      <c r="F55" s="10"/>
      <c r="G55" s="96"/>
      <c r="H55"/>
      <c r="I55"/>
      <c r="J55"/>
      <c r="K55"/>
      <c r="M55" s="90">
        <f t="shared" si="3"/>
        <v>44958</v>
      </c>
      <c r="N55" s="36">
        <f t="shared" si="1"/>
        <v>0</v>
      </c>
      <c r="O55" s="37">
        <f t="shared" si="0"/>
        <v>0</v>
      </c>
      <c r="P55" s="94">
        <f t="shared" si="2"/>
        <v>0</v>
      </c>
      <c r="R55" s="38">
        <f>SourceEnergy!B62</f>
        <v>44958</v>
      </c>
      <c r="S55" s="39">
        <v>33.875</v>
      </c>
      <c r="T55" s="40">
        <v>29.8825</v>
      </c>
      <c r="U55" s="41" t="e">
        <f>IF(AND(Shape_Annually="Yes",Shape_Start&lt;=W54),W61,IF(ISNUMBER(SourceEnergy!$C62),IF(SourceEnergy!$C62&lt;0,SourceEnergy!$C62/(SourceEnergy!$G62*T55+SourceEnergy!$H62*S55),SourceEnergy!$C62/(SourceEnergy!$G62*S55+SourceEnergy!$H62*T55)),""))</f>
        <v>#VALUE!</v>
      </c>
      <c r="W55" s="12">
        <f>SUMPRODUCT(N54:N65,S54:S65)+SUMPRODUCT(O54:O65,T54:T65)</f>
        <v>0</v>
      </c>
      <c r="X55" s="12" t="s">
        <v>78</v>
      </c>
    </row>
    <row r="56" spans="1:24" ht="15" customHeight="1" outlineLevel="1" x14ac:dyDescent="0.2">
      <c r="A56" s="96"/>
      <c r="B56"/>
      <c r="C56"/>
      <c r="D56"/>
      <c r="E56"/>
      <c r="F56" s="10"/>
      <c r="G56" s="96"/>
      <c r="H56"/>
      <c r="I56"/>
      <c r="J56"/>
      <c r="K56"/>
      <c r="M56" s="90">
        <f t="shared" si="3"/>
        <v>44986</v>
      </c>
      <c r="N56" s="36">
        <f t="shared" si="1"/>
        <v>0</v>
      </c>
      <c r="O56" s="37">
        <f t="shared" si="0"/>
        <v>0</v>
      </c>
      <c r="P56" s="94">
        <f t="shared" si="2"/>
        <v>0</v>
      </c>
      <c r="R56" s="38">
        <f>SourceEnergy!B63</f>
        <v>44986</v>
      </c>
      <c r="S56" s="39">
        <v>31.774999999999999</v>
      </c>
      <c r="T56" s="40">
        <v>28.487500000000001</v>
      </c>
      <c r="U56" s="41" t="e">
        <f>IF(AND(Shape_Annually="Yes",Shape_Start&lt;=W54),W61,IF(ISNUMBER(SourceEnergy!$C63),IF(SourceEnergy!$C63&lt;0,SourceEnergy!$C63/(SourceEnergy!$G63*T56+SourceEnergy!$H63*S56),SourceEnergy!$C63/(SourceEnergy!$G63*S56+SourceEnergy!$H63*T56)),""))</f>
        <v>#VALUE!</v>
      </c>
    </row>
    <row r="57" spans="1:24" ht="15" customHeight="1" outlineLevel="1" x14ac:dyDescent="0.2">
      <c r="A57" s="96"/>
      <c r="B57"/>
      <c r="C57"/>
      <c r="D57"/>
      <c r="E57"/>
      <c r="F57" s="10"/>
      <c r="G57" s="96"/>
      <c r="H57"/>
      <c r="I57"/>
      <c r="J57"/>
      <c r="K57"/>
      <c r="M57" s="90">
        <f t="shared" si="3"/>
        <v>45017</v>
      </c>
      <c r="N57" s="36">
        <f t="shared" si="1"/>
        <v>0</v>
      </c>
      <c r="O57" s="37">
        <f t="shared" si="0"/>
        <v>0</v>
      </c>
      <c r="P57" s="94">
        <f t="shared" si="2"/>
        <v>0</v>
      </c>
      <c r="R57" s="38">
        <f>SourceEnergy!B64</f>
        <v>45017</v>
      </c>
      <c r="S57" s="39">
        <v>30.612500000000001</v>
      </c>
      <c r="T57" s="40">
        <v>29</v>
      </c>
      <c r="U57" s="41" t="e">
        <f>IF(AND(Shape_Annually="Yes",Shape_Start&lt;=W54),W61,IF(ISNUMBER(SourceEnergy!$C64),IF(SourceEnergy!$C64&lt;0,SourceEnergy!$C64/(SourceEnergy!$G64*T57+SourceEnergy!$H64*S57),SourceEnergy!$C64/(SourceEnergy!$G64*S57+SourceEnergy!$H64*T57)),""))</f>
        <v>#VALUE!</v>
      </c>
      <c r="W57" s="12">
        <f>VLOOKUP(W54,'[1]Table 5'!$L$16:$N$36,2,FALSE)</f>
        <v>0</v>
      </c>
      <c r="X57" s="12" t="s">
        <v>79</v>
      </c>
    </row>
    <row r="58" spans="1:24" ht="15" customHeight="1" outlineLevel="1" x14ac:dyDescent="0.2">
      <c r="A58" s="96"/>
      <c r="B58"/>
      <c r="C58"/>
      <c r="D58"/>
      <c r="E58"/>
      <c r="F58" s="10"/>
      <c r="G58" s="96"/>
      <c r="H58"/>
      <c r="I58"/>
      <c r="J58"/>
      <c r="K58"/>
      <c r="M58" s="90">
        <f t="shared" si="3"/>
        <v>45047</v>
      </c>
      <c r="N58" s="36">
        <f t="shared" si="1"/>
        <v>0</v>
      </c>
      <c r="O58" s="37">
        <f t="shared" si="0"/>
        <v>0</v>
      </c>
      <c r="P58" s="94">
        <f t="shared" si="2"/>
        <v>0</v>
      </c>
      <c r="R58" s="38">
        <f>SourceEnergy!B65</f>
        <v>45047</v>
      </c>
      <c r="S58" s="39">
        <v>31.355</v>
      </c>
      <c r="T58" s="40">
        <v>24.8</v>
      </c>
      <c r="U58" s="41" t="e">
        <f>IF(AND(Shape_Annually="Yes",Shape_Start&lt;=W54),W61,IF(ISNUMBER(SourceEnergy!$C65),IF(SourceEnergy!$C65&lt;0,SourceEnergy!$C65/(SourceEnergy!$G65*T58+SourceEnergy!$H65*S58),SourceEnergy!$C65/(SourceEnergy!$G65*S58+SourceEnergy!$H65*T58)),""))</f>
        <v>#VALUE!</v>
      </c>
      <c r="W58" s="12">
        <f>VLOOKUP(W54,'[1]Table 5'!$L$16:$N$36,3,FALSE)</f>
        <v>0</v>
      </c>
      <c r="X58" s="12" t="s">
        <v>80</v>
      </c>
    </row>
    <row r="59" spans="1:24" ht="15" customHeight="1" outlineLevel="1" x14ac:dyDescent="0.2">
      <c r="A59" s="96"/>
      <c r="B59"/>
      <c r="C59"/>
      <c r="D59"/>
      <c r="E59"/>
      <c r="F59" s="10"/>
      <c r="G59" s="96"/>
      <c r="H59"/>
      <c r="I59"/>
      <c r="J59"/>
      <c r="K59"/>
      <c r="M59" s="90">
        <f t="shared" si="3"/>
        <v>45078</v>
      </c>
      <c r="N59" s="36">
        <f t="shared" si="1"/>
        <v>0</v>
      </c>
      <c r="O59" s="37">
        <f t="shared" si="0"/>
        <v>0</v>
      </c>
      <c r="P59" s="94">
        <f t="shared" si="2"/>
        <v>0</v>
      </c>
      <c r="R59" s="38">
        <f>SourceEnergy!B66</f>
        <v>45078</v>
      </c>
      <c r="S59" s="39">
        <v>33.582500000000003</v>
      </c>
      <c r="T59" s="40">
        <v>25.4</v>
      </c>
      <c r="U59" s="41" t="e">
        <f>IF(AND(Shape_Annually="Yes",Shape_Start&lt;=W54),W61,IF(ISNUMBER(SourceEnergy!$C66),IF(SourceEnergy!$C66&lt;0,SourceEnergy!$C66/(SourceEnergy!$G66*T59+SourceEnergy!$H66*S59),SourceEnergy!$C66/(SourceEnergy!$G66*S59+SourceEnergy!$H66*T59)),""))</f>
        <v>#VALUE!</v>
      </c>
      <c r="W59" s="12">
        <f>W57+W58</f>
        <v>0</v>
      </c>
      <c r="X59" s="12" t="s">
        <v>81</v>
      </c>
    </row>
    <row r="60" spans="1:24" ht="15" customHeight="1" outlineLevel="1" x14ac:dyDescent="0.2">
      <c r="A60" s="96"/>
      <c r="B60"/>
      <c r="C60"/>
      <c r="D60"/>
      <c r="E60"/>
      <c r="F60" s="10"/>
      <c r="G60" s="96"/>
      <c r="H60"/>
      <c r="I60"/>
      <c r="J60"/>
      <c r="K60"/>
      <c r="M60" s="90">
        <f t="shared" si="3"/>
        <v>45108</v>
      </c>
      <c r="N60" s="36">
        <f t="shared" si="1"/>
        <v>0</v>
      </c>
      <c r="O60" s="37">
        <f t="shared" si="0"/>
        <v>0</v>
      </c>
      <c r="P60" s="94">
        <f t="shared" si="2"/>
        <v>0</v>
      </c>
      <c r="R60" s="38">
        <f>SourceEnergy!B67</f>
        <v>45108</v>
      </c>
      <c r="S60" s="39">
        <v>48.515000000000001</v>
      </c>
      <c r="T60" s="40">
        <v>31.1</v>
      </c>
      <c r="U60" s="41" t="e">
        <f>IF(AND(Shape_Annually="Yes",Shape_Start&lt;=W54),W61,IF(ISNUMBER(SourceEnergy!$C67),IF(SourceEnergy!$C67&lt;0,SourceEnergy!$C67/(SourceEnergy!$G67*T60+SourceEnergy!$H67*S60),SourceEnergy!$C67/(SourceEnergy!$G67*S60+SourceEnergy!$H67*T60)),""))</f>
        <v>#VALUE!</v>
      </c>
    </row>
    <row r="61" spans="1:24" ht="15" customHeight="1" outlineLevel="1" x14ac:dyDescent="0.2">
      <c r="A61" s="96"/>
      <c r="B61"/>
      <c r="C61"/>
      <c r="D61"/>
      <c r="E61"/>
      <c r="F61" s="10"/>
      <c r="G61" s="96"/>
      <c r="H61"/>
      <c r="I61"/>
      <c r="J61"/>
      <c r="K61"/>
      <c r="M61" s="90">
        <f t="shared" si="3"/>
        <v>45139</v>
      </c>
      <c r="N61" s="36">
        <f t="shared" si="1"/>
        <v>0</v>
      </c>
      <c r="O61" s="37">
        <f t="shared" si="0"/>
        <v>0</v>
      </c>
      <c r="P61" s="94">
        <f t="shared" si="2"/>
        <v>0</v>
      </c>
      <c r="R61" s="38">
        <f>SourceEnergy!B68</f>
        <v>45139</v>
      </c>
      <c r="S61" s="39">
        <v>47.66</v>
      </c>
      <c r="T61" s="40">
        <v>33.44</v>
      </c>
      <c r="U61" s="41" t="e">
        <f>IF(AND(Shape_Annually="Yes",Shape_Start&lt;=W54),W61,IF(ISNUMBER(SourceEnergy!$C68),IF(SourceEnergy!$C68&lt;0,SourceEnergy!$C68/(SourceEnergy!$G68*T61+SourceEnergy!$H68*S61),SourceEnergy!$C68/(SourceEnergy!$G68*S61+SourceEnergy!$H68*T61)),""))</f>
        <v>#VALUE!</v>
      </c>
      <c r="W61" s="42" t="e">
        <f>W59/W55</f>
        <v>#DIV/0!</v>
      </c>
      <c r="X61" s="12" t="s">
        <v>82</v>
      </c>
    </row>
    <row r="62" spans="1:24" ht="15" customHeight="1" outlineLevel="1" x14ac:dyDescent="0.2">
      <c r="A62" s="96"/>
      <c r="B62"/>
      <c r="C62"/>
      <c r="D62"/>
      <c r="E62"/>
      <c r="F62" s="10"/>
      <c r="G62" s="96"/>
      <c r="H62"/>
      <c r="I62"/>
      <c r="J62"/>
      <c r="K62"/>
      <c r="M62" s="90">
        <f t="shared" si="3"/>
        <v>45170</v>
      </c>
      <c r="N62" s="36">
        <f t="shared" si="1"/>
        <v>0</v>
      </c>
      <c r="O62" s="37">
        <f t="shared" si="0"/>
        <v>0</v>
      </c>
      <c r="P62" s="94">
        <f t="shared" si="2"/>
        <v>0</v>
      </c>
      <c r="R62" s="38">
        <f>SourceEnergy!B69</f>
        <v>45170</v>
      </c>
      <c r="S62" s="39">
        <v>41.674999999999997</v>
      </c>
      <c r="T62" s="40">
        <v>32.92</v>
      </c>
      <c r="U62" s="41" t="e">
        <f>IF(AND(Shape_Annually="Yes",Shape_Start&lt;=W54),W61,IF(ISNUMBER(SourceEnergy!$C69),IF(SourceEnergy!$C69&lt;0,SourceEnergy!$C69/(SourceEnergy!$G69*T62+SourceEnergy!$H69*S62),SourceEnergy!$C69/(SourceEnergy!$G69*S62+SourceEnergy!$H69*T62)),""))</f>
        <v>#VALUE!</v>
      </c>
    </row>
    <row r="63" spans="1:24" ht="15" customHeight="1" outlineLevel="1" x14ac:dyDescent="0.2">
      <c r="A63" s="96"/>
      <c r="B63"/>
      <c r="C63"/>
      <c r="D63"/>
      <c r="E63"/>
      <c r="F63" s="10"/>
      <c r="G63" s="96"/>
      <c r="H63"/>
      <c r="I63"/>
      <c r="J63"/>
      <c r="K63"/>
      <c r="M63" s="90">
        <f t="shared" si="3"/>
        <v>45200</v>
      </c>
      <c r="N63" s="36">
        <f t="shared" si="1"/>
        <v>0</v>
      </c>
      <c r="O63" s="37">
        <f t="shared" si="0"/>
        <v>0</v>
      </c>
      <c r="P63" s="94">
        <f t="shared" si="2"/>
        <v>0</v>
      </c>
      <c r="R63" s="38">
        <f>SourceEnergy!B70</f>
        <v>45200</v>
      </c>
      <c r="S63" s="39">
        <v>35.770000000000003</v>
      </c>
      <c r="T63" s="40">
        <v>30.9</v>
      </c>
      <c r="U63" s="41" t="e">
        <f>IF(AND(Shape_Annually="Yes",Shape_Start&lt;=W54),W61,IF(ISNUMBER(SourceEnergy!$C70),IF(SourceEnergy!$C70&lt;0,SourceEnergy!$C70/(SourceEnergy!$G70*T63+SourceEnergy!$H70*S63),SourceEnergy!$C70/(SourceEnergy!$G70*S63+SourceEnergy!$H70*T63)),""))</f>
        <v>#VALUE!</v>
      </c>
    </row>
    <row r="64" spans="1:24" ht="15" customHeight="1" outlineLevel="1" x14ac:dyDescent="0.2">
      <c r="A64" s="96"/>
      <c r="B64"/>
      <c r="C64"/>
      <c r="D64"/>
      <c r="E64"/>
      <c r="F64" s="10"/>
      <c r="G64" s="96"/>
      <c r="H64"/>
      <c r="I64"/>
      <c r="J64"/>
      <c r="K64"/>
      <c r="M64" s="90">
        <f t="shared" si="3"/>
        <v>45231</v>
      </c>
      <c r="N64" s="36">
        <f t="shared" si="1"/>
        <v>0</v>
      </c>
      <c r="O64" s="37">
        <f t="shared" si="0"/>
        <v>0</v>
      </c>
      <c r="P64" s="94">
        <f t="shared" si="2"/>
        <v>0</v>
      </c>
      <c r="R64" s="38">
        <f>SourceEnergy!B71</f>
        <v>45231</v>
      </c>
      <c r="S64" s="39">
        <v>34.47</v>
      </c>
      <c r="T64" s="40">
        <v>30.41</v>
      </c>
      <c r="U64" s="41" t="e">
        <f>IF(AND(Shape_Annually="Yes",Shape_Start&lt;=W54),W61,IF(ISNUMBER(SourceEnergy!$C71),IF(SourceEnergy!$C71&lt;0,SourceEnergy!$C71/(SourceEnergy!$G71*T64+SourceEnergy!$H71*S64),SourceEnergy!$C71/(SourceEnergy!$G71*S64+SourceEnergy!$H71*T64)),""))</f>
        <v>#VALUE!</v>
      </c>
    </row>
    <row r="65" spans="1:24" ht="15" customHeight="1" outlineLevel="1" x14ac:dyDescent="0.2">
      <c r="A65" s="96"/>
      <c r="B65"/>
      <c r="C65"/>
      <c r="D65"/>
      <c r="E65"/>
      <c r="F65" s="10"/>
      <c r="G65" s="96"/>
      <c r="H65"/>
      <c r="I65"/>
      <c r="J65"/>
      <c r="K65"/>
      <c r="M65" s="91">
        <f t="shared" si="3"/>
        <v>45261</v>
      </c>
      <c r="N65" s="43">
        <f t="shared" si="1"/>
        <v>0</v>
      </c>
      <c r="O65" s="44">
        <f t="shared" si="0"/>
        <v>0</v>
      </c>
      <c r="P65" s="95">
        <f t="shared" si="2"/>
        <v>0</v>
      </c>
      <c r="R65" s="45">
        <f>SourceEnergy!B72</f>
        <v>45261</v>
      </c>
      <c r="S65" s="46">
        <v>35.51</v>
      </c>
      <c r="T65" s="47">
        <v>31.39</v>
      </c>
      <c r="U65" s="48" t="e">
        <f>IF(AND(Shape_Annually="Yes",Shape_Start&lt;=W54),W61,IF(ISNUMBER(SourceEnergy!$C72),IF(SourceEnergy!$C72&lt;0,SourceEnergy!$C72/(SourceEnergy!$G72*T65+SourceEnergy!$H72*S65),SourceEnergy!$C72/(SourceEnergy!$G72*S65+SourceEnergy!$H72*T65)),""))</f>
        <v>#VALUE!</v>
      </c>
    </row>
    <row r="66" spans="1:24" ht="15" customHeight="1" outlineLevel="1" x14ac:dyDescent="0.2">
      <c r="A66" s="96"/>
      <c r="B66"/>
      <c r="C66"/>
      <c r="D66"/>
      <c r="E66"/>
      <c r="F66" s="10"/>
      <c r="G66" s="96"/>
      <c r="H66"/>
      <c r="I66"/>
      <c r="J66"/>
      <c r="K66"/>
      <c r="M66" s="92">
        <f t="shared" si="3"/>
        <v>45292</v>
      </c>
      <c r="N66" s="28">
        <f t="shared" si="1"/>
        <v>0</v>
      </c>
      <c r="O66" s="29">
        <f t="shared" si="0"/>
        <v>0</v>
      </c>
      <c r="P66" s="93">
        <f t="shared" si="2"/>
        <v>0</v>
      </c>
      <c r="R66" s="30">
        <f>SourceEnergy!B73</f>
        <v>45292</v>
      </c>
      <c r="S66" s="31">
        <v>35.6</v>
      </c>
      <c r="T66" s="32">
        <v>31.78</v>
      </c>
      <c r="U66" s="33" t="e">
        <f>IF(AND(Shape_Annually="Yes",Shape_Start&lt;=W66),W73,IF(ISNUMBER(SourceEnergy!$C73),IF(SourceEnergy!$C73&lt;0,SourceEnergy!$C73/(SourceEnergy!$G73*T66+SourceEnergy!$H73*S66),SourceEnergy!$C73/(SourceEnergy!$G73*S66+SourceEnergy!$H73*T66)),""))</f>
        <v>#VALUE!</v>
      </c>
      <c r="W66" s="34">
        <f>YEAR(M66)</f>
        <v>2024</v>
      </c>
      <c r="X66" s="35"/>
    </row>
    <row r="67" spans="1:24" ht="15" customHeight="1" outlineLevel="1" x14ac:dyDescent="0.2">
      <c r="A67" s="96"/>
      <c r="B67"/>
      <c r="C67"/>
      <c r="D67"/>
      <c r="E67"/>
      <c r="F67" s="10"/>
      <c r="G67" s="96"/>
      <c r="H67"/>
      <c r="I67"/>
      <c r="J67"/>
      <c r="K67"/>
      <c r="M67" s="90">
        <f t="shared" si="3"/>
        <v>45323</v>
      </c>
      <c r="N67" s="36">
        <f t="shared" si="1"/>
        <v>0</v>
      </c>
      <c r="O67" s="37">
        <f t="shared" si="0"/>
        <v>0</v>
      </c>
      <c r="P67" s="94">
        <f t="shared" si="2"/>
        <v>0</v>
      </c>
      <c r="R67" s="38">
        <f>SourceEnergy!B74</f>
        <v>45323</v>
      </c>
      <c r="S67" s="39">
        <v>35.075000000000003</v>
      </c>
      <c r="T67" s="40">
        <v>31.0825</v>
      </c>
      <c r="U67" s="41" t="e">
        <f>IF(AND(Shape_Annually="Yes",Shape_Start&lt;=W66),W73,IF(ISNUMBER(SourceEnergy!$C74),IF(SourceEnergy!$C74&lt;0,SourceEnergy!$C74/(SourceEnergy!$G74*T67+SourceEnergy!$H74*S67),SourceEnergy!$C74/(SourceEnergy!$G74*S67+SourceEnergy!$H74*T67)),""))</f>
        <v>#VALUE!</v>
      </c>
      <c r="W67" s="12">
        <f>SUMPRODUCT(N66:N77,S66:S77)+SUMPRODUCT(O66:O77,T66:T77)</f>
        <v>0</v>
      </c>
      <c r="X67" s="12" t="s">
        <v>78</v>
      </c>
    </row>
    <row r="68" spans="1:24" ht="15" customHeight="1" outlineLevel="1" x14ac:dyDescent="0.2">
      <c r="A68" s="96"/>
      <c r="B68"/>
      <c r="C68"/>
      <c r="D68"/>
      <c r="E68"/>
      <c r="F68" s="10"/>
      <c r="G68" s="96"/>
      <c r="H68"/>
      <c r="I68"/>
      <c r="J68"/>
      <c r="K68"/>
      <c r="M68" s="90">
        <f t="shared" si="3"/>
        <v>45352</v>
      </c>
      <c r="N68" s="36">
        <f t="shared" si="1"/>
        <v>0</v>
      </c>
      <c r="O68" s="37">
        <f t="shared" si="0"/>
        <v>0</v>
      </c>
      <c r="P68" s="94">
        <f t="shared" si="2"/>
        <v>0</v>
      </c>
      <c r="R68" s="38">
        <f>SourceEnergy!B75</f>
        <v>45352</v>
      </c>
      <c r="S68" s="39">
        <v>32.975000000000001</v>
      </c>
      <c r="T68" s="40">
        <v>29.6875</v>
      </c>
      <c r="U68" s="41" t="e">
        <f>IF(AND(Shape_Annually="Yes",Shape_Start&lt;=W66),W73,IF(ISNUMBER(SourceEnergy!$C75),IF(SourceEnergy!$C75&lt;0,SourceEnergy!$C75/(SourceEnergy!$G75*T68+SourceEnergy!$H75*S68),SourceEnergy!$C75/(SourceEnergy!$G75*S68+SourceEnergy!$H75*T68)),""))</f>
        <v>#VALUE!</v>
      </c>
    </row>
    <row r="69" spans="1:24" ht="15" customHeight="1" outlineLevel="1" x14ac:dyDescent="0.2">
      <c r="A69" s="96"/>
      <c r="B69"/>
      <c r="C69"/>
      <c r="D69"/>
      <c r="E69"/>
      <c r="F69" s="10"/>
      <c r="G69" s="96"/>
      <c r="H69"/>
      <c r="I69"/>
      <c r="J69"/>
      <c r="K69"/>
      <c r="M69" s="90">
        <f t="shared" si="3"/>
        <v>45383</v>
      </c>
      <c r="N69" s="36">
        <f t="shared" si="1"/>
        <v>0</v>
      </c>
      <c r="O69" s="37">
        <f t="shared" si="0"/>
        <v>0</v>
      </c>
      <c r="P69" s="94">
        <f t="shared" si="2"/>
        <v>0</v>
      </c>
      <c r="R69" s="38">
        <f>SourceEnergy!B76</f>
        <v>45383</v>
      </c>
      <c r="S69" s="39">
        <v>31.8125</v>
      </c>
      <c r="T69" s="40">
        <v>30.2</v>
      </c>
      <c r="U69" s="41" t="e">
        <f>IF(AND(Shape_Annually="Yes",Shape_Start&lt;=W66),W73,IF(ISNUMBER(SourceEnergy!$C76),IF(SourceEnergy!$C76&lt;0,SourceEnergy!$C76/(SourceEnergy!$G76*T69+SourceEnergy!$H76*S69),SourceEnergy!$C76/(SourceEnergy!$G76*S69+SourceEnergy!$H76*T69)),""))</f>
        <v>#VALUE!</v>
      </c>
      <c r="W69" s="12">
        <f>VLOOKUP(W66,'[1]Table 5'!$L$16:$N$36,2,FALSE)</f>
        <v>0</v>
      </c>
      <c r="X69" s="12" t="s">
        <v>79</v>
      </c>
    </row>
    <row r="70" spans="1:24" ht="15" customHeight="1" outlineLevel="1" x14ac:dyDescent="0.2">
      <c r="A70" s="96"/>
      <c r="B70"/>
      <c r="C70"/>
      <c r="D70"/>
      <c r="E70"/>
      <c r="F70" s="10"/>
      <c r="G70" s="96"/>
      <c r="H70"/>
      <c r="I70"/>
      <c r="J70"/>
      <c r="K70"/>
      <c r="M70" s="90">
        <f t="shared" si="3"/>
        <v>45413</v>
      </c>
      <c r="N70" s="36">
        <f t="shared" si="1"/>
        <v>0</v>
      </c>
      <c r="O70" s="37">
        <f t="shared" si="1"/>
        <v>0</v>
      </c>
      <c r="P70" s="94">
        <f t="shared" si="2"/>
        <v>0</v>
      </c>
      <c r="R70" s="38">
        <f>SourceEnergy!B77</f>
        <v>45413</v>
      </c>
      <c r="S70" s="39">
        <v>32.555</v>
      </c>
      <c r="T70" s="40">
        <v>26</v>
      </c>
      <c r="U70" s="41" t="e">
        <f>IF(AND(Shape_Annually="Yes",Shape_Start&lt;=W66),W73,IF(ISNUMBER(SourceEnergy!$C77),IF(SourceEnergy!$C77&lt;0,SourceEnergy!$C77/(SourceEnergy!$G77*T70+SourceEnergy!$H77*S70),SourceEnergy!$C77/(SourceEnergy!$G77*S70+SourceEnergy!$H77*T70)),""))</f>
        <v>#VALUE!</v>
      </c>
      <c r="W70" s="12">
        <f>VLOOKUP(W66,'[1]Table 5'!$L$16:$N$36,3,FALSE)</f>
        <v>0</v>
      </c>
      <c r="X70" s="12" t="s">
        <v>80</v>
      </c>
    </row>
    <row r="71" spans="1:24" ht="15" customHeight="1" outlineLevel="1" x14ac:dyDescent="0.2">
      <c r="A71" s="96"/>
      <c r="B71"/>
      <c r="C71"/>
      <c r="D71"/>
      <c r="E71"/>
      <c r="F71" s="10"/>
      <c r="G71" s="96"/>
      <c r="H71"/>
      <c r="I71"/>
      <c r="J71"/>
      <c r="K71"/>
      <c r="M71" s="90">
        <f t="shared" si="3"/>
        <v>45444</v>
      </c>
      <c r="N71" s="36">
        <f t="shared" ref="N71:O90" si="4">SUMIFS($E$6:$E$245,$A$6:$A$245,$M71,$D$6:$D$245,N$5)</f>
        <v>0</v>
      </c>
      <c r="O71" s="37">
        <f t="shared" si="4"/>
        <v>0</v>
      </c>
      <c r="P71" s="94">
        <f t="shared" ref="P71:P134" si="5">N71+O71</f>
        <v>0</v>
      </c>
      <c r="R71" s="38">
        <f>SourceEnergy!B78</f>
        <v>45444</v>
      </c>
      <c r="S71" s="39">
        <v>34.782499999999999</v>
      </c>
      <c r="T71" s="40">
        <v>26.6</v>
      </c>
      <c r="U71" s="41" t="e">
        <f>IF(AND(Shape_Annually="Yes",Shape_Start&lt;=W66),W73,IF(ISNUMBER(SourceEnergy!$C78),IF(SourceEnergy!$C78&lt;0,SourceEnergy!$C78/(SourceEnergy!$G78*T71+SourceEnergy!$H78*S71),SourceEnergy!$C78/(SourceEnergy!$G78*S71+SourceEnergy!$H78*T71)),""))</f>
        <v>#VALUE!</v>
      </c>
      <c r="W71" s="12">
        <f>W69+W70</f>
        <v>0</v>
      </c>
      <c r="X71" s="12" t="s">
        <v>81</v>
      </c>
    </row>
    <row r="72" spans="1:24" ht="15" customHeight="1" outlineLevel="1" x14ac:dyDescent="0.2">
      <c r="A72" s="96"/>
      <c r="B72"/>
      <c r="C72"/>
      <c r="D72"/>
      <c r="E72"/>
      <c r="F72" s="10"/>
      <c r="G72" s="96"/>
      <c r="H72"/>
      <c r="I72"/>
      <c r="J72"/>
      <c r="K72"/>
      <c r="M72" s="90">
        <f t="shared" ref="M72:M135" si="6">EDATE(M71,1)</f>
        <v>45474</v>
      </c>
      <c r="N72" s="36">
        <f t="shared" si="4"/>
        <v>0</v>
      </c>
      <c r="O72" s="37">
        <f t="shared" si="4"/>
        <v>0</v>
      </c>
      <c r="P72" s="94">
        <f t="shared" si="5"/>
        <v>0</v>
      </c>
      <c r="R72" s="38">
        <f>SourceEnergy!B79</f>
        <v>45474</v>
      </c>
      <c r="S72" s="39">
        <v>53.615000000000002</v>
      </c>
      <c r="T72" s="40">
        <v>32.299999999999997</v>
      </c>
      <c r="U72" s="41" t="e">
        <f>IF(AND(Shape_Annually="Yes",Shape_Start&lt;=W66),W73,IF(ISNUMBER(SourceEnergy!$C79),IF(SourceEnergy!$C79&lt;0,SourceEnergy!$C79/(SourceEnergy!$G79*T72+SourceEnergy!$H79*S72),SourceEnergy!$C79/(SourceEnergy!$G79*S72+SourceEnergy!$H79*T72)),""))</f>
        <v>#VALUE!</v>
      </c>
    </row>
    <row r="73" spans="1:24" ht="15" customHeight="1" outlineLevel="1" x14ac:dyDescent="0.2">
      <c r="A73" s="96"/>
      <c r="B73"/>
      <c r="C73"/>
      <c r="D73"/>
      <c r="E73"/>
      <c r="F73" s="10"/>
      <c r="G73" s="96"/>
      <c r="H73"/>
      <c r="I73"/>
      <c r="J73"/>
      <c r="K73"/>
      <c r="M73" s="90">
        <f t="shared" si="6"/>
        <v>45505</v>
      </c>
      <c r="N73" s="36">
        <f t="shared" si="4"/>
        <v>0</v>
      </c>
      <c r="O73" s="37">
        <f t="shared" si="4"/>
        <v>0</v>
      </c>
      <c r="P73" s="94">
        <f t="shared" si="5"/>
        <v>0</v>
      </c>
      <c r="R73" s="38">
        <f>SourceEnergy!B80</f>
        <v>45505</v>
      </c>
      <c r="S73" s="39">
        <v>56.605110000000003</v>
      </c>
      <c r="T73" s="40">
        <v>40.228789999999996</v>
      </c>
      <c r="U73" s="41" t="e">
        <f>IF(AND(Shape_Annually="Yes",Shape_Start&lt;=W66),W73,IF(ISNUMBER(SourceEnergy!$C80),IF(SourceEnergy!$C80&lt;0,SourceEnergy!$C80/(SourceEnergy!$G80*T73+SourceEnergy!$H80*S73),SourceEnergy!$C80/(SourceEnergy!$G80*S73+SourceEnergy!$H80*T73)),""))</f>
        <v>#VALUE!</v>
      </c>
      <c r="W73" s="42" t="e">
        <f>W71/W67</f>
        <v>#DIV/0!</v>
      </c>
      <c r="X73" s="12" t="s">
        <v>82</v>
      </c>
    </row>
    <row r="74" spans="1:24" ht="15" customHeight="1" outlineLevel="1" x14ac:dyDescent="0.2">
      <c r="A74" s="96"/>
      <c r="B74"/>
      <c r="C74"/>
      <c r="D74"/>
      <c r="E74"/>
      <c r="F74" s="10"/>
      <c r="G74" s="96"/>
      <c r="H74"/>
      <c r="I74"/>
      <c r="J74"/>
      <c r="K74"/>
      <c r="M74" s="90">
        <f t="shared" si="6"/>
        <v>45536</v>
      </c>
      <c r="N74" s="36">
        <f t="shared" si="4"/>
        <v>0</v>
      </c>
      <c r="O74" s="37">
        <f t="shared" si="4"/>
        <v>0</v>
      </c>
      <c r="P74" s="94">
        <f t="shared" si="5"/>
        <v>0</v>
      </c>
      <c r="R74" s="38">
        <f>SourceEnergy!B81</f>
        <v>45536</v>
      </c>
      <c r="S74" s="39">
        <v>50.609679999999997</v>
      </c>
      <c r="T74" s="40">
        <v>38.034120000000001</v>
      </c>
      <c r="U74" s="41" t="e">
        <f>IF(AND(Shape_Annually="Yes",Shape_Start&lt;=W66),W73,IF(ISNUMBER(SourceEnergy!$C81),IF(SourceEnergy!$C81&lt;0,SourceEnergy!$C81/(SourceEnergy!$G81*T74+SourceEnergy!$H81*S74),SourceEnergy!$C81/(SourceEnergy!$G81*S74+SourceEnergy!$H81*T74)),""))</f>
        <v>#VALUE!</v>
      </c>
    </row>
    <row r="75" spans="1:24" ht="15" customHeight="1" outlineLevel="1" x14ac:dyDescent="0.2">
      <c r="A75" s="96"/>
      <c r="B75"/>
      <c r="C75"/>
      <c r="D75"/>
      <c r="E75"/>
      <c r="F75" s="10"/>
      <c r="G75" s="96"/>
      <c r="H75"/>
      <c r="I75"/>
      <c r="J75"/>
      <c r="K75"/>
      <c r="M75" s="90">
        <f t="shared" si="6"/>
        <v>45566</v>
      </c>
      <c r="N75" s="36">
        <f t="shared" si="4"/>
        <v>0</v>
      </c>
      <c r="O75" s="37">
        <f t="shared" si="4"/>
        <v>0</v>
      </c>
      <c r="P75" s="94">
        <f t="shared" si="5"/>
        <v>0</v>
      </c>
      <c r="R75" s="38">
        <f>SourceEnergy!B82</f>
        <v>45566</v>
      </c>
      <c r="S75" s="39">
        <v>37.808329999999998</v>
      </c>
      <c r="T75" s="40">
        <v>33.110610000000001</v>
      </c>
      <c r="U75" s="41" t="e">
        <f>IF(AND(Shape_Annually="Yes",Shape_Start&lt;=W66),W73,IF(ISNUMBER(SourceEnergy!$C82),IF(SourceEnergy!$C82&lt;0,SourceEnergy!$C82/(SourceEnergy!$G82*T75+SourceEnergy!$H82*S75),SourceEnergy!$C82/(SourceEnergy!$G82*S75+SourceEnergy!$H82*T75)),""))</f>
        <v>#VALUE!</v>
      </c>
    </row>
    <row r="76" spans="1:24" ht="15" customHeight="1" outlineLevel="1" x14ac:dyDescent="0.2">
      <c r="A76" s="96"/>
      <c r="B76"/>
      <c r="C76"/>
      <c r="D76"/>
      <c r="E76"/>
      <c r="F76" s="10"/>
      <c r="G76" s="96"/>
      <c r="H76"/>
      <c r="I76"/>
      <c r="J76"/>
      <c r="K76"/>
      <c r="M76" s="90">
        <f t="shared" si="6"/>
        <v>45597</v>
      </c>
      <c r="N76" s="36">
        <f t="shared" si="4"/>
        <v>0</v>
      </c>
      <c r="O76" s="37">
        <f t="shared" si="4"/>
        <v>0</v>
      </c>
      <c r="P76" s="94">
        <f t="shared" si="5"/>
        <v>0</v>
      </c>
      <c r="R76" s="38">
        <f>SourceEnergy!B83</f>
        <v>45597</v>
      </c>
      <c r="S76" s="39">
        <v>37.532850000000003</v>
      </c>
      <c r="T76" s="40">
        <v>33.144269999999999</v>
      </c>
      <c r="U76" s="41" t="e">
        <f>IF(AND(Shape_Annually="Yes",Shape_Start&lt;=W66),W73,IF(ISNUMBER(SourceEnergy!$C83),IF(SourceEnergy!$C83&lt;0,SourceEnergy!$C83/(SourceEnergy!$G83*T76+SourceEnergy!$H83*S76),SourceEnergy!$C83/(SourceEnergy!$G83*S76+SourceEnergy!$H83*T76)),""))</f>
        <v>#VALUE!</v>
      </c>
    </row>
    <row r="77" spans="1:24" ht="15" customHeight="1" outlineLevel="1" x14ac:dyDescent="0.2">
      <c r="A77" s="96"/>
      <c r="B77"/>
      <c r="C77"/>
      <c r="D77"/>
      <c r="E77"/>
      <c r="F77" s="10"/>
      <c r="G77" s="96"/>
      <c r="H77"/>
      <c r="I77"/>
      <c r="J77"/>
      <c r="K77"/>
      <c r="M77" s="91">
        <f t="shared" si="6"/>
        <v>45627</v>
      </c>
      <c r="N77" s="43">
        <f t="shared" si="4"/>
        <v>0</v>
      </c>
      <c r="O77" s="44">
        <f t="shared" si="4"/>
        <v>0</v>
      </c>
      <c r="P77" s="95">
        <f t="shared" si="5"/>
        <v>0</v>
      </c>
      <c r="R77" s="45">
        <f>SourceEnergy!B84</f>
        <v>45627</v>
      </c>
      <c r="S77" s="46">
        <v>39.710700000000003</v>
      </c>
      <c r="T77" s="47">
        <v>34.67436</v>
      </c>
      <c r="U77" s="48" t="e">
        <f>IF(AND(Shape_Annually="Yes",Shape_Start&lt;=W66),W73,IF(ISNUMBER(SourceEnergy!$C84),IF(SourceEnergy!$C84&lt;0,SourceEnergy!$C84/(SourceEnergy!$G84*T77+SourceEnergy!$H84*S77),SourceEnergy!$C84/(SourceEnergy!$G84*S77+SourceEnergy!$H84*T77)),""))</f>
        <v>#VALUE!</v>
      </c>
    </row>
    <row r="78" spans="1:24" ht="15" customHeight="1" outlineLevel="1" x14ac:dyDescent="0.2">
      <c r="A78" s="96"/>
      <c r="B78"/>
      <c r="C78"/>
      <c r="D78"/>
      <c r="E78"/>
      <c r="F78" s="10"/>
      <c r="G78" s="96"/>
      <c r="H78"/>
      <c r="I78"/>
      <c r="J78"/>
      <c r="K78"/>
      <c r="M78" s="92">
        <f t="shared" si="6"/>
        <v>45658</v>
      </c>
      <c r="N78" s="28">
        <f t="shared" si="4"/>
        <v>0</v>
      </c>
      <c r="O78" s="29">
        <f t="shared" si="4"/>
        <v>0</v>
      </c>
      <c r="P78" s="93">
        <f t="shared" si="5"/>
        <v>0</v>
      </c>
      <c r="R78" s="30">
        <f>SourceEnergy!B85</f>
        <v>45658</v>
      </c>
      <c r="S78" s="31">
        <v>39.513869999999997</v>
      </c>
      <c r="T78" s="32">
        <v>34.561799999999998</v>
      </c>
      <c r="U78" s="33" t="e">
        <f>IF(AND(Shape_Annually="Yes",Shape_Start&lt;=W78),W85,IF(ISNUMBER(SourceEnergy!$C85),IF(SourceEnergy!$C85&lt;0,SourceEnergy!$C85/(SourceEnergy!$G85*T78+SourceEnergy!$H85*S78),SourceEnergy!$C85/(SourceEnergy!$G85*S78+SourceEnergy!$H85*T78)),""))</f>
        <v>#VALUE!</v>
      </c>
      <c r="W78" s="34">
        <f>YEAR(M78)</f>
        <v>2025</v>
      </c>
      <c r="X78" s="35"/>
    </row>
    <row r="79" spans="1:24" ht="15" customHeight="1" outlineLevel="1" x14ac:dyDescent="0.2">
      <c r="A79" s="96"/>
      <c r="B79"/>
      <c r="C79"/>
      <c r="D79"/>
      <c r="E79"/>
      <c r="F79" s="10"/>
      <c r="G79" s="96"/>
      <c r="H79"/>
      <c r="I79"/>
      <c r="J79"/>
      <c r="K79"/>
      <c r="M79" s="90">
        <f t="shared" si="6"/>
        <v>45689</v>
      </c>
      <c r="N79" s="36">
        <f t="shared" si="4"/>
        <v>0</v>
      </c>
      <c r="O79" s="37">
        <f t="shared" si="4"/>
        <v>0</v>
      </c>
      <c r="P79" s="94">
        <f t="shared" si="5"/>
        <v>0</v>
      </c>
      <c r="R79" s="38">
        <f>SourceEnergy!B86</f>
        <v>45689</v>
      </c>
      <c r="S79" s="39">
        <v>38.77346</v>
      </c>
      <c r="T79" s="40">
        <v>34.411209999999997</v>
      </c>
      <c r="U79" s="41" t="e">
        <f>IF(AND(Shape_Annually="Yes",Shape_Start&lt;=W78),W85,IF(ISNUMBER(SourceEnergy!$C86),IF(SourceEnergy!$C86&lt;0,SourceEnergy!$C86/(SourceEnergy!$G86*T79+SourceEnergy!$H86*S79),SourceEnergy!$C86/(SourceEnergy!$G86*S79+SourceEnergy!$H86*T79)),""))</f>
        <v>#VALUE!</v>
      </c>
      <c r="W79" s="12">
        <f>SUMPRODUCT(N78:N89,S78:S89)+SUMPRODUCT(O78:O89,T78:T89)</f>
        <v>0</v>
      </c>
      <c r="X79" s="12" t="s">
        <v>78</v>
      </c>
    </row>
    <row r="80" spans="1:24" ht="15" customHeight="1" outlineLevel="1" x14ac:dyDescent="0.2">
      <c r="A80" s="96"/>
      <c r="B80"/>
      <c r="C80"/>
      <c r="D80"/>
      <c r="E80"/>
      <c r="F80" s="10"/>
      <c r="G80" s="96"/>
      <c r="H80"/>
      <c r="I80"/>
      <c r="J80"/>
      <c r="K80"/>
      <c r="M80" s="90">
        <f t="shared" si="6"/>
        <v>45717</v>
      </c>
      <c r="N80" s="36">
        <f t="shared" si="4"/>
        <v>0</v>
      </c>
      <c r="O80" s="37">
        <f t="shared" si="4"/>
        <v>0</v>
      </c>
      <c r="P80" s="94">
        <f t="shared" si="5"/>
        <v>0</v>
      </c>
      <c r="R80" s="38">
        <f>SourceEnergy!B87</f>
        <v>45717</v>
      </c>
      <c r="S80" s="39">
        <v>36.130780000000001</v>
      </c>
      <c r="T80" s="40">
        <v>32.706740000000003</v>
      </c>
      <c r="U80" s="41" t="e">
        <f>IF(AND(Shape_Annually="Yes",Shape_Start&lt;=W78),W85,IF(ISNUMBER(SourceEnergy!$C87),IF(SourceEnergy!$C87&lt;0,SourceEnergy!$C87/(SourceEnergy!$G87*T80+SourceEnergy!$H87*S80),SourceEnergy!$C87/(SourceEnergy!$G87*S80+SourceEnergy!$H87*T80)),""))</f>
        <v>#VALUE!</v>
      </c>
    </row>
    <row r="81" spans="1:24" ht="15" customHeight="1" outlineLevel="1" x14ac:dyDescent="0.2">
      <c r="A81" s="96"/>
      <c r="B81"/>
      <c r="C81"/>
      <c r="D81"/>
      <c r="E81"/>
      <c r="F81" s="10"/>
      <c r="G81" s="96"/>
      <c r="H81"/>
      <c r="I81"/>
      <c r="J81"/>
      <c r="K81"/>
      <c r="M81" s="90">
        <f t="shared" si="6"/>
        <v>45748</v>
      </c>
      <c r="N81" s="36">
        <f t="shared" si="4"/>
        <v>0</v>
      </c>
      <c r="O81" s="37">
        <f t="shared" si="4"/>
        <v>0</v>
      </c>
      <c r="P81" s="94">
        <f t="shared" si="5"/>
        <v>0</v>
      </c>
      <c r="R81" s="38">
        <f>SourceEnergy!B88</f>
        <v>45748</v>
      </c>
      <c r="S81" s="39">
        <v>34.57423</v>
      </c>
      <c r="T81" s="40">
        <v>32.800370000000001</v>
      </c>
      <c r="U81" s="41" t="e">
        <f>IF(AND(Shape_Annually="Yes",Shape_Start&lt;=W78),W85,IF(ISNUMBER(SourceEnergy!$C88),IF(SourceEnergy!$C88&lt;0,SourceEnergy!$C88/(SourceEnergy!$G88*T81+SourceEnergy!$H88*S81),SourceEnergy!$C88/(SourceEnergy!$G88*S81+SourceEnergy!$H88*T81)),""))</f>
        <v>#VALUE!</v>
      </c>
      <c r="W81" s="12">
        <f>VLOOKUP(W78,'[1]Table 5'!$L$16:$N$36,2,FALSE)</f>
        <v>0</v>
      </c>
      <c r="X81" s="12" t="s">
        <v>79</v>
      </c>
    </row>
    <row r="82" spans="1:24" ht="15" customHeight="1" outlineLevel="1" x14ac:dyDescent="0.2">
      <c r="A82" s="96"/>
      <c r="B82"/>
      <c r="C82"/>
      <c r="D82"/>
      <c r="E82"/>
      <c r="F82" s="10"/>
      <c r="G82" s="96"/>
      <c r="H82"/>
      <c r="I82"/>
      <c r="J82"/>
      <c r="K82"/>
      <c r="M82" s="90">
        <f t="shared" si="6"/>
        <v>45778</v>
      </c>
      <c r="N82" s="36">
        <f t="shared" si="4"/>
        <v>0</v>
      </c>
      <c r="O82" s="37">
        <f t="shared" si="4"/>
        <v>0</v>
      </c>
      <c r="P82" s="94">
        <f t="shared" si="5"/>
        <v>0</v>
      </c>
      <c r="R82" s="38">
        <f>SourceEnergy!B89</f>
        <v>45778</v>
      </c>
      <c r="S82" s="39">
        <v>35.041800000000002</v>
      </c>
      <c r="T82" s="40">
        <v>30.19736</v>
      </c>
      <c r="U82" s="41" t="e">
        <f>IF(AND(Shape_Annually="Yes",Shape_Start&lt;=W78),W85,IF(ISNUMBER(SourceEnergy!$C89),IF(SourceEnergy!$C89&lt;0,SourceEnergy!$C89/(SourceEnergy!$G89*T82+SourceEnergy!$H89*S82),SourceEnergy!$C89/(SourceEnergy!$G89*S82+SourceEnergy!$H89*T82)),""))</f>
        <v>#VALUE!</v>
      </c>
      <c r="W82" s="12">
        <f>VLOOKUP(W78,'[1]Table 5'!$L$16:$N$36,3,FALSE)</f>
        <v>0</v>
      </c>
      <c r="X82" s="12" t="s">
        <v>80</v>
      </c>
    </row>
    <row r="83" spans="1:24" ht="15" customHeight="1" outlineLevel="1" x14ac:dyDescent="0.2">
      <c r="A83" s="96"/>
      <c r="B83"/>
      <c r="C83"/>
      <c r="D83"/>
      <c r="E83"/>
      <c r="F83" s="10"/>
      <c r="G83" s="96"/>
      <c r="H83"/>
      <c r="I83"/>
      <c r="J83"/>
      <c r="K83"/>
      <c r="M83" s="90">
        <f t="shared" si="6"/>
        <v>45809</v>
      </c>
      <c r="N83" s="36">
        <f t="shared" si="4"/>
        <v>0</v>
      </c>
      <c r="O83" s="37">
        <f t="shared" si="4"/>
        <v>0</v>
      </c>
      <c r="P83" s="94">
        <f t="shared" si="5"/>
        <v>0</v>
      </c>
      <c r="R83" s="38">
        <f>SourceEnergy!B90</f>
        <v>45809</v>
      </c>
      <c r="S83" s="39">
        <v>40.302990000000001</v>
      </c>
      <c r="T83" s="40">
        <v>32.087479999999999</v>
      </c>
      <c r="U83" s="41" t="e">
        <f>IF(AND(Shape_Annually="Yes",Shape_Start&lt;=W78),W85,IF(ISNUMBER(SourceEnergy!$C90),IF(SourceEnergy!$C90&lt;0,SourceEnergy!$C90/(SourceEnergy!$G90*T83+SourceEnergy!$H90*S83),SourceEnergy!$C90/(SourceEnergy!$G90*S83+SourceEnergy!$H90*T83)),""))</f>
        <v>#VALUE!</v>
      </c>
      <c r="W83" s="12">
        <f>W81+W82</f>
        <v>0</v>
      </c>
      <c r="X83" s="12" t="s">
        <v>81</v>
      </c>
    </row>
    <row r="84" spans="1:24" ht="15" customHeight="1" outlineLevel="1" x14ac:dyDescent="0.2">
      <c r="A84" s="96"/>
      <c r="B84"/>
      <c r="C84"/>
      <c r="D84"/>
      <c r="E84"/>
      <c r="F84" s="10"/>
      <c r="G84" s="96"/>
      <c r="H84"/>
      <c r="I84"/>
      <c r="J84"/>
      <c r="K84"/>
      <c r="M84" s="90">
        <f t="shared" si="6"/>
        <v>45839</v>
      </c>
      <c r="N84" s="36">
        <f t="shared" si="4"/>
        <v>0</v>
      </c>
      <c r="O84" s="37">
        <f t="shared" si="4"/>
        <v>0</v>
      </c>
      <c r="P84" s="94">
        <f t="shared" si="5"/>
        <v>0</v>
      </c>
      <c r="R84" s="38">
        <f>SourceEnergy!B91</f>
        <v>45839</v>
      </c>
      <c r="S84" s="39">
        <v>59.071759999999998</v>
      </c>
      <c r="T84" s="40">
        <v>39.055210000000002</v>
      </c>
      <c r="U84" s="41" t="e">
        <f>IF(AND(Shape_Annually="Yes",Shape_Start&lt;=W78),W85,IF(ISNUMBER(SourceEnergy!$C91),IF(SourceEnergy!$C91&lt;0,SourceEnergy!$C91/(SourceEnergy!$G91*T84+SourceEnergy!$H91*S84),SourceEnergy!$C91/(SourceEnergy!$G91*S84+SourceEnergy!$H91*T84)),""))</f>
        <v>#VALUE!</v>
      </c>
    </row>
    <row r="85" spans="1:24" ht="15" customHeight="1" outlineLevel="1" x14ac:dyDescent="0.2">
      <c r="A85" s="96"/>
      <c r="B85"/>
      <c r="C85"/>
      <c r="D85"/>
      <c r="E85"/>
      <c r="F85" s="10"/>
      <c r="G85" s="96"/>
      <c r="H85"/>
      <c r="I85"/>
      <c r="J85"/>
      <c r="K85"/>
      <c r="M85" s="90">
        <f t="shared" si="6"/>
        <v>45870</v>
      </c>
      <c r="N85" s="36">
        <f t="shared" si="4"/>
        <v>0</v>
      </c>
      <c r="O85" s="37">
        <f t="shared" si="4"/>
        <v>0</v>
      </c>
      <c r="P85" s="94">
        <f t="shared" si="5"/>
        <v>0</v>
      </c>
      <c r="R85" s="38">
        <f>SourceEnergy!B92</f>
        <v>45870</v>
      </c>
      <c r="S85" s="39">
        <v>65.550219999999996</v>
      </c>
      <c r="T85" s="40">
        <v>47.017580000000002</v>
      </c>
      <c r="U85" s="41" t="e">
        <f>IF(AND(Shape_Annually="Yes",Shape_Start&lt;=W78),W85,IF(ISNUMBER(SourceEnergy!$C92),IF(SourceEnergy!$C92&lt;0,SourceEnergy!$C92/(SourceEnergy!$G92*T85+SourceEnergy!$H92*S85),SourceEnergy!$C92/(SourceEnergy!$G92*S85+SourceEnergy!$H92*T85)),""))</f>
        <v>#VALUE!</v>
      </c>
      <c r="W85" s="42" t="e">
        <f>W83/W79</f>
        <v>#DIV/0!</v>
      </c>
      <c r="X85" s="12" t="s">
        <v>82</v>
      </c>
    </row>
    <row r="86" spans="1:24" ht="15" customHeight="1" outlineLevel="1" x14ac:dyDescent="0.2">
      <c r="A86" s="96"/>
      <c r="B86"/>
      <c r="C86"/>
      <c r="D86"/>
      <c r="E86"/>
      <c r="F86" s="10"/>
      <c r="G86" s="96"/>
      <c r="H86"/>
      <c r="I86"/>
      <c r="J86"/>
      <c r="K86"/>
      <c r="M86" s="90">
        <f t="shared" si="6"/>
        <v>45901</v>
      </c>
      <c r="N86" s="36">
        <f t="shared" si="4"/>
        <v>0</v>
      </c>
      <c r="O86" s="37">
        <f t="shared" si="4"/>
        <v>0</v>
      </c>
      <c r="P86" s="94">
        <f t="shared" si="5"/>
        <v>0</v>
      </c>
      <c r="R86" s="38">
        <f>SourceEnergy!B93</f>
        <v>45901</v>
      </c>
      <c r="S86" s="39">
        <v>59.544359999999998</v>
      </c>
      <c r="T86" s="40">
        <v>43.148240000000001</v>
      </c>
      <c r="U86" s="41" t="e">
        <f>IF(AND(Shape_Annually="Yes",Shape_Start&lt;=W78),W85,IF(ISNUMBER(SourceEnergy!$C93),IF(SourceEnergy!$C93&lt;0,SourceEnergy!$C93/(SourceEnergy!$G93*T86+SourceEnergy!$H93*S86),SourceEnergy!$C93/(SourceEnergy!$G93*S86+SourceEnergy!$H93*T86)),""))</f>
        <v>#VALUE!</v>
      </c>
    </row>
    <row r="87" spans="1:24" ht="15" customHeight="1" outlineLevel="1" x14ac:dyDescent="0.2">
      <c r="A87" s="96"/>
      <c r="B87"/>
      <c r="C87"/>
      <c r="D87"/>
      <c r="E87"/>
      <c r="F87" s="10"/>
      <c r="G87" s="96"/>
      <c r="H87"/>
      <c r="I87"/>
      <c r="J87"/>
      <c r="K87"/>
      <c r="M87" s="90">
        <f t="shared" si="6"/>
        <v>45931</v>
      </c>
      <c r="N87" s="36">
        <f t="shared" si="4"/>
        <v>0</v>
      </c>
      <c r="O87" s="37">
        <f t="shared" si="4"/>
        <v>0</v>
      </c>
      <c r="P87" s="94">
        <f t="shared" si="5"/>
        <v>0</v>
      </c>
      <c r="R87" s="38">
        <f>SourceEnergy!B94</f>
        <v>45931</v>
      </c>
      <c r="S87" s="39">
        <v>39.846649999999997</v>
      </c>
      <c r="T87" s="40">
        <v>35.32123</v>
      </c>
      <c r="U87" s="41" t="e">
        <f>IF(AND(Shape_Annually="Yes",Shape_Start&lt;=W78),W85,IF(ISNUMBER(SourceEnergy!$C94),IF(SourceEnergy!$C94&lt;0,SourceEnergy!$C94/(SourceEnergy!$G94*T87+SourceEnergy!$H94*S87),SourceEnergy!$C94/(SourceEnergy!$G94*S87+SourceEnergy!$H94*T87)),""))</f>
        <v>#VALUE!</v>
      </c>
    </row>
    <row r="88" spans="1:24" ht="15" customHeight="1" outlineLevel="1" x14ac:dyDescent="0.2">
      <c r="A88" s="96"/>
      <c r="B88"/>
      <c r="C88"/>
      <c r="D88"/>
      <c r="E88"/>
      <c r="F88" s="10"/>
      <c r="G88" s="96"/>
      <c r="H88"/>
      <c r="I88"/>
      <c r="J88"/>
      <c r="K88"/>
      <c r="M88" s="90">
        <f t="shared" si="6"/>
        <v>45962</v>
      </c>
      <c r="N88" s="36">
        <f t="shared" si="4"/>
        <v>0</v>
      </c>
      <c r="O88" s="37">
        <f t="shared" si="4"/>
        <v>0</v>
      </c>
      <c r="P88" s="94">
        <f t="shared" si="5"/>
        <v>0</v>
      </c>
      <c r="R88" s="38">
        <f>SourceEnergy!B95</f>
        <v>45962</v>
      </c>
      <c r="S88" s="39">
        <v>40.595700000000001</v>
      </c>
      <c r="T88" s="40">
        <v>35.878540000000001</v>
      </c>
      <c r="U88" s="41" t="e">
        <f>IF(AND(Shape_Annually="Yes",Shape_Start&lt;=W78),W85,IF(ISNUMBER(SourceEnergy!$C95),IF(SourceEnergy!$C95&lt;0,SourceEnergy!$C95/(SourceEnergy!$G95*T88+SourceEnergy!$H95*S88),SourceEnergy!$C95/(SourceEnergy!$G95*S88+SourceEnergy!$H95*T88)),""))</f>
        <v>#VALUE!</v>
      </c>
    </row>
    <row r="89" spans="1:24" ht="15" customHeight="1" outlineLevel="1" x14ac:dyDescent="0.2">
      <c r="A89" s="96"/>
      <c r="B89"/>
      <c r="C89"/>
      <c r="D89"/>
      <c r="E89"/>
      <c r="F89" s="10"/>
      <c r="G89" s="96"/>
      <c r="H89"/>
      <c r="I89"/>
      <c r="J89"/>
      <c r="K89"/>
      <c r="M89" s="91">
        <f t="shared" si="6"/>
        <v>45992</v>
      </c>
      <c r="N89" s="43">
        <f t="shared" si="4"/>
        <v>0</v>
      </c>
      <c r="O89" s="44">
        <f t="shared" si="4"/>
        <v>0</v>
      </c>
      <c r="P89" s="95">
        <f t="shared" si="5"/>
        <v>0</v>
      </c>
      <c r="R89" s="45">
        <f>SourceEnergy!B96</f>
        <v>45992</v>
      </c>
      <c r="S89" s="46">
        <v>43.911409999999997</v>
      </c>
      <c r="T89" s="47">
        <v>37.95872</v>
      </c>
      <c r="U89" s="48" t="e">
        <f>IF(AND(Shape_Annually="Yes",Shape_Start&lt;=W78),W85,IF(ISNUMBER(SourceEnergy!$C96),IF(SourceEnergy!$C96&lt;0,SourceEnergy!$C96/(SourceEnergy!$G96*T89+SourceEnergy!$H96*S89),SourceEnergy!$C96/(SourceEnergy!$G96*S89+SourceEnergy!$H96*T89)),""))</f>
        <v>#VALUE!</v>
      </c>
    </row>
    <row r="90" spans="1:24" ht="15" customHeight="1" outlineLevel="1" x14ac:dyDescent="0.2">
      <c r="A90" s="96"/>
      <c r="B90"/>
      <c r="C90"/>
      <c r="D90"/>
      <c r="E90"/>
      <c r="F90" s="10"/>
      <c r="G90" s="96"/>
      <c r="H90"/>
      <c r="I90"/>
      <c r="J90"/>
      <c r="K90"/>
      <c r="M90" s="92">
        <f t="shared" si="6"/>
        <v>46023</v>
      </c>
      <c r="N90" s="28">
        <f t="shared" si="4"/>
        <v>0</v>
      </c>
      <c r="O90" s="29">
        <f t="shared" si="4"/>
        <v>0</v>
      </c>
      <c r="P90" s="93">
        <f t="shared" si="5"/>
        <v>0</v>
      </c>
      <c r="R90" s="30">
        <f>SourceEnergy!B97</f>
        <v>46023</v>
      </c>
      <c r="S90" s="31">
        <v>43.427729999999997</v>
      </c>
      <c r="T90" s="32">
        <v>37.343609999999998</v>
      </c>
      <c r="U90" s="33" t="e">
        <f>IF(AND(Shape_Annually="Yes",Shape_Start&lt;=W90),W97,IF(ISNUMBER(SourceEnergy!$C97),IF(SourceEnergy!$C97&lt;0,SourceEnergy!$C97/(SourceEnergy!$G97*T90+SourceEnergy!$H97*S90),SourceEnergy!$C97/(SourceEnergy!$G97*S90+SourceEnergy!$H97*T90)),""))</f>
        <v>#VALUE!</v>
      </c>
      <c r="W90" s="34">
        <f>YEAR(M90)</f>
        <v>2026</v>
      </c>
      <c r="X90" s="35"/>
    </row>
    <row r="91" spans="1:24" ht="15" customHeight="1" outlineLevel="1" x14ac:dyDescent="0.2">
      <c r="A91" s="96"/>
      <c r="B91"/>
      <c r="C91"/>
      <c r="D91"/>
      <c r="E91"/>
      <c r="F91" s="10"/>
      <c r="G91" s="96"/>
      <c r="H91"/>
      <c r="I91"/>
      <c r="J91"/>
      <c r="K91"/>
      <c r="M91" s="90">
        <f t="shared" si="6"/>
        <v>46054</v>
      </c>
      <c r="N91" s="36">
        <f t="shared" ref="N91:O110" si="7">SUMIFS($E$6:$E$245,$A$6:$A$245,$M91,$D$6:$D$245,N$5)</f>
        <v>0</v>
      </c>
      <c r="O91" s="37">
        <f t="shared" si="7"/>
        <v>0</v>
      </c>
      <c r="P91" s="94">
        <f t="shared" si="5"/>
        <v>0</v>
      </c>
      <c r="R91" s="38">
        <f>SourceEnergy!B98</f>
        <v>46054</v>
      </c>
      <c r="S91" s="39">
        <v>42.471910000000001</v>
      </c>
      <c r="T91" s="40">
        <v>37.739919999999998</v>
      </c>
      <c r="U91" s="41" t="e">
        <f>IF(AND(Shape_Annually="Yes",Shape_Start&lt;=W90),W97,IF(ISNUMBER(SourceEnergy!$C98),IF(SourceEnergy!$C98&lt;0,SourceEnergy!$C98/(SourceEnergy!$G98*T91+SourceEnergy!$H98*S91),SourceEnergy!$C98/(SourceEnergy!$G98*S91+SourceEnergy!$H98*T91)),""))</f>
        <v>#VALUE!</v>
      </c>
      <c r="W91" s="12">
        <f>SUMPRODUCT(N90:N101,S90:S101)+SUMPRODUCT(O90:O101,T90:T101)</f>
        <v>0</v>
      </c>
      <c r="X91" s="12" t="s">
        <v>78</v>
      </c>
    </row>
    <row r="92" spans="1:24" ht="15" customHeight="1" outlineLevel="1" x14ac:dyDescent="0.2">
      <c r="A92" s="96"/>
      <c r="B92"/>
      <c r="C92"/>
      <c r="D92"/>
      <c r="E92"/>
      <c r="F92" s="10"/>
      <c r="G92" s="96"/>
      <c r="H92"/>
      <c r="I92"/>
      <c r="J92"/>
      <c r="K92"/>
      <c r="M92" s="90">
        <f t="shared" si="6"/>
        <v>46082</v>
      </c>
      <c r="N92" s="36">
        <f t="shared" si="7"/>
        <v>0</v>
      </c>
      <c r="O92" s="37">
        <f t="shared" si="7"/>
        <v>0</v>
      </c>
      <c r="P92" s="94">
        <f t="shared" si="5"/>
        <v>0</v>
      </c>
      <c r="R92" s="38">
        <f>SourceEnergy!B99</f>
        <v>46082</v>
      </c>
      <c r="S92" s="39">
        <v>39.286560000000001</v>
      </c>
      <c r="T92" s="40">
        <v>35.72598</v>
      </c>
      <c r="U92" s="41" t="e">
        <f>IF(AND(Shape_Annually="Yes",Shape_Start&lt;=W90),W97,IF(ISNUMBER(SourceEnergy!$C99),IF(SourceEnergy!$C99&lt;0,SourceEnergy!$C99/(SourceEnergy!$G99*T92+SourceEnergy!$H99*S92),SourceEnergy!$C99/(SourceEnergy!$G99*S92+SourceEnergy!$H99*T92)),""))</f>
        <v>#VALUE!</v>
      </c>
    </row>
    <row r="93" spans="1:24" ht="15" customHeight="1" outlineLevel="1" x14ac:dyDescent="0.2">
      <c r="A93" s="96"/>
      <c r="B93"/>
      <c r="C93"/>
      <c r="D93"/>
      <c r="E93"/>
      <c r="F93" s="10"/>
      <c r="G93" s="96"/>
      <c r="H93"/>
      <c r="I93"/>
      <c r="J93"/>
      <c r="K93"/>
      <c r="M93" s="90">
        <f t="shared" si="6"/>
        <v>46113</v>
      </c>
      <c r="N93" s="36">
        <f t="shared" si="7"/>
        <v>0</v>
      </c>
      <c r="O93" s="37">
        <f t="shared" si="7"/>
        <v>0</v>
      </c>
      <c r="P93" s="94">
        <f t="shared" si="5"/>
        <v>0</v>
      </c>
      <c r="R93" s="38">
        <f>SourceEnergy!B100</f>
        <v>46113</v>
      </c>
      <c r="S93" s="39">
        <v>37.33596</v>
      </c>
      <c r="T93" s="40">
        <v>35.400739999999999</v>
      </c>
      <c r="U93" s="41" t="e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#VALUE!</v>
      </c>
      <c r="W93" s="12">
        <f>VLOOKUP(W90,'[1]Table 5'!$L$16:$N$36,2,FALSE)</f>
        <v>0</v>
      </c>
      <c r="X93" s="12" t="s">
        <v>79</v>
      </c>
    </row>
    <row r="94" spans="1:24" ht="15" customHeight="1" outlineLevel="1" x14ac:dyDescent="0.2">
      <c r="A94" s="96"/>
      <c r="B94"/>
      <c r="C94"/>
      <c r="D94"/>
      <c r="E94"/>
      <c r="F94" s="10"/>
      <c r="G94" s="96"/>
      <c r="H94"/>
      <c r="I94"/>
      <c r="J94"/>
      <c r="K94"/>
      <c r="M94" s="90">
        <f t="shared" si="6"/>
        <v>46143</v>
      </c>
      <c r="N94" s="36">
        <f t="shared" si="7"/>
        <v>0</v>
      </c>
      <c r="O94" s="37">
        <f t="shared" si="7"/>
        <v>0</v>
      </c>
      <c r="P94" s="94">
        <f t="shared" si="5"/>
        <v>0</v>
      </c>
      <c r="R94" s="38">
        <f>SourceEnergy!B101</f>
        <v>46143</v>
      </c>
      <c r="S94" s="39">
        <v>37.528599999999997</v>
      </c>
      <c r="T94" s="40">
        <v>34.39472</v>
      </c>
      <c r="U94" s="41" t="e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#VALUE!</v>
      </c>
      <c r="W94" s="12">
        <f>VLOOKUP(W90,'[1]Table 5'!$L$16:$N$36,3,FALSE)</f>
        <v>0</v>
      </c>
      <c r="X94" s="12" t="s">
        <v>80</v>
      </c>
    </row>
    <row r="95" spans="1:24" ht="15" customHeight="1" outlineLevel="1" x14ac:dyDescent="0.2">
      <c r="A95" s="96"/>
      <c r="B95"/>
      <c r="C95"/>
      <c r="D95"/>
      <c r="E95"/>
      <c r="F95" s="10"/>
      <c r="G95" s="96"/>
      <c r="H95"/>
      <c r="I95"/>
      <c r="J95"/>
      <c r="K95"/>
      <c r="M95" s="90">
        <f t="shared" si="6"/>
        <v>46174</v>
      </c>
      <c r="N95" s="36">
        <f t="shared" si="7"/>
        <v>0</v>
      </c>
      <c r="O95" s="37">
        <f t="shared" si="7"/>
        <v>0</v>
      </c>
      <c r="P95" s="94">
        <f t="shared" si="5"/>
        <v>0</v>
      </c>
      <c r="R95" s="38">
        <f>SourceEnergy!B102</f>
        <v>46174</v>
      </c>
      <c r="S95" s="39">
        <v>45.82347</v>
      </c>
      <c r="T95" s="40">
        <v>37.57497</v>
      </c>
      <c r="U95" s="41" t="e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#VALUE!</v>
      </c>
      <c r="W95" s="12">
        <f>W93+W94</f>
        <v>0</v>
      </c>
      <c r="X95" s="12" t="s">
        <v>81</v>
      </c>
    </row>
    <row r="96" spans="1:24" ht="15" customHeight="1" outlineLevel="1" x14ac:dyDescent="0.2">
      <c r="A96" s="96"/>
      <c r="B96"/>
      <c r="C96"/>
      <c r="D96"/>
      <c r="E96"/>
      <c r="F96" s="10"/>
      <c r="G96" s="96"/>
      <c r="H96"/>
      <c r="I96"/>
      <c r="J96"/>
      <c r="K96"/>
      <c r="M96" s="90">
        <f t="shared" si="6"/>
        <v>46204</v>
      </c>
      <c r="N96" s="36">
        <f t="shared" si="7"/>
        <v>0</v>
      </c>
      <c r="O96" s="37">
        <f t="shared" si="7"/>
        <v>0</v>
      </c>
      <c r="P96" s="94">
        <f t="shared" si="5"/>
        <v>0</v>
      </c>
      <c r="R96" s="38">
        <f>SourceEnergy!B103</f>
        <v>46204</v>
      </c>
      <c r="S96" s="39">
        <v>64.52852</v>
      </c>
      <c r="T96" s="40">
        <v>45.810420000000001</v>
      </c>
      <c r="U96" s="41" t="e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#VALUE!</v>
      </c>
    </row>
    <row r="97" spans="1:24" ht="15" customHeight="1" outlineLevel="1" x14ac:dyDescent="0.2">
      <c r="A97" s="96"/>
      <c r="B97"/>
      <c r="C97"/>
      <c r="D97"/>
      <c r="E97"/>
      <c r="F97" s="10"/>
      <c r="G97" s="96"/>
      <c r="H97"/>
      <c r="I97"/>
      <c r="J97"/>
      <c r="K97"/>
      <c r="M97" s="90">
        <f t="shared" si="6"/>
        <v>46235</v>
      </c>
      <c r="N97" s="36">
        <f t="shared" si="7"/>
        <v>0</v>
      </c>
      <c r="O97" s="37">
        <f t="shared" si="7"/>
        <v>0</v>
      </c>
      <c r="P97" s="94">
        <f t="shared" si="5"/>
        <v>0</v>
      </c>
      <c r="R97" s="38">
        <f>SourceEnergy!B104</f>
        <v>46235</v>
      </c>
      <c r="S97" s="39">
        <v>65.895290000000003</v>
      </c>
      <c r="T97" s="40">
        <v>48.11562</v>
      </c>
      <c r="U97" s="41" t="e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#VALUE!</v>
      </c>
      <c r="W97" s="42" t="e">
        <f>W95/W91</f>
        <v>#DIV/0!</v>
      </c>
      <c r="X97" s="12" t="s">
        <v>82</v>
      </c>
    </row>
    <row r="98" spans="1:24" ht="15" customHeight="1" outlineLevel="1" x14ac:dyDescent="0.2">
      <c r="A98" s="96"/>
      <c r="B98"/>
      <c r="C98"/>
      <c r="D98"/>
      <c r="E98"/>
      <c r="F98" s="10"/>
      <c r="G98" s="96"/>
      <c r="H98"/>
      <c r="I98"/>
      <c r="J98"/>
      <c r="K98"/>
      <c r="M98" s="90">
        <f t="shared" si="6"/>
        <v>46266</v>
      </c>
      <c r="N98" s="36">
        <f t="shared" si="7"/>
        <v>0</v>
      </c>
      <c r="O98" s="37">
        <f t="shared" si="7"/>
        <v>0</v>
      </c>
      <c r="P98" s="94">
        <f t="shared" si="5"/>
        <v>0</v>
      </c>
      <c r="R98" s="38">
        <f>SourceEnergy!B105</f>
        <v>46266</v>
      </c>
      <c r="S98" s="39">
        <v>58.76023</v>
      </c>
      <c r="T98" s="40">
        <v>43.236330000000002</v>
      </c>
      <c r="U98" s="41" t="e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#VALUE!</v>
      </c>
    </row>
    <row r="99" spans="1:24" ht="15" customHeight="1" outlineLevel="1" x14ac:dyDescent="0.2">
      <c r="A99" s="96"/>
      <c r="B99"/>
      <c r="C99"/>
      <c r="D99"/>
      <c r="E99"/>
      <c r="F99" s="10"/>
      <c r="G99" s="96"/>
      <c r="H99"/>
      <c r="I99"/>
      <c r="J99"/>
      <c r="K99"/>
      <c r="M99" s="90">
        <f t="shared" si="6"/>
        <v>46296</v>
      </c>
      <c r="N99" s="36">
        <f t="shared" si="7"/>
        <v>0</v>
      </c>
      <c r="O99" s="37">
        <f t="shared" si="7"/>
        <v>0</v>
      </c>
      <c r="P99" s="94">
        <f t="shared" si="5"/>
        <v>0</v>
      </c>
      <c r="R99" s="38">
        <f>SourceEnergy!B106</f>
        <v>46296</v>
      </c>
      <c r="S99" s="39">
        <v>40.590820000000001</v>
      </c>
      <c r="T99" s="40">
        <v>36.088639999999998</v>
      </c>
      <c r="U99" s="41" t="e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#VALUE!</v>
      </c>
    </row>
    <row r="100" spans="1:24" ht="15" customHeight="1" outlineLevel="1" x14ac:dyDescent="0.2">
      <c r="A100" s="96"/>
      <c r="B100"/>
      <c r="C100"/>
      <c r="D100"/>
      <c r="E100"/>
      <c r="F100" s="10"/>
      <c r="G100" s="96"/>
      <c r="H100"/>
      <c r="I100"/>
      <c r="J100"/>
      <c r="K100"/>
      <c r="M100" s="90">
        <f t="shared" si="6"/>
        <v>46327</v>
      </c>
      <c r="N100" s="36">
        <f t="shared" si="7"/>
        <v>0</v>
      </c>
      <c r="O100" s="37">
        <f t="shared" si="7"/>
        <v>0</v>
      </c>
      <c r="P100" s="94">
        <f t="shared" si="5"/>
        <v>0</v>
      </c>
      <c r="R100" s="38">
        <f>SourceEnergy!B107</f>
        <v>46327</v>
      </c>
      <c r="S100" s="39">
        <v>43.530090000000001</v>
      </c>
      <c r="T100" s="40">
        <v>37.752519999999997</v>
      </c>
      <c r="U100" s="41" t="e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#VALUE!</v>
      </c>
    </row>
    <row r="101" spans="1:24" ht="15" customHeight="1" outlineLevel="1" x14ac:dyDescent="0.2">
      <c r="A101" s="96"/>
      <c r="B101"/>
      <c r="C101"/>
      <c r="D101"/>
      <c r="E101"/>
      <c r="F101" s="10"/>
      <c r="G101" s="96"/>
      <c r="H101"/>
      <c r="I101"/>
      <c r="J101"/>
      <c r="K101"/>
      <c r="M101" s="91">
        <f t="shared" si="6"/>
        <v>46357</v>
      </c>
      <c r="N101" s="43">
        <f t="shared" si="7"/>
        <v>0</v>
      </c>
      <c r="O101" s="44">
        <f t="shared" si="7"/>
        <v>0</v>
      </c>
      <c r="P101" s="95">
        <f t="shared" si="5"/>
        <v>0</v>
      </c>
      <c r="R101" s="45">
        <f>SourceEnergy!B108</f>
        <v>46357</v>
      </c>
      <c r="S101" s="46">
        <v>45.18262</v>
      </c>
      <c r="T101" s="47">
        <v>39.318820000000002</v>
      </c>
      <c r="U101" s="48" t="e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#VALUE!</v>
      </c>
    </row>
    <row r="102" spans="1:24" ht="15" customHeight="1" outlineLevel="1" x14ac:dyDescent="0.2">
      <c r="A102" s="96"/>
      <c r="B102"/>
      <c r="C102"/>
      <c r="D102"/>
      <c r="E102"/>
      <c r="F102" s="10"/>
      <c r="G102" s="96"/>
      <c r="H102"/>
      <c r="I102"/>
      <c r="J102"/>
      <c r="K102"/>
      <c r="M102" s="92">
        <f t="shared" si="6"/>
        <v>46388</v>
      </c>
      <c r="N102" s="28">
        <f t="shared" si="7"/>
        <v>0</v>
      </c>
      <c r="O102" s="29">
        <f t="shared" si="7"/>
        <v>0</v>
      </c>
      <c r="P102" s="93">
        <f t="shared" si="5"/>
        <v>0</v>
      </c>
      <c r="R102" s="30">
        <f>SourceEnergy!B109</f>
        <v>46388</v>
      </c>
      <c r="S102" s="31">
        <v>44.692659999999997</v>
      </c>
      <c r="T102" s="32">
        <v>38.536830000000002</v>
      </c>
      <c r="U102" s="33" t="e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#VALUE!</v>
      </c>
      <c r="W102" s="34">
        <f>YEAR(M102)</f>
        <v>2027</v>
      </c>
      <c r="X102" s="35"/>
    </row>
    <row r="103" spans="1:24" ht="15" customHeight="1" outlineLevel="1" x14ac:dyDescent="0.2">
      <c r="A103" s="96"/>
      <c r="B103"/>
      <c r="C103"/>
      <c r="D103"/>
      <c r="E103"/>
      <c r="F103" s="10"/>
      <c r="G103" s="96"/>
      <c r="H103"/>
      <c r="I103"/>
      <c r="J103"/>
      <c r="K103"/>
      <c r="M103" s="90">
        <f t="shared" si="6"/>
        <v>46419</v>
      </c>
      <c r="N103" s="36">
        <f t="shared" si="7"/>
        <v>0</v>
      </c>
      <c r="O103" s="37">
        <f t="shared" si="7"/>
        <v>0</v>
      </c>
      <c r="P103" s="94">
        <f t="shared" si="5"/>
        <v>0</v>
      </c>
      <c r="R103" s="38">
        <f>SourceEnergy!B110</f>
        <v>46419</v>
      </c>
      <c r="S103" s="39">
        <v>43.56438</v>
      </c>
      <c r="T103" s="40">
        <v>38.645510000000002</v>
      </c>
      <c r="U103" s="41" t="e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#VALUE!</v>
      </c>
      <c r="W103" s="12">
        <f>SUMPRODUCT(N102:N113,S102:S113)+SUMPRODUCT(O102:O113,T102:T113)</f>
        <v>0</v>
      </c>
      <c r="X103" s="12" t="s">
        <v>78</v>
      </c>
    </row>
    <row r="104" spans="1:24" ht="15" customHeight="1" outlineLevel="1" x14ac:dyDescent="0.2">
      <c r="A104" s="96"/>
      <c r="B104"/>
      <c r="C104"/>
      <c r="D104"/>
      <c r="E104"/>
      <c r="F104" s="10"/>
      <c r="G104" s="96"/>
      <c r="H104"/>
      <c r="I104"/>
      <c r="J104"/>
      <c r="K104"/>
      <c r="M104" s="90">
        <f t="shared" si="6"/>
        <v>46447</v>
      </c>
      <c r="N104" s="36">
        <f t="shared" si="7"/>
        <v>0</v>
      </c>
      <c r="O104" s="37">
        <f t="shared" si="7"/>
        <v>0</v>
      </c>
      <c r="P104" s="94">
        <f t="shared" si="5"/>
        <v>0</v>
      </c>
      <c r="R104" s="38">
        <f>SourceEnergy!B111</f>
        <v>46447</v>
      </c>
      <c r="S104" s="39">
        <v>38.727060000000002</v>
      </c>
      <c r="T104" s="40">
        <v>35.232610000000001</v>
      </c>
      <c r="U104" s="41" t="e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#VALUE!</v>
      </c>
    </row>
    <row r="105" spans="1:24" ht="15" customHeight="1" outlineLevel="1" x14ac:dyDescent="0.2">
      <c r="A105" s="96"/>
      <c r="B105"/>
      <c r="C105"/>
      <c r="D105"/>
      <c r="E105"/>
      <c r="F105" s="10"/>
      <c r="G105" s="96"/>
      <c r="H105"/>
      <c r="I105"/>
      <c r="J105"/>
      <c r="K105"/>
      <c r="M105" s="90">
        <f t="shared" si="6"/>
        <v>46478</v>
      </c>
      <c r="N105" s="36">
        <f t="shared" si="7"/>
        <v>0</v>
      </c>
      <c r="O105" s="37">
        <f t="shared" si="7"/>
        <v>0</v>
      </c>
      <c r="P105" s="94">
        <f t="shared" si="5"/>
        <v>0</v>
      </c>
      <c r="R105" s="38">
        <f>SourceEnergy!B112</f>
        <v>46478</v>
      </c>
      <c r="S105" s="39">
        <v>37.25544</v>
      </c>
      <c r="T105" s="40">
        <v>34.32582</v>
      </c>
      <c r="U105" s="41" t="e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#VALUE!</v>
      </c>
      <c r="W105" s="12">
        <f>VLOOKUP(W102,'[1]Table 5'!$L$16:$N$36,2,FALSE)</f>
        <v>0</v>
      </c>
      <c r="X105" s="12" t="s">
        <v>79</v>
      </c>
    </row>
    <row r="106" spans="1:24" ht="15" customHeight="1" outlineLevel="1" x14ac:dyDescent="0.2">
      <c r="A106" s="96"/>
      <c r="B106"/>
      <c r="C106"/>
      <c r="D106"/>
      <c r="E106"/>
      <c r="F106" s="10"/>
      <c r="G106" s="96"/>
      <c r="H106"/>
      <c r="I106"/>
      <c r="J106"/>
      <c r="K106"/>
      <c r="M106" s="90">
        <f t="shared" si="6"/>
        <v>46508</v>
      </c>
      <c r="N106" s="36">
        <f t="shared" si="7"/>
        <v>0</v>
      </c>
      <c r="O106" s="37">
        <f t="shared" si="7"/>
        <v>0</v>
      </c>
      <c r="P106" s="94">
        <f t="shared" si="5"/>
        <v>0</v>
      </c>
      <c r="R106" s="38">
        <f>SourceEnergy!B113</f>
        <v>46508</v>
      </c>
      <c r="S106" s="39">
        <v>39.332689999999999</v>
      </c>
      <c r="T106" s="40">
        <v>35.724510000000002</v>
      </c>
      <c r="U106" s="41" t="e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#VALUE!</v>
      </c>
      <c r="W106" s="12">
        <f>VLOOKUP(W102,'[1]Table 5'!$L$16:$N$36,3,FALSE)</f>
        <v>0</v>
      </c>
      <c r="X106" s="12" t="s">
        <v>80</v>
      </c>
    </row>
    <row r="107" spans="1:24" ht="15" customHeight="1" outlineLevel="1" x14ac:dyDescent="0.2">
      <c r="A107" s="96"/>
      <c r="B107"/>
      <c r="C107"/>
      <c r="D107"/>
      <c r="E107"/>
      <c r="F107" s="10"/>
      <c r="G107" s="96"/>
      <c r="H107"/>
      <c r="I107"/>
      <c r="J107"/>
      <c r="K107"/>
      <c r="M107" s="90">
        <f t="shared" si="6"/>
        <v>46539</v>
      </c>
      <c r="N107" s="36">
        <f t="shared" si="7"/>
        <v>0</v>
      </c>
      <c r="O107" s="37">
        <f t="shared" si="7"/>
        <v>0</v>
      </c>
      <c r="P107" s="94">
        <f t="shared" si="5"/>
        <v>0</v>
      </c>
      <c r="R107" s="38">
        <f>SourceEnergy!B114</f>
        <v>46539</v>
      </c>
      <c r="S107" s="39">
        <v>47.8461</v>
      </c>
      <c r="T107" s="40">
        <v>38.997239999999998</v>
      </c>
      <c r="U107" s="41" t="e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#VALUE!</v>
      </c>
      <c r="W107" s="12">
        <f>W105+W106</f>
        <v>0</v>
      </c>
      <c r="X107" s="12" t="s">
        <v>81</v>
      </c>
    </row>
    <row r="108" spans="1:24" ht="15" customHeight="1" outlineLevel="1" x14ac:dyDescent="0.2">
      <c r="A108" s="96"/>
      <c r="B108"/>
      <c r="C108"/>
      <c r="D108"/>
      <c r="E108"/>
      <c r="F108" s="10"/>
      <c r="G108" s="96"/>
      <c r="H108"/>
      <c r="I108"/>
      <c r="J108"/>
      <c r="K108"/>
      <c r="M108" s="90">
        <f t="shared" si="6"/>
        <v>46569</v>
      </c>
      <c r="N108" s="36">
        <f t="shared" si="7"/>
        <v>0</v>
      </c>
      <c r="O108" s="37">
        <f t="shared" si="7"/>
        <v>0</v>
      </c>
      <c r="P108" s="94">
        <f t="shared" si="5"/>
        <v>0</v>
      </c>
      <c r="R108" s="38">
        <f>SourceEnergy!B115</f>
        <v>46569</v>
      </c>
      <c r="S108" s="39">
        <v>65.540109999999999</v>
      </c>
      <c r="T108" s="40">
        <v>47.487830000000002</v>
      </c>
      <c r="U108" s="41" t="e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#VALUE!</v>
      </c>
    </row>
    <row r="109" spans="1:24" ht="15" customHeight="1" outlineLevel="1" x14ac:dyDescent="0.2">
      <c r="A109" s="96"/>
      <c r="B109"/>
      <c r="C109"/>
      <c r="D109"/>
      <c r="E109"/>
      <c r="F109" s="10"/>
      <c r="G109" s="96"/>
      <c r="H109"/>
      <c r="I109"/>
      <c r="J109"/>
      <c r="K109"/>
      <c r="M109" s="90">
        <f t="shared" si="6"/>
        <v>46600</v>
      </c>
      <c r="N109" s="36">
        <f t="shared" si="7"/>
        <v>0</v>
      </c>
      <c r="O109" s="37">
        <f t="shared" si="7"/>
        <v>0</v>
      </c>
      <c r="P109" s="94">
        <f t="shared" si="5"/>
        <v>0</v>
      </c>
      <c r="R109" s="38">
        <f>SourceEnergy!B116</f>
        <v>46600</v>
      </c>
      <c r="S109" s="39">
        <v>67.733249999999998</v>
      </c>
      <c r="T109" s="40">
        <v>49.898859999999999</v>
      </c>
      <c r="U109" s="41" t="e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#VALUE!</v>
      </c>
      <c r="W109" s="42" t="e">
        <f>W107/W103</f>
        <v>#DIV/0!</v>
      </c>
      <c r="X109" s="12" t="s">
        <v>82</v>
      </c>
    </row>
    <row r="110" spans="1:24" ht="15" customHeight="1" outlineLevel="1" x14ac:dyDescent="0.2">
      <c r="A110" s="96"/>
      <c r="B110"/>
      <c r="C110"/>
      <c r="D110"/>
      <c r="E110"/>
      <c r="F110" s="10"/>
      <c r="G110" s="96"/>
      <c r="H110"/>
      <c r="I110"/>
      <c r="J110"/>
      <c r="K110"/>
      <c r="M110" s="90">
        <f t="shared" si="6"/>
        <v>46631</v>
      </c>
      <c r="N110" s="36">
        <f t="shared" si="7"/>
        <v>0</v>
      </c>
      <c r="O110" s="37">
        <f t="shared" si="7"/>
        <v>0</v>
      </c>
      <c r="P110" s="94">
        <f t="shared" si="5"/>
        <v>0</v>
      </c>
      <c r="R110" s="38">
        <f>SourceEnergy!B117</f>
        <v>46631</v>
      </c>
      <c r="S110" s="39">
        <v>61.41581</v>
      </c>
      <c r="T110" s="40">
        <v>46.191569999999999</v>
      </c>
      <c r="U110" s="41" t="e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#VALUE!</v>
      </c>
    </row>
    <row r="111" spans="1:24" ht="15" customHeight="1" outlineLevel="1" x14ac:dyDescent="0.2">
      <c r="A111" s="96"/>
      <c r="B111"/>
      <c r="C111"/>
      <c r="D111"/>
      <c r="E111"/>
      <c r="F111" s="10"/>
      <c r="G111" s="96"/>
      <c r="H111"/>
      <c r="I111"/>
      <c r="J111"/>
      <c r="K111"/>
      <c r="M111" s="90">
        <f t="shared" si="6"/>
        <v>46661</v>
      </c>
      <c r="N111" s="36">
        <f t="shared" ref="N111:O125" si="8">SUMIFS($E$6:$E$245,$A$6:$A$245,$M111,$D$6:$D$245,N$5)</f>
        <v>0</v>
      </c>
      <c r="O111" s="37">
        <f t="shared" si="8"/>
        <v>0</v>
      </c>
      <c r="P111" s="94">
        <f t="shared" si="5"/>
        <v>0</v>
      </c>
      <c r="R111" s="38">
        <f>SourceEnergy!B118</f>
        <v>46661</v>
      </c>
      <c r="S111" s="39">
        <v>44.265929999999997</v>
      </c>
      <c r="T111" s="40">
        <v>38.640689999999999</v>
      </c>
      <c r="U111" s="41" t="e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#VALUE!</v>
      </c>
    </row>
    <row r="112" spans="1:24" ht="15" customHeight="1" outlineLevel="1" x14ac:dyDescent="0.2">
      <c r="A112" s="96"/>
      <c r="B112"/>
      <c r="C112"/>
      <c r="D112"/>
      <c r="E112"/>
      <c r="F112" s="10"/>
      <c r="G112" s="96"/>
      <c r="H112"/>
      <c r="I112"/>
      <c r="J112"/>
      <c r="K112"/>
      <c r="M112" s="90">
        <f t="shared" si="6"/>
        <v>46692</v>
      </c>
      <c r="N112" s="36">
        <f t="shared" si="8"/>
        <v>0</v>
      </c>
      <c r="O112" s="37">
        <f t="shared" si="8"/>
        <v>0</v>
      </c>
      <c r="P112" s="94">
        <f t="shared" si="5"/>
        <v>0</v>
      </c>
      <c r="R112" s="38">
        <f>SourceEnergy!B119</f>
        <v>46692</v>
      </c>
      <c r="S112" s="39">
        <v>42.978290000000001</v>
      </c>
      <c r="T112" s="40">
        <v>37.899189999999997</v>
      </c>
      <c r="U112" s="41" t="e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#VALUE!</v>
      </c>
    </row>
    <row r="113" spans="1:24" ht="15" customHeight="1" outlineLevel="1" x14ac:dyDescent="0.2">
      <c r="A113" s="96"/>
      <c r="B113"/>
      <c r="C113"/>
      <c r="D113"/>
      <c r="E113"/>
      <c r="F113" s="10"/>
      <c r="G113" s="96"/>
      <c r="H113"/>
      <c r="I113"/>
      <c r="J113"/>
      <c r="K113"/>
      <c r="M113" s="91">
        <f t="shared" si="6"/>
        <v>46722</v>
      </c>
      <c r="N113" s="43">
        <f t="shared" si="8"/>
        <v>0</v>
      </c>
      <c r="O113" s="44">
        <f t="shared" si="8"/>
        <v>0</v>
      </c>
      <c r="P113" s="95">
        <f t="shared" si="5"/>
        <v>0</v>
      </c>
      <c r="R113" s="45">
        <f>SourceEnergy!B120</f>
        <v>46722</v>
      </c>
      <c r="S113" s="46">
        <v>46.465029999999999</v>
      </c>
      <c r="T113" s="47">
        <v>40.782229999999998</v>
      </c>
      <c r="U113" s="48" t="e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#VALUE!</v>
      </c>
    </row>
    <row r="114" spans="1:24" ht="15" customHeight="1" outlineLevel="1" collapsed="1" x14ac:dyDescent="0.2">
      <c r="A114" s="96"/>
      <c r="B114"/>
      <c r="C114"/>
      <c r="D114"/>
      <c r="E114"/>
      <c r="F114" s="10"/>
      <c r="G114" s="96"/>
      <c r="H114"/>
      <c r="I114"/>
      <c r="J114"/>
      <c r="K114"/>
      <c r="M114" s="90">
        <f t="shared" si="6"/>
        <v>46753</v>
      </c>
      <c r="N114" s="36">
        <f t="shared" si="8"/>
        <v>0</v>
      </c>
      <c r="O114" s="37">
        <f t="shared" si="8"/>
        <v>0</v>
      </c>
      <c r="P114" s="94">
        <f t="shared" si="5"/>
        <v>0</v>
      </c>
      <c r="R114" s="30">
        <f>SourceEnergy!B121</f>
        <v>46753</v>
      </c>
      <c r="S114" s="31">
        <v>46.29504</v>
      </c>
      <c r="T114" s="32">
        <v>40.105440000000002</v>
      </c>
      <c r="U114" s="33" t="e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#VALUE!</v>
      </c>
      <c r="W114" s="34">
        <f>YEAR(M114)</f>
        <v>2028</v>
      </c>
      <c r="X114" s="35"/>
    </row>
    <row r="115" spans="1:24" ht="15" customHeight="1" outlineLevel="1" x14ac:dyDescent="0.2">
      <c r="A115" s="96"/>
      <c r="B115"/>
      <c r="C115"/>
      <c r="D115"/>
      <c r="E115"/>
      <c r="F115" s="10"/>
      <c r="G115" s="96"/>
      <c r="H115"/>
      <c r="I115"/>
      <c r="J115"/>
      <c r="K115"/>
      <c r="M115" s="90">
        <f t="shared" si="6"/>
        <v>46784</v>
      </c>
      <c r="N115" s="36">
        <f t="shared" si="8"/>
        <v>0</v>
      </c>
      <c r="O115" s="37">
        <f t="shared" si="8"/>
        <v>0</v>
      </c>
      <c r="P115" s="94">
        <f t="shared" si="5"/>
        <v>0</v>
      </c>
      <c r="R115" s="38">
        <f>SourceEnergy!B122</f>
        <v>46784</v>
      </c>
      <c r="S115" s="39">
        <v>44.528320000000001</v>
      </c>
      <c r="T115" s="40">
        <v>39.917529999999999</v>
      </c>
      <c r="U115" s="41" t="e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#VALUE!</v>
      </c>
      <c r="W115" s="12">
        <f>SUMPRODUCT(N114:N125,S114:S125)+SUMPRODUCT(O114:O125,T114:T125)</f>
        <v>0</v>
      </c>
      <c r="X115" s="12" t="s">
        <v>78</v>
      </c>
    </row>
    <row r="116" spans="1:24" ht="15" customHeight="1" outlineLevel="1" x14ac:dyDescent="0.2">
      <c r="A116" s="96"/>
      <c r="B116"/>
      <c r="C116"/>
      <c r="D116"/>
      <c r="E116"/>
      <c r="F116" s="10"/>
      <c r="G116" s="96"/>
      <c r="H116"/>
      <c r="I116"/>
      <c r="J116"/>
      <c r="K116"/>
      <c r="M116" s="90">
        <f t="shared" si="6"/>
        <v>46813</v>
      </c>
      <c r="N116" s="36">
        <f t="shared" si="8"/>
        <v>0</v>
      </c>
      <c r="O116" s="37">
        <f t="shared" si="8"/>
        <v>0</v>
      </c>
      <c r="P116" s="94">
        <f t="shared" si="5"/>
        <v>0</v>
      </c>
      <c r="R116" s="38">
        <f>SourceEnergy!B123</f>
        <v>46813</v>
      </c>
      <c r="S116" s="39">
        <v>40.576920000000001</v>
      </c>
      <c r="T116" s="40">
        <v>37.09008</v>
      </c>
      <c r="U116" s="41" t="e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#VALUE!</v>
      </c>
    </row>
    <row r="117" spans="1:24" ht="15" customHeight="1" outlineLevel="1" x14ac:dyDescent="0.2">
      <c r="A117" s="96"/>
      <c r="B117"/>
      <c r="C117"/>
      <c r="D117"/>
      <c r="E117"/>
      <c r="F117" s="10"/>
      <c r="G117" s="96"/>
      <c r="H117"/>
      <c r="I117"/>
      <c r="J117"/>
      <c r="K117"/>
      <c r="M117" s="90">
        <f t="shared" si="6"/>
        <v>46844</v>
      </c>
      <c r="N117" s="36">
        <f t="shared" si="8"/>
        <v>0</v>
      </c>
      <c r="O117" s="37">
        <f t="shared" si="8"/>
        <v>0</v>
      </c>
      <c r="P117" s="94">
        <f t="shared" si="5"/>
        <v>0</v>
      </c>
      <c r="R117" s="38">
        <f>SourceEnergy!B124</f>
        <v>46844</v>
      </c>
      <c r="S117" s="39">
        <v>38.297580000000004</v>
      </c>
      <c r="T117" s="40">
        <v>35.909410000000001</v>
      </c>
      <c r="U117" s="41" t="e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#VALUE!</v>
      </c>
      <c r="W117" s="12">
        <f>VLOOKUP(W114,'[1]Table 5'!$L$16:$N$36,2,FALSE)</f>
        <v>0</v>
      </c>
      <c r="X117" s="12" t="s">
        <v>79</v>
      </c>
    </row>
    <row r="118" spans="1:24" ht="15" customHeight="1" outlineLevel="1" x14ac:dyDescent="0.2">
      <c r="A118" s="96"/>
      <c r="B118"/>
      <c r="C118"/>
      <c r="D118"/>
      <c r="E118"/>
      <c r="F118" s="10"/>
      <c r="G118" s="96"/>
      <c r="H118"/>
      <c r="I118"/>
      <c r="J118"/>
      <c r="K118"/>
      <c r="M118" s="90">
        <f t="shared" si="6"/>
        <v>46874</v>
      </c>
      <c r="N118" s="36">
        <f t="shared" si="8"/>
        <v>0</v>
      </c>
      <c r="O118" s="37">
        <f t="shared" si="8"/>
        <v>0</v>
      </c>
      <c r="P118" s="94">
        <f t="shared" si="5"/>
        <v>0</v>
      </c>
      <c r="R118" s="38">
        <f>SourceEnergy!B125</f>
        <v>46874</v>
      </c>
      <c r="S118" s="39">
        <v>42.805549999999997</v>
      </c>
      <c r="T118" s="40">
        <v>38.454720000000002</v>
      </c>
      <c r="U118" s="41" t="e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#VALUE!</v>
      </c>
      <c r="W118" s="12">
        <f>VLOOKUP(W114,'[1]Table 5'!$L$16:$N$36,3,FALSE)</f>
        <v>0</v>
      </c>
      <c r="X118" s="12" t="s">
        <v>80</v>
      </c>
    </row>
    <row r="119" spans="1:24" ht="15" customHeight="1" outlineLevel="1" x14ac:dyDescent="0.2">
      <c r="A119" s="96"/>
      <c r="B119"/>
      <c r="C119"/>
      <c r="D119"/>
      <c r="E119"/>
      <c r="F119" s="10"/>
      <c r="G119" s="96"/>
      <c r="H119"/>
      <c r="I119"/>
      <c r="J119"/>
      <c r="K119"/>
      <c r="M119" s="90">
        <f t="shared" si="6"/>
        <v>46905</v>
      </c>
      <c r="N119" s="36">
        <f t="shared" si="8"/>
        <v>0</v>
      </c>
      <c r="O119" s="37">
        <f t="shared" si="8"/>
        <v>0</v>
      </c>
      <c r="P119" s="94">
        <f t="shared" si="5"/>
        <v>0</v>
      </c>
      <c r="R119" s="38">
        <f>SourceEnergy!B126</f>
        <v>46905</v>
      </c>
      <c r="S119" s="39">
        <v>50.040210000000002</v>
      </c>
      <c r="T119" s="40">
        <v>40.651859999999999</v>
      </c>
      <c r="U119" s="41" t="e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#VALUE!</v>
      </c>
      <c r="W119" s="12">
        <f>W117+W118</f>
        <v>0</v>
      </c>
      <c r="X119" s="12" t="s">
        <v>81</v>
      </c>
    </row>
    <row r="120" spans="1:24" ht="15" customHeight="1" outlineLevel="1" x14ac:dyDescent="0.2">
      <c r="A120" s="96"/>
      <c r="B120"/>
      <c r="C120"/>
      <c r="D120"/>
      <c r="E120"/>
      <c r="F120" s="10"/>
      <c r="G120" s="96"/>
      <c r="H120"/>
      <c r="I120"/>
      <c r="J120"/>
      <c r="K120"/>
      <c r="M120" s="90">
        <f t="shared" si="6"/>
        <v>46935</v>
      </c>
      <c r="N120" s="36">
        <f t="shared" si="8"/>
        <v>0</v>
      </c>
      <c r="O120" s="37">
        <f t="shared" si="8"/>
        <v>0</v>
      </c>
      <c r="P120" s="94">
        <f t="shared" si="5"/>
        <v>0</v>
      </c>
      <c r="R120" s="38">
        <f>SourceEnergy!B127</f>
        <v>46935</v>
      </c>
      <c r="S120" s="39">
        <v>68.165890000000005</v>
      </c>
      <c r="T120" s="40">
        <v>50.118450000000003</v>
      </c>
      <c r="U120" s="41" t="e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#VALUE!</v>
      </c>
    </row>
    <row r="121" spans="1:24" ht="15" customHeight="1" outlineLevel="1" x14ac:dyDescent="0.2">
      <c r="A121" s="96"/>
      <c r="B121"/>
      <c r="C121"/>
      <c r="D121"/>
      <c r="E121"/>
      <c r="F121" s="10"/>
      <c r="G121" s="96"/>
      <c r="H121"/>
      <c r="I121"/>
      <c r="J121"/>
      <c r="K121"/>
      <c r="M121" s="90">
        <f t="shared" si="6"/>
        <v>46966</v>
      </c>
      <c r="N121" s="36">
        <f t="shared" si="8"/>
        <v>0</v>
      </c>
      <c r="O121" s="37">
        <f t="shared" si="8"/>
        <v>0</v>
      </c>
      <c r="P121" s="94">
        <f t="shared" si="5"/>
        <v>0</v>
      </c>
      <c r="R121" s="38">
        <f>SourceEnergy!B128</f>
        <v>46966</v>
      </c>
      <c r="S121" s="39">
        <v>70.360659999999996</v>
      </c>
      <c r="T121" s="40">
        <v>51.95823</v>
      </c>
      <c r="U121" s="41" t="e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#VALUE!</v>
      </c>
      <c r="W121" s="42" t="e">
        <f>W119/W115</f>
        <v>#DIV/0!</v>
      </c>
      <c r="X121" s="12" t="s">
        <v>82</v>
      </c>
    </row>
    <row r="122" spans="1:24" ht="15" customHeight="1" outlineLevel="1" x14ac:dyDescent="0.2">
      <c r="A122" s="96"/>
      <c r="B122"/>
      <c r="C122"/>
      <c r="D122"/>
      <c r="E122"/>
      <c r="F122" s="10"/>
      <c r="G122" s="96"/>
      <c r="H122"/>
      <c r="I122"/>
      <c r="J122"/>
      <c r="K122"/>
      <c r="M122" s="90">
        <f t="shared" si="6"/>
        <v>46997</v>
      </c>
      <c r="N122" s="36">
        <f t="shared" si="8"/>
        <v>0</v>
      </c>
      <c r="O122" s="37">
        <f t="shared" si="8"/>
        <v>0</v>
      </c>
      <c r="P122" s="94">
        <f t="shared" si="5"/>
        <v>0</v>
      </c>
      <c r="R122" s="38">
        <f>SourceEnergy!B129</f>
        <v>46997</v>
      </c>
      <c r="S122" s="39">
        <v>59.106760000000001</v>
      </c>
      <c r="T122" s="40">
        <v>45.701810000000002</v>
      </c>
      <c r="U122" s="41" t="e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#VALUE!</v>
      </c>
    </row>
    <row r="123" spans="1:24" ht="15" customHeight="1" outlineLevel="1" x14ac:dyDescent="0.2">
      <c r="A123" s="96"/>
      <c r="B123"/>
      <c r="C123"/>
      <c r="D123"/>
      <c r="E123"/>
      <c r="F123" s="10"/>
      <c r="G123" s="96"/>
      <c r="H123"/>
      <c r="I123"/>
      <c r="J123"/>
      <c r="K123"/>
      <c r="M123" s="90">
        <f t="shared" si="6"/>
        <v>47027</v>
      </c>
      <c r="N123" s="36">
        <f t="shared" si="8"/>
        <v>0</v>
      </c>
      <c r="O123" s="37">
        <f t="shared" si="8"/>
        <v>0</v>
      </c>
      <c r="P123" s="94">
        <f t="shared" si="5"/>
        <v>0</v>
      </c>
      <c r="R123" s="38">
        <f>SourceEnergy!B130</f>
        <v>47027</v>
      </c>
      <c r="S123" s="39">
        <v>44.073749999999997</v>
      </c>
      <c r="T123" s="40">
        <v>39.245930000000001</v>
      </c>
      <c r="U123" s="41" t="e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#VALUE!</v>
      </c>
    </row>
    <row r="124" spans="1:24" ht="15" customHeight="1" outlineLevel="1" x14ac:dyDescent="0.2">
      <c r="A124" s="96"/>
      <c r="B124"/>
      <c r="C124"/>
      <c r="D124"/>
      <c r="E124"/>
      <c r="F124" s="10"/>
      <c r="G124" s="96"/>
      <c r="H124"/>
      <c r="I124"/>
      <c r="J124"/>
      <c r="K124"/>
      <c r="M124" s="90">
        <f t="shared" si="6"/>
        <v>47058</v>
      </c>
      <c r="N124" s="36">
        <f t="shared" si="8"/>
        <v>0</v>
      </c>
      <c r="O124" s="37">
        <f t="shared" si="8"/>
        <v>0</v>
      </c>
      <c r="P124" s="94">
        <f t="shared" si="5"/>
        <v>0</v>
      </c>
      <c r="R124" s="38">
        <f>SourceEnergy!B131</f>
        <v>47058</v>
      </c>
      <c r="S124" s="39">
        <v>44.742269999999998</v>
      </c>
      <c r="T124" s="40">
        <v>39.903199999999998</v>
      </c>
      <c r="U124" s="41" t="e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#VALUE!</v>
      </c>
    </row>
    <row r="125" spans="1:24" ht="15" customHeight="1" outlineLevel="1" x14ac:dyDescent="0.2">
      <c r="A125" s="96"/>
      <c r="B125"/>
      <c r="C125"/>
      <c r="D125"/>
      <c r="E125"/>
      <c r="F125" s="10"/>
      <c r="G125" s="96"/>
      <c r="H125"/>
      <c r="I125"/>
      <c r="J125"/>
      <c r="K125"/>
      <c r="M125" s="90">
        <f t="shared" si="6"/>
        <v>47088</v>
      </c>
      <c r="N125" s="36">
        <f t="shared" si="8"/>
        <v>0</v>
      </c>
      <c r="O125" s="37">
        <f t="shared" si="8"/>
        <v>0</v>
      </c>
      <c r="P125" s="94">
        <f t="shared" si="5"/>
        <v>0</v>
      </c>
      <c r="R125" s="45">
        <f>SourceEnergy!B132</f>
        <v>47088</v>
      </c>
      <c r="S125" s="46">
        <v>49.44952</v>
      </c>
      <c r="T125" s="47">
        <v>43.819760000000002</v>
      </c>
      <c r="U125" s="48" t="e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#VALUE!</v>
      </c>
    </row>
    <row r="126" spans="1:24" ht="15" customHeight="1" x14ac:dyDescent="0.2">
      <c r="A126" s="96"/>
      <c r="B126"/>
      <c r="C126"/>
      <c r="D126"/>
      <c r="E126"/>
      <c r="F126" s="10"/>
      <c r="G126" s="96"/>
      <c r="H126"/>
      <c r="I126"/>
      <c r="J126"/>
      <c r="K126"/>
      <c r="M126" s="92">
        <f t="shared" si="6"/>
        <v>47119</v>
      </c>
      <c r="N126" s="28">
        <f t="shared" ref="N126:O145" si="9">SUMIFS($K$6:$K$245,$G$6:$G$245,$M126,$J$6:$J$245,N$5)</f>
        <v>0</v>
      </c>
      <c r="O126" s="29">
        <f t="shared" si="9"/>
        <v>0</v>
      </c>
      <c r="P126" s="93">
        <f t="shared" si="5"/>
        <v>0</v>
      </c>
      <c r="R126" s="30">
        <f>SourceEnergy!B133</f>
        <v>47119</v>
      </c>
      <c r="S126" s="31">
        <v>48.551839999999999</v>
      </c>
      <c r="T126" s="32">
        <v>42.288229999999999</v>
      </c>
      <c r="U126" s="33" t="e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#VALUE!</v>
      </c>
      <c r="W126" s="34">
        <f>YEAR(M126)</f>
        <v>2029</v>
      </c>
      <c r="X126" s="35"/>
    </row>
    <row r="127" spans="1:24" ht="15" customHeight="1" x14ac:dyDescent="0.2">
      <c r="A127" s="96"/>
      <c r="B127"/>
      <c r="C127"/>
      <c r="D127"/>
      <c r="E127"/>
      <c r="F127" s="10"/>
      <c r="G127" s="96"/>
      <c r="H127"/>
      <c r="I127"/>
      <c r="J127"/>
      <c r="K127"/>
      <c r="M127" s="90">
        <f t="shared" si="6"/>
        <v>47150</v>
      </c>
      <c r="N127" s="36">
        <f t="shared" si="9"/>
        <v>0</v>
      </c>
      <c r="O127" s="37">
        <f t="shared" si="9"/>
        <v>0</v>
      </c>
      <c r="P127" s="94">
        <f t="shared" si="5"/>
        <v>0</v>
      </c>
      <c r="R127" s="38">
        <f>SourceEnergy!B134</f>
        <v>47150</v>
      </c>
      <c r="S127" s="39">
        <v>47.670180000000002</v>
      </c>
      <c r="T127" s="40">
        <v>42.993220000000001</v>
      </c>
      <c r="U127" s="41" t="e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#VALUE!</v>
      </c>
      <c r="W127" s="12">
        <f>SUMPRODUCT(N126:N137,S126:S137)+SUMPRODUCT(O126:O137,T126:T137)</f>
        <v>0</v>
      </c>
      <c r="X127" s="12" t="s">
        <v>78</v>
      </c>
    </row>
    <row r="128" spans="1:24" ht="15" customHeight="1" x14ac:dyDescent="0.2">
      <c r="A128" s="96"/>
      <c r="B128"/>
      <c r="C128"/>
      <c r="D128"/>
      <c r="E128"/>
      <c r="F128" s="10"/>
      <c r="G128" s="96"/>
      <c r="H128"/>
      <c r="I128"/>
      <c r="J128"/>
      <c r="K128"/>
      <c r="M128" s="90">
        <f t="shared" si="6"/>
        <v>47178</v>
      </c>
      <c r="N128" s="36">
        <f t="shared" si="9"/>
        <v>0</v>
      </c>
      <c r="O128" s="37">
        <f t="shared" si="9"/>
        <v>0</v>
      </c>
      <c r="P128" s="94">
        <f t="shared" si="5"/>
        <v>0</v>
      </c>
      <c r="R128" s="38">
        <f>SourceEnergy!B135</f>
        <v>47178</v>
      </c>
      <c r="S128" s="39">
        <v>44.245420000000003</v>
      </c>
      <c r="T128" s="40">
        <v>40.942140000000002</v>
      </c>
      <c r="U128" s="41" t="e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#VALUE!</v>
      </c>
    </row>
    <row r="129" spans="1:24" ht="15" customHeight="1" x14ac:dyDescent="0.2">
      <c r="A129" s="96"/>
      <c r="B129"/>
      <c r="C129"/>
      <c r="D129"/>
      <c r="E129"/>
      <c r="F129" s="10"/>
      <c r="G129" s="96"/>
      <c r="H129"/>
      <c r="I129"/>
      <c r="J129"/>
      <c r="K129"/>
      <c r="M129" s="90">
        <f t="shared" si="6"/>
        <v>47209</v>
      </c>
      <c r="N129" s="36">
        <f t="shared" si="9"/>
        <v>0</v>
      </c>
      <c r="O129" s="37">
        <f t="shared" si="9"/>
        <v>0</v>
      </c>
      <c r="P129" s="94">
        <f t="shared" si="5"/>
        <v>0</v>
      </c>
      <c r="R129" s="38">
        <f>SourceEnergy!B136</f>
        <v>47209</v>
      </c>
      <c r="S129" s="39">
        <v>42.246119999999998</v>
      </c>
      <c r="T129" s="40">
        <v>39.812629999999999</v>
      </c>
      <c r="U129" s="41" t="e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#VALUE!</v>
      </c>
      <c r="W129" s="12">
        <f>VLOOKUP(W126,'[1]Table 5'!$L$16:$N$36,2,FALSE)</f>
        <v>0</v>
      </c>
      <c r="X129" s="12" t="s">
        <v>79</v>
      </c>
    </row>
    <row r="130" spans="1:24" ht="15" customHeight="1" x14ac:dyDescent="0.2">
      <c r="A130" s="96"/>
      <c r="B130"/>
      <c r="C130"/>
      <c r="D130"/>
      <c r="E130"/>
      <c r="F130" s="10"/>
      <c r="G130" s="96"/>
      <c r="H130"/>
      <c r="I130"/>
      <c r="J130"/>
      <c r="K130"/>
      <c r="M130" s="90">
        <f t="shared" si="6"/>
        <v>47239</v>
      </c>
      <c r="N130" s="36">
        <f t="shared" si="9"/>
        <v>0</v>
      </c>
      <c r="O130" s="37">
        <f t="shared" si="9"/>
        <v>0</v>
      </c>
      <c r="P130" s="94">
        <f t="shared" si="5"/>
        <v>0</v>
      </c>
      <c r="R130" s="38">
        <f>SourceEnergy!B137</f>
        <v>47239</v>
      </c>
      <c r="S130" s="39">
        <v>42.617809999999999</v>
      </c>
      <c r="T130" s="40">
        <v>38.74286</v>
      </c>
      <c r="U130" s="41" t="e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#VALUE!</v>
      </c>
      <c r="W130" s="12">
        <f>VLOOKUP(W126,'[1]Table 5'!$L$16:$N$36,3,FALSE)</f>
        <v>0</v>
      </c>
      <c r="X130" s="12" t="s">
        <v>80</v>
      </c>
    </row>
    <row r="131" spans="1:24" ht="15" customHeight="1" x14ac:dyDescent="0.2">
      <c r="A131" s="96"/>
      <c r="B131"/>
      <c r="C131"/>
      <c r="D131"/>
      <c r="E131"/>
      <c r="F131" s="10"/>
      <c r="G131" s="96"/>
      <c r="H131"/>
      <c r="I131"/>
      <c r="J131"/>
      <c r="K131"/>
      <c r="M131" s="90">
        <f t="shared" si="6"/>
        <v>47270</v>
      </c>
      <c r="N131" s="36">
        <f t="shared" si="9"/>
        <v>0</v>
      </c>
      <c r="O131" s="37">
        <f t="shared" si="9"/>
        <v>0</v>
      </c>
      <c r="P131" s="94">
        <f t="shared" si="5"/>
        <v>0</v>
      </c>
      <c r="R131" s="38">
        <f>SourceEnergy!B138</f>
        <v>47270</v>
      </c>
      <c r="S131" s="39">
        <v>51.022239999999996</v>
      </c>
      <c r="T131" s="40">
        <v>42.413249999999998</v>
      </c>
      <c r="U131" s="41" t="e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#VALUE!</v>
      </c>
      <c r="W131" s="12">
        <f>W129+W130</f>
        <v>0</v>
      </c>
      <c r="X131" s="12" t="s">
        <v>81</v>
      </c>
    </row>
    <row r="132" spans="1:24" ht="15" customHeight="1" x14ac:dyDescent="0.2">
      <c r="A132" s="96"/>
      <c r="B132"/>
      <c r="C132"/>
      <c r="D132"/>
      <c r="E132"/>
      <c r="F132" s="10"/>
      <c r="G132" s="96"/>
      <c r="H132"/>
      <c r="I132"/>
      <c r="J132"/>
      <c r="K132"/>
      <c r="M132" s="90">
        <f t="shared" si="6"/>
        <v>47300</v>
      </c>
      <c r="N132" s="36">
        <f t="shared" si="9"/>
        <v>0</v>
      </c>
      <c r="O132" s="37">
        <f t="shared" si="9"/>
        <v>0</v>
      </c>
      <c r="P132" s="94">
        <f t="shared" si="5"/>
        <v>0</v>
      </c>
      <c r="R132" s="38">
        <f>SourceEnergy!B139</f>
        <v>47300</v>
      </c>
      <c r="S132" s="39">
        <v>71.78237</v>
      </c>
      <c r="T132" s="40">
        <v>53.57564</v>
      </c>
      <c r="U132" s="41" t="e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#VALUE!</v>
      </c>
    </row>
    <row r="133" spans="1:24" ht="15" customHeight="1" x14ac:dyDescent="0.2">
      <c r="A133" s="96"/>
      <c r="B133"/>
      <c r="C133"/>
      <c r="D133"/>
      <c r="E133"/>
      <c r="F133" s="10"/>
      <c r="G133" s="96"/>
      <c r="H133"/>
      <c r="I133"/>
      <c r="J133"/>
      <c r="K133"/>
      <c r="M133" s="90">
        <f t="shared" si="6"/>
        <v>47331</v>
      </c>
      <c r="N133" s="36">
        <f t="shared" si="9"/>
        <v>0</v>
      </c>
      <c r="O133" s="37">
        <f t="shared" si="9"/>
        <v>0</v>
      </c>
      <c r="P133" s="94">
        <f t="shared" si="5"/>
        <v>0</v>
      </c>
      <c r="R133" s="38">
        <f>SourceEnergy!B140</f>
        <v>47331</v>
      </c>
      <c r="S133" s="39">
        <v>74.432230000000004</v>
      </c>
      <c r="T133" s="40">
        <v>56.103760000000001</v>
      </c>
      <c r="U133" s="41" t="e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#VALUE!</v>
      </c>
      <c r="W133" s="42" t="e">
        <f>W131/W127</f>
        <v>#DIV/0!</v>
      </c>
      <c r="X133" s="12" t="s">
        <v>82</v>
      </c>
    </row>
    <row r="134" spans="1:24" ht="15" customHeight="1" x14ac:dyDescent="0.2">
      <c r="A134" s="96"/>
      <c r="B134"/>
      <c r="C134"/>
      <c r="D134"/>
      <c r="E134"/>
      <c r="F134" s="10"/>
      <c r="G134" s="96"/>
      <c r="H134"/>
      <c r="I134"/>
      <c r="J134"/>
      <c r="K134"/>
      <c r="M134" s="90">
        <f t="shared" si="6"/>
        <v>47362</v>
      </c>
      <c r="N134" s="36">
        <f t="shared" si="9"/>
        <v>0</v>
      </c>
      <c r="O134" s="37">
        <f t="shared" si="9"/>
        <v>0</v>
      </c>
      <c r="P134" s="94">
        <f t="shared" si="5"/>
        <v>0</v>
      </c>
      <c r="R134" s="38">
        <f>SourceEnergy!B141</f>
        <v>47362</v>
      </c>
      <c r="S134" s="39">
        <v>65.026210000000006</v>
      </c>
      <c r="T134" s="40">
        <v>50.24832</v>
      </c>
      <c r="U134" s="41" t="e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#VALUE!</v>
      </c>
    </row>
    <row r="135" spans="1:24" ht="15" customHeight="1" x14ac:dyDescent="0.2">
      <c r="A135" s="96"/>
      <c r="B135"/>
      <c r="C135"/>
      <c r="D135"/>
      <c r="E135"/>
      <c r="F135" s="10"/>
      <c r="G135" s="96"/>
      <c r="H135"/>
      <c r="I135"/>
      <c r="J135"/>
      <c r="K135"/>
      <c r="M135" s="90">
        <f t="shared" si="6"/>
        <v>47392</v>
      </c>
      <c r="N135" s="36">
        <f t="shared" si="9"/>
        <v>0</v>
      </c>
      <c r="O135" s="37">
        <f t="shared" si="9"/>
        <v>0</v>
      </c>
      <c r="P135" s="94">
        <f t="shared" ref="P135:P197" si="10">N135+O135</f>
        <v>0</v>
      </c>
      <c r="R135" s="38">
        <f>SourceEnergy!B142</f>
        <v>47392</v>
      </c>
      <c r="S135" s="39">
        <v>47.960410000000003</v>
      </c>
      <c r="T135" s="40">
        <v>42.444400000000002</v>
      </c>
      <c r="U135" s="41" t="e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#VALUE!</v>
      </c>
    </row>
    <row r="136" spans="1:24" ht="15" customHeight="1" x14ac:dyDescent="0.2">
      <c r="A136" s="96"/>
      <c r="B136"/>
      <c r="C136"/>
      <c r="D136"/>
      <c r="E136"/>
      <c r="F136" s="10"/>
      <c r="G136" s="96"/>
      <c r="H136"/>
      <c r="I136"/>
      <c r="J136"/>
      <c r="K136"/>
      <c r="M136" s="90">
        <f t="shared" ref="M136:M199" si="11">EDATE(M135,1)</f>
        <v>47423</v>
      </c>
      <c r="N136" s="36">
        <f t="shared" si="9"/>
        <v>0</v>
      </c>
      <c r="O136" s="37">
        <f t="shared" si="9"/>
        <v>0</v>
      </c>
      <c r="P136" s="94">
        <f t="shared" si="10"/>
        <v>0</v>
      </c>
      <c r="R136" s="38">
        <f>SourceEnergy!B143</f>
        <v>47423</v>
      </c>
      <c r="S136" s="39">
        <v>49.295560000000002</v>
      </c>
      <c r="T136" s="40">
        <v>43.258580000000002</v>
      </c>
      <c r="U136" s="41" t="e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#VALUE!</v>
      </c>
    </row>
    <row r="137" spans="1:24" ht="15" customHeight="1" x14ac:dyDescent="0.2">
      <c r="A137" s="96"/>
      <c r="B137"/>
      <c r="C137"/>
      <c r="D137"/>
      <c r="E137"/>
      <c r="F137" s="10"/>
      <c r="G137" s="96"/>
      <c r="H137"/>
      <c r="I137"/>
      <c r="J137"/>
      <c r="K137"/>
      <c r="M137" s="91">
        <f t="shared" si="11"/>
        <v>47453</v>
      </c>
      <c r="N137" s="43">
        <f t="shared" si="9"/>
        <v>0</v>
      </c>
      <c r="O137" s="44">
        <f t="shared" si="9"/>
        <v>0</v>
      </c>
      <c r="P137" s="95">
        <f t="shared" si="10"/>
        <v>0</v>
      </c>
      <c r="R137" s="45">
        <f>SourceEnergy!B144</f>
        <v>47453</v>
      </c>
      <c r="S137" s="46">
        <v>52.448590000000003</v>
      </c>
      <c r="T137" s="47">
        <v>46.816760000000002</v>
      </c>
      <c r="U137" s="48" t="e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#VALUE!</v>
      </c>
    </row>
    <row r="138" spans="1:24" ht="15" customHeight="1" outlineLevel="1" x14ac:dyDescent="0.2">
      <c r="A138" s="96"/>
      <c r="B138"/>
      <c r="C138"/>
      <c r="D138"/>
      <c r="E138"/>
      <c r="F138" s="10"/>
      <c r="G138" s="96"/>
      <c r="H138"/>
      <c r="I138"/>
      <c r="J138"/>
      <c r="K138"/>
      <c r="M138" s="92">
        <f t="shared" si="11"/>
        <v>47484</v>
      </c>
      <c r="N138" s="28">
        <f t="shared" si="9"/>
        <v>0</v>
      </c>
      <c r="O138" s="29">
        <f t="shared" si="9"/>
        <v>0</v>
      </c>
      <c r="P138" s="93">
        <f t="shared" si="10"/>
        <v>0</v>
      </c>
      <c r="R138" s="30">
        <f>SourceEnergy!B145</f>
        <v>47484</v>
      </c>
      <c r="S138" s="31">
        <v>51.368560000000002</v>
      </c>
      <c r="T138" s="32">
        <v>45.713200000000001</v>
      </c>
      <c r="U138" s="33" t="e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#VALUE!</v>
      </c>
      <c r="W138" s="34">
        <f>YEAR(M138)</f>
        <v>2030</v>
      </c>
      <c r="X138" s="35"/>
    </row>
    <row r="139" spans="1:24" ht="15" customHeight="1" outlineLevel="1" x14ac:dyDescent="0.2">
      <c r="A139" s="96"/>
      <c r="B139"/>
      <c r="C139"/>
      <c r="D139"/>
      <c r="E139"/>
      <c r="F139" s="10"/>
      <c r="G139" s="96"/>
      <c r="H139"/>
      <c r="I139"/>
      <c r="J139"/>
      <c r="K139"/>
      <c r="M139" s="90">
        <f t="shared" si="11"/>
        <v>47515</v>
      </c>
      <c r="N139" s="36">
        <f t="shared" si="9"/>
        <v>0</v>
      </c>
      <c r="O139" s="37">
        <f t="shared" si="9"/>
        <v>0</v>
      </c>
      <c r="P139" s="94">
        <f t="shared" si="10"/>
        <v>0</v>
      </c>
      <c r="R139" s="38">
        <f>SourceEnergy!B146</f>
        <v>47515</v>
      </c>
      <c r="S139" s="39">
        <v>50.370710000000003</v>
      </c>
      <c r="T139" s="40">
        <v>46.11074</v>
      </c>
      <c r="U139" s="41" t="e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#VALUE!</v>
      </c>
      <c r="W139" s="12">
        <f>SUMPRODUCT(N138:N149,S138:S149)+SUMPRODUCT(O138:O149,T138:T149)</f>
        <v>0</v>
      </c>
      <c r="X139" s="12" t="s">
        <v>78</v>
      </c>
    </row>
    <row r="140" spans="1:24" ht="15" customHeight="1" outlineLevel="1" x14ac:dyDescent="0.2">
      <c r="A140" s="96"/>
      <c r="B140"/>
      <c r="C140"/>
      <c r="D140"/>
      <c r="E140"/>
      <c r="F140" s="10"/>
      <c r="G140" s="96"/>
      <c r="H140"/>
      <c r="I140"/>
      <c r="J140"/>
      <c r="K140"/>
      <c r="M140" s="90">
        <f t="shared" si="11"/>
        <v>47543</v>
      </c>
      <c r="N140" s="36">
        <f t="shared" si="9"/>
        <v>0</v>
      </c>
      <c r="O140" s="37">
        <f t="shared" si="9"/>
        <v>0</v>
      </c>
      <c r="P140" s="94">
        <f t="shared" si="10"/>
        <v>0</v>
      </c>
      <c r="R140" s="38">
        <f>SourceEnergy!B147</f>
        <v>47543</v>
      </c>
      <c r="S140" s="39">
        <v>44.685690000000001</v>
      </c>
      <c r="T140" s="40">
        <v>42.076079999999997</v>
      </c>
      <c r="U140" s="41" t="e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#VALUE!</v>
      </c>
    </row>
    <row r="141" spans="1:24" ht="15" customHeight="1" outlineLevel="1" x14ac:dyDescent="0.2">
      <c r="A141" s="96"/>
      <c r="B141"/>
      <c r="C141"/>
      <c r="D141"/>
      <c r="E141"/>
      <c r="F141" s="10"/>
      <c r="G141" s="96"/>
      <c r="H141"/>
      <c r="I141"/>
      <c r="J141"/>
      <c r="K141"/>
      <c r="M141" s="90">
        <f t="shared" si="11"/>
        <v>47574</v>
      </c>
      <c r="N141" s="36">
        <f t="shared" si="9"/>
        <v>0</v>
      </c>
      <c r="O141" s="37">
        <f t="shared" si="9"/>
        <v>0</v>
      </c>
      <c r="P141" s="94">
        <f t="shared" si="10"/>
        <v>0</v>
      </c>
      <c r="R141" s="38">
        <f>SourceEnergy!B148</f>
        <v>47574</v>
      </c>
      <c r="S141" s="39">
        <v>43.065379999999998</v>
      </c>
      <c r="T141" s="40">
        <v>40.498440000000002</v>
      </c>
      <c r="U141" s="41" t="e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#VALUE!</v>
      </c>
      <c r="W141" s="12">
        <f>VLOOKUP(W138,'[1]Table 5'!$L$16:$N$36,2,FALSE)</f>
        <v>0</v>
      </c>
      <c r="X141" s="12" t="s">
        <v>79</v>
      </c>
    </row>
    <row r="142" spans="1:24" ht="15" customHeight="1" outlineLevel="1" x14ac:dyDescent="0.2">
      <c r="A142" s="96"/>
      <c r="B142"/>
      <c r="C142"/>
      <c r="D142"/>
      <c r="E142"/>
      <c r="F142" s="10"/>
      <c r="G142" s="96"/>
      <c r="H142"/>
      <c r="I142"/>
      <c r="J142"/>
      <c r="K142"/>
      <c r="M142" s="90">
        <f t="shared" si="11"/>
        <v>47604</v>
      </c>
      <c r="N142" s="36">
        <f t="shared" si="9"/>
        <v>0</v>
      </c>
      <c r="O142" s="37">
        <f t="shared" si="9"/>
        <v>0</v>
      </c>
      <c r="P142" s="94">
        <f t="shared" si="10"/>
        <v>0</v>
      </c>
      <c r="R142" s="38">
        <f>SourceEnergy!B149</f>
        <v>47604</v>
      </c>
      <c r="S142" s="39">
        <v>45.645159999999997</v>
      </c>
      <c r="T142" s="40">
        <v>41.83314</v>
      </c>
      <c r="U142" s="41" t="e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#VALUE!</v>
      </c>
      <c r="W142" s="12">
        <f>VLOOKUP(W138,'[1]Table 5'!$L$16:$N$36,3,FALSE)</f>
        <v>0</v>
      </c>
      <c r="X142" s="12" t="s">
        <v>80</v>
      </c>
    </row>
    <row r="143" spans="1:24" ht="15" customHeight="1" outlineLevel="1" x14ac:dyDescent="0.2">
      <c r="A143" s="96"/>
      <c r="B143"/>
      <c r="C143"/>
      <c r="D143"/>
      <c r="E143"/>
      <c r="F143" s="10"/>
      <c r="G143" s="96"/>
      <c r="H143"/>
      <c r="I143"/>
      <c r="J143"/>
      <c r="K143"/>
      <c r="M143" s="90">
        <f t="shared" si="11"/>
        <v>47635</v>
      </c>
      <c r="N143" s="36">
        <f t="shared" si="9"/>
        <v>0</v>
      </c>
      <c r="O143" s="37">
        <f t="shared" si="9"/>
        <v>0</v>
      </c>
      <c r="P143" s="94">
        <f t="shared" si="10"/>
        <v>0</v>
      </c>
      <c r="R143" s="38">
        <f>SourceEnergy!B150</f>
        <v>47635</v>
      </c>
      <c r="S143" s="39">
        <v>53.98901</v>
      </c>
      <c r="T143" s="40">
        <v>45.774659999999997</v>
      </c>
      <c r="U143" s="41" t="e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#VALUE!</v>
      </c>
      <c r="W143" s="12">
        <f>W141+W142</f>
        <v>0</v>
      </c>
      <c r="X143" s="12" t="s">
        <v>81</v>
      </c>
    </row>
    <row r="144" spans="1:24" ht="15" customHeight="1" outlineLevel="1" x14ac:dyDescent="0.2">
      <c r="A144" s="96"/>
      <c r="B144"/>
      <c r="C144"/>
      <c r="D144"/>
      <c r="E144"/>
      <c r="F144" s="10"/>
      <c r="G144" s="96"/>
      <c r="H144"/>
      <c r="I144"/>
      <c r="J144"/>
      <c r="K144"/>
      <c r="M144" s="90">
        <f t="shared" si="11"/>
        <v>47665</v>
      </c>
      <c r="N144" s="36">
        <f t="shared" si="9"/>
        <v>0</v>
      </c>
      <c r="O144" s="37">
        <f t="shared" si="9"/>
        <v>0</v>
      </c>
      <c r="P144" s="94">
        <f t="shared" si="10"/>
        <v>0</v>
      </c>
      <c r="R144" s="38">
        <f>SourceEnergy!B151</f>
        <v>47665</v>
      </c>
      <c r="S144" s="39">
        <v>74.997240000000005</v>
      </c>
      <c r="T144" s="40">
        <v>56.001289999999997</v>
      </c>
      <c r="U144" s="41" t="e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#VALUE!</v>
      </c>
    </row>
    <row r="145" spans="1:24" ht="15" customHeight="1" outlineLevel="1" x14ac:dyDescent="0.2">
      <c r="A145" s="96"/>
      <c r="B145"/>
      <c r="C145"/>
      <c r="D145"/>
      <c r="E145"/>
      <c r="F145" s="10"/>
      <c r="G145" s="96"/>
      <c r="H145"/>
      <c r="I145"/>
      <c r="J145"/>
      <c r="K145"/>
      <c r="M145" s="90">
        <f t="shared" si="11"/>
        <v>47696</v>
      </c>
      <c r="N145" s="36">
        <f t="shared" si="9"/>
        <v>0</v>
      </c>
      <c r="O145" s="37">
        <f t="shared" si="9"/>
        <v>0</v>
      </c>
      <c r="P145" s="94">
        <f t="shared" si="10"/>
        <v>0</v>
      </c>
      <c r="R145" s="38">
        <f>SourceEnergy!B152</f>
        <v>47696</v>
      </c>
      <c r="S145" s="39">
        <v>76.113110000000006</v>
      </c>
      <c r="T145" s="40">
        <v>58.418790000000001</v>
      </c>
      <c r="U145" s="41" t="e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#VALUE!</v>
      </c>
      <c r="W145" s="42" t="e">
        <f>W143/W139</f>
        <v>#DIV/0!</v>
      </c>
      <c r="X145" s="12" t="s">
        <v>82</v>
      </c>
    </row>
    <row r="146" spans="1:24" ht="15" customHeight="1" outlineLevel="1" x14ac:dyDescent="0.2">
      <c r="A146" s="96"/>
      <c r="B146"/>
      <c r="C146"/>
      <c r="D146"/>
      <c r="E146"/>
      <c r="F146" s="10"/>
      <c r="G146" s="96"/>
      <c r="H146"/>
      <c r="I146"/>
      <c r="J146"/>
      <c r="K146"/>
      <c r="M146" s="90">
        <f t="shared" si="11"/>
        <v>47727</v>
      </c>
      <c r="N146" s="36">
        <f t="shared" ref="N146:O165" si="12">SUMIFS($K$6:$K$245,$G$6:$G$245,$M146,$J$6:$J$245,N$5)</f>
        <v>0</v>
      </c>
      <c r="O146" s="37">
        <f t="shared" si="12"/>
        <v>0</v>
      </c>
      <c r="P146" s="94">
        <f t="shared" si="10"/>
        <v>0</v>
      </c>
      <c r="R146" s="38">
        <f>SourceEnergy!B153</f>
        <v>47727</v>
      </c>
      <c r="S146" s="39">
        <v>70.433940000000007</v>
      </c>
      <c r="T146" s="40">
        <v>55.445819999999998</v>
      </c>
      <c r="U146" s="41" t="e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#VALUE!</v>
      </c>
    </row>
    <row r="147" spans="1:24" ht="15" customHeight="1" outlineLevel="1" x14ac:dyDescent="0.2">
      <c r="A147" s="96"/>
      <c r="B147"/>
      <c r="C147"/>
      <c r="D147"/>
      <c r="E147"/>
      <c r="F147" s="10"/>
      <c r="G147" s="96"/>
      <c r="H147"/>
      <c r="I147"/>
      <c r="J147"/>
      <c r="K147"/>
      <c r="M147" s="90">
        <f t="shared" si="11"/>
        <v>47757</v>
      </c>
      <c r="N147" s="36">
        <f t="shared" si="12"/>
        <v>0</v>
      </c>
      <c r="O147" s="37">
        <f t="shared" si="12"/>
        <v>0</v>
      </c>
      <c r="P147" s="94">
        <f t="shared" si="10"/>
        <v>0</v>
      </c>
      <c r="R147" s="38">
        <f>SourceEnergy!B154</f>
        <v>47757</v>
      </c>
      <c r="S147" s="39">
        <v>52.862290000000002</v>
      </c>
      <c r="T147" s="40">
        <v>47.048850000000002</v>
      </c>
      <c r="U147" s="41" t="e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#VALUE!</v>
      </c>
    </row>
    <row r="148" spans="1:24" ht="15" customHeight="1" outlineLevel="1" x14ac:dyDescent="0.2">
      <c r="A148" s="96"/>
      <c r="B148"/>
      <c r="C148"/>
      <c r="D148"/>
      <c r="E148"/>
      <c r="F148" s="10"/>
      <c r="G148" s="96"/>
      <c r="H148"/>
      <c r="I148"/>
      <c r="J148"/>
      <c r="K148"/>
      <c r="M148" s="90">
        <f t="shared" si="11"/>
        <v>47788</v>
      </c>
      <c r="N148" s="36">
        <f t="shared" si="12"/>
        <v>0</v>
      </c>
      <c r="O148" s="37">
        <f t="shared" si="12"/>
        <v>0</v>
      </c>
      <c r="P148" s="94">
        <f t="shared" si="10"/>
        <v>0</v>
      </c>
      <c r="R148" s="38">
        <f>SourceEnergy!B155</f>
        <v>47788</v>
      </c>
      <c r="S148" s="39">
        <v>51.423870000000001</v>
      </c>
      <c r="T148" s="40">
        <v>46.670720000000003</v>
      </c>
      <c r="U148" s="41" t="e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#VALUE!</v>
      </c>
    </row>
    <row r="149" spans="1:24" ht="15" customHeight="1" outlineLevel="1" x14ac:dyDescent="0.2">
      <c r="A149" s="96"/>
      <c r="B149"/>
      <c r="C149"/>
      <c r="D149"/>
      <c r="E149"/>
      <c r="F149" s="10"/>
      <c r="G149" s="96"/>
      <c r="H149"/>
      <c r="I149"/>
      <c r="J149"/>
      <c r="K149"/>
      <c r="M149" s="91">
        <f t="shared" si="11"/>
        <v>47818</v>
      </c>
      <c r="N149" s="43">
        <f t="shared" si="12"/>
        <v>0</v>
      </c>
      <c r="O149" s="44">
        <f t="shared" si="12"/>
        <v>0</v>
      </c>
      <c r="P149" s="95">
        <f t="shared" si="10"/>
        <v>0</v>
      </c>
      <c r="R149" s="45">
        <f>SourceEnergy!B156</f>
        <v>47818</v>
      </c>
      <c r="S149" s="46">
        <v>55.60539</v>
      </c>
      <c r="T149" s="47">
        <v>50.280090000000001</v>
      </c>
      <c r="U149" s="48" t="e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#VALUE!</v>
      </c>
    </row>
    <row r="150" spans="1:24" ht="15" customHeight="1" outlineLevel="1" x14ac:dyDescent="0.2">
      <c r="A150" s="96"/>
      <c r="B150"/>
      <c r="C150"/>
      <c r="D150"/>
      <c r="E150"/>
      <c r="F150" s="10"/>
      <c r="G150" s="96"/>
      <c r="H150"/>
      <c r="I150"/>
      <c r="J150"/>
      <c r="K150"/>
      <c r="M150" s="92">
        <f t="shared" si="11"/>
        <v>47849</v>
      </c>
      <c r="N150" s="28">
        <f t="shared" si="12"/>
        <v>0</v>
      </c>
      <c r="O150" s="29">
        <f t="shared" si="12"/>
        <v>0</v>
      </c>
      <c r="P150" s="93">
        <f t="shared" si="10"/>
        <v>0</v>
      </c>
      <c r="R150" s="30">
        <f>SourceEnergy!B157</f>
        <v>47849</v>
      </c>
      <c r="S150" s="31">
        <v>56.080509999999997</v>
      </c>
      <c r="T150" s="32">
        <v>49.986370000000001</v>
      </c>
      <c r="U150" s="33" t="e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#VALUE!</v>
      </c>
      <c r="W150" s="34">
        <f>YEAR(M150)</f>
        <v>2031</v>
      </c>
      <c r="X150" s="35"/>
    </row>
    <row r="151" spans="1:24" ht="15" customHeight="1" outlineLevel="1" x14ac:dyDescent="0.2">
      <c r="A151" s="96"/>
      <c r="B151"/>
      <c r="C151"/>
      <c r="D151"/>
      <c r="E151"/>
      <c r="F151" s="10"/>
      <c r="G151" s="96"/>
      <c r="H151"/>
      <c r="I151"/>
      <c r="J151"/>
      <c r="K151"/>
      <c r="M151" s="90">
        <f t="shared" si="11"/>
        <v>47880</v>
      </c>
      <c r="N151" s="36">
        <f t="shared" si="12"/>
        <v>0</v>
      </c>
      <c r="O151" s="37">
        <f t="shared" si="12"/>
        <v>0</v>
      </c>
      <c r="P151" s="94">
        <f t="shared" si="10"/>
        <v>0</v>
      </c>
      <c r="R151" s="38">
        <f>SourceEnergy!B158</f>
        <v>47880</v>
      </c>
      <c r="S151" s="39">
        <v>54.135120000000001</v>
      </c>
      <c r="T151" s="40">
        <v>49.78989</v>
      </c>
      <c r="U151" s="41" t="e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#VALUE!</v>
      </c>
      <c r="W151" s="12">
        <f>SUMPRODUCT(N150:N161,S150:S161)+SUMPRODUCT(O150:O161,T150:T161)</f>
        <v>0</v>
      </c>
      <c r="X151" s="12" t="s">
        <v>78</v>
      </c>
    </row>
    <row r="152" spans="1:24" ht="15" customHeight="1" outlineLevel="1" x14ac:dyDescent="0.2">
      <c r="A152" s="96"/>
      <c r="B152"/>
      <c r="C152"/>
      <c r="D152"/>
      <c r="E152"/>
      <c r="F152" s="10"/>
      <c r="G152" s="96"/>
      <c r="H152"/>
      <c r="I152"/>
      <c r="J152"/>
      <c r="K152"/>
      <c r="M152" s="90">
        <f t="shared" si="11"/>
        <v>47908</v>
      </c>
      <c r="N152" s="36">
        <f t="shared" si="12"/>
        <v>0</v>
      </c>
      <c r="O152" s="37">
        <f t="shared" si="12"/>
        <v>0</v>
      </c>
      <c r="P152" s="94">
        <f t="shared" si="10"/>
        <v>0</v>
      </c>
      <c r="R152" s="38">
        <f>SourceEnergy!B159</f>
        <v>47908</v>
      </c>
      <c r="S152" s="39">
        <v>45.58784</v>
      </c>
      <c r="T152" s="40">
        <v>42.845700000000001</v>
      </c>
      <c r="U152" s="41" t="e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#VALUE!</v>
      </c>
    </row>
    <row r="153" spans="1:24" ht="15" customHeight="1" outlineLevel="1" x14ac:dyDescent="0.2">
      <c r="A153" s="96"/>
      <c r="B153"/>
      <c r="C153"/>
      <c r="D153"/>
      <c r="E153"/>
      <c r="F153" s="10"/>
      <c r="G153" s="96"/>
      <c r="H153"/>
      <c r="I153"/>
      <c r="J153"/>
      <c r="K153"/>
      <c r="M153" s="90">
        <f t="shared" si="11"/>
        <v>47939</v>
      </c>
      <c r="N153" s="36">
        <f t="shared" si="12"/>
        <v>0</v>
      </c>
      <c r="O153" s="37">
        <f t="shared" si="12"/>
        <v>0</v>
      </c>
      <c r="P153" s="94">
        <f t="shared" si="10"/>
        <v>0</v>
      </c>
      <c r="R153" s="38">
        <f>SourceEnergy!B160</f>
        <v>47939</v>
      </c>
      <c r="S153" s="39">
        <v>44.485120000000002</v>
      </c>
      <c r="T153" s="40">
        <v>41.452419999999996</v>
      </c>
      <c r="U153" s="41" t="e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#VALUE!</v>
      </c>
      <c r="W153" s="12">
        <f>VLOOKUP(W150,'[1]Table 5'!$L$16:$N$36,2,FALSE)</f>
        <v>0</v>
      </c>
      <c r="X153" s="12" t="s">
        <v>79</v>
      </c>
    </row>
    <row r="154" spans="1:24" ht="15" customHeight="1" outlineLevel="1" x14ac:dyDescent="0.2">
      <c r="A154" s="96"/>
      <c r="B154"/>
      <c r="C154"/>
      <c r="D154"/>
      <c r="E154"/>
      <c r="F154" s="10"/>
      <c r="G154" s="96"/>
      <c r="H154"/>
      <c r="I154"/>
      <c r="J154"/>
      <c r="K154"/>
      <c r="M154" s="90">
        <f t="shared" si="11"/>
        <v>47969</v>
      </c>
      <c r="N154" s="36">
        <f t="shared" si="12"/>
        <v>0</v>
      </c>
      <c r="O154" s="37">
        <f t="shared" si="12"/>
        <v>0</v>
      </c>
      <c r="P154" s="94">
        <f t="shared" si="10"/>
        <v>0</v>
      </c>
      <c r="R154" s="38">
        <f>SourceEnergy!B161</f>
        <v>47969</v>
      </c>
      <c r="S154" s="39">
        <v>48.127110000000002</v>
      </c>
      <c r="T154" s="40">
        <v>43.933320000000002</v>
      </c>
      <c r="U154" s="41" t="e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#VALUE!</v>
      </c>
      <c r="W154" s="12">
        <f>VLOOKUP(W150,'[1]Table 5'!$L$16:$N$36,3,FALSE)</f>
        <v>0</v>
      </c>
      <c r="X154" s="12" t="s">
        <v>80</v>
      </c>
    </row>
    <row r="155" spans="1:24" ht="15" customHeight="1" outlineLevel="1" x14ac:dyDescent="0.2">
      <c r="A155" s="96"/>
      <c r="B155"/>
      <c r="C155"/>
      <c r="D155"/>
      <c r="E155"/>
      <c r="F155" s="10"/>
      <c r="G155" s="96"/>
      <c r="H155"/>
      <c r="I155"/>
      <c r="J155"/>
      <c r="K155"/>
      <c r="M155" s="90">
        <f t="shared" si="11"/>
        <v>48000</v>
      </c>
      <c r="N155" s="36">
        <f t="shared" si="12"/>
        <v>0</v>
      </c>
      <c r="O155" s="37">
        <f t="shared" si="12"/>
        <v>0</v>
      </c>
      <c r="P155" s="94">
        <f t="shared" si="10"/>
        <v>0</v>
      </c>
      <c r="R155" s="38">
        <f>SourceEnergy!B162</f>
        <v>48000</v>
      </c>
      <c r="S155" s="39">
        <v>55.573180000000001</v>
      </c>
      <c r="T155" s="40">
        <v>46.66431</v>
      </c>
      <c r="U155" s="41" t="e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#VALUE!</v>
      </c>
      <c r="W155" s="12">
        <f>W153+W154</f>
        <v>0</v>
      </c>
      <c r="X155" s="12" t="s">
        <v>81</v>
      </c>
    </row>
    <row r="156" spans="1:24" ht="15" customHeight="1" outlineLevel="1" x14ac:dyDescent="0.2">
      <c r="A156" s="96"/>
      <c r="B156"/>
      <c r="C156"/>
      <c r="D156"/>
      <c r="E156"/>
      <c r="F156" s="10"/>
      <c r="G156" s="96"/>
      <c r="H156"/>
      <c r="I156"/>
      <c r="J156"/>
      <c r="K156"/>
      <c r="M156" s="90">
        <f t="shared" si="11"/>
        <v>48030</v>
      </c>
      <c r="N156" s="36">
        <f t="shared" si="12"/>
        <v>0</v>
      </c>
      <c r="O156" s="37">
        <f t="shared" si="12"/>
        <v>0</v>
      </c>
      <c r="P156" s="94">
        <f t="shared" si="10"/>
        <v>0</v>
      </c>
      <c r="R156" s="38">
        <f>SourceEnergy!B163</f>
        <v>48030</v>
      </c>
      <c r="S156" s="39">
        <v>75.106660000000005</v>
      </c>
      <c r="T156" s="40">
        <v>56.136229999999998</v>
      </c>
      <c r="U156" s="41" t="e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#VALUE!</v>
      </c>
    </row>
    <row r="157" spans="1:24" ht="15" customHeight="1" outlineLevel="1" x14ac:dyDescent="0.2">
      <c r="A157" s="96"/>
      <c r="B157"/>
      <c r="C157"/>
      <c r="D157"/>
      <c r="E157"/>
      <c r="F157" s="10"/>
      <c r="G157" s="96"/>
      <c r="H157"/>
      <c r="I157"/>
      <c r="J157"/>
      <c r="K157"/>
      <c r="M157" s="90">
        <f t="shared" si="11"/>
        <v>48061</v>
      </c>
      <c r="N157" s="36">
        <f t="shared" si="12"/>
        <v>0</v>
      </c>
      <c r="O157" s="37">
        <f t="shared" si="12"/>
        <v>0</v>
      </c>
      <c r="P157" s="94">
        <f t="shared" si="10"/>
        <v>0</v>
      </c>
      <c r="R157" s="38">
        <f>SourceEnergy!B164</f>
        <v>48061</v>
      </c>
      <c r="S157" s="39">
        <v>76.518410000000003</v>
      </c>
      <c r="T157" s="40">
        <v>59.425719999999998</v>
      </c>
      <c r="U157" s="41" t="e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#VALUE!</v>
      </c>
      <c r="W157" s="42" t="e">
        <f>W155/W151</f>
        <v>#DIV/0!</v>
      </c>
      <c r="X157" s="12" t="s">
        <v>82</v>
      </c>
    </row>
    <row r="158" spans="1:24" ht="15" customHeight="1" outlineLevel="1" x14ac:dyDescent="0.2">
      <c r="A158" s="96"/>
      <c r="B158"/>
      <c r="C158"/>
      <c r="D158"/>
      <c r="E158"/>
      <c r="F158" s="10"/>
      <c r="G158" s="96"/>
      <c r="H158"/>
      <c r="I158"/>
      <c r="J158"/>
      <c r="K158"/>
      <c r="M158" s="90">
        <f t="shared" si="11"/>
        <v>48092</v>
      </c>
      <c r="N158" s="36">
        <f t="shared" si="12"/>
        <v>0</v>
      </c>
      <c r="O158" s="37">
        <f t="shared" si="12"/>
        <v>0</v>
      </c>
      <c r="P158" s="94">
        <f t="shared" si="10"/>
        <v>0</v>
      </c>
      <c r="R158" s="38">
        <f>SourceEnergy!B165</f>
        <v>48092</v>
      </c>
      <c r="S158" s="39">
        <v>69.140299999999996</v>
      </c>
      <c r="T158" s="40">
        <v>53.495980000000003</v>
      </c>
      <c r="U158" s="41" t="e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#VALUE!</v>
      </c>
    </row>
    <row r="159" spans="1:24" ht="15" customHeight="1" outlineLevel="1" x14ac:dyDescent="0.2">
      <c r="A159" s="96"/>
      <c r="B159"/>
      <c r="C159"/>
      <c r="D159"/>
      <c r="E159"/>
      <c r="F159" s="10"/>
      <c r="G159" s="96"/>
      <c r="H159"/>
      <c r="I159"/>
      <c r="J159"/>
      <c r="K159"/>
      <c r="M159" s="90">
        <f t="shared" si="11"/>
        <v>48122</v>
      </c>
      <c r="N159" s="36">
        <f t="shared" si="12"/>
        <v>0</v>
      </c>
      <c r="O159" s="37">
        <f t="shared" si="12"/>
        <v>0</v>
      </c>
      <c r="P159" s="94">
        <f t="shared" si="10"/>
        <v>0</v>
      </c>
      <c r="R159" s="38">
        <f>SourceEnergy!B166</f>
        <v>48122</v>
      </c>
      <c r="S159" s="39">
        <v>50.995780000000003</v>
      </c>
      <c r="T159" s="40">
        <v>45.678449999999998</v>
      </c>
      <c r="U159" s="41" t="e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#VALUE!</v>
      </c>
    </row>
    <row r="160" spans="1:24" ht="15" customHeight="1" outlineLevel="1" x14ac:dyDescent="0.2">
      <c r="A160" s="96"/>
      <c r="B160"/>
      <c r="C160"/>
      <c r="D160"/>
      <c r="E160"/>
      <c r="F160" s="10"/>
      <c r="G160" s="96"/>
      <c r="H160"/>
      <c r="I160"/>
      <c r="J160"/>
      <c r="K160"/>
      <c r="M160" s="90">
        <f t="shared" si="11"/>
        <v>48153</v>
      </c>
      <c r="N160" s="36">
        <f t="shared" si="12"/>
        <v>0</v>
      </c>
      <c r="O160" s="37">
        <f t="shared" si="12"/>
        <v>0</v>
      </c>
      <c r="P160" s="94">
        <f t="shared" si="10"/>
        <v>0</v>
      </c>
      <c r="R160" s="38">
        <f>SourceEnergy!B167</f>
        <v>48153</v>
      </c>
      <c r="S160" s="39">
        <v>50.694789999999998</v>
      </c>
      <c r="T160" s="40">
        <v>46.261899999999997</v>
      </c>
      <c r="U160" s="41" t="e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#VALUE!</v>
      </c>
    </row>
    <row r="161" spans="1:24" ht="15" customHeight="1" outlineLevel="1" x14ac:dyDescent="0.2">
      <c r="A161" s="96"/>
      <c r="B161"/>
      <c r="C161"/>
      <c r="D161"/>
      <c r="E161"/>
      <c r="F161" s="10"/>
      <c r="G161" s="96"/>
      <c r="H161"/>
      <c r="I161"/>
      <c r="J161"/>
      <c r="K161"/>
      <c r="M161" s="91">
        <f t="shared" si="11"/>
        <v>48183</v>
      </c>
      <c r="N161" s="43">
        <f t="shared" si="12"/>
        <v>0</v>
      </c>
      <c r="O161" s="44">
        <f t="shared" si="12"/>
        <v>0</v>
      </c>
      <c r="P161" s="95">
        <f t="shared" si="10"/>
        <v>0</v>
      </c>
      <c r="R161" s="45">
        <f>SourceEnergy!B168</f>
        <v>48183</v>
      </c>
      <c r="S161" s="46">
        <v>56.156500000000001</v>
      </c>
      <c r="T161" s="47">
        <v>50.786250000000003</v>
      </c>
      <c r="U161" s="48" t="e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#VALUE!</v>
      </c>
    </row>
    <row r="162" spans="1:24" ht="15" customHeight="1" outlineLevel="1" x14ac:dyDescent="0.2">
      <c r="A162" s="96"/>
      <c r="B162"/>
      <c r="C162"/>
      <c r="D162"/>
      <c r="E162"/>
      <c r="F162" s="10"/>
      <c r="G162" s="96"/>
      <c r="H162"/>
      <c r="I162"/>
      <c r="J162"/>
      <c r="K162"/>
      <c r="M162" s="92">
        <f t="shared" si="11"/>
        <v>48214</v>
      </c>
      <c r="N162" s="28">
        <f t="shared" si="12"/>
        <v>0</v>
      </c>
      <c r="O162" s="29">
        <f t="shared" si="12"/>
        <v>0</v>
      </c>
      <c r="P162" s="93">
        <f t="shared" si="10"/>
        <v>0</v>
      </c>
      <c r="R162" s="30">
        <f>SourceEnergy!B169</f>
        <v>48214</v>
      </c>
      <c r="S162" s="31">
        <v>55.146470000000001</v>
      </c>
      <c r="T162" s="32">
        <v>49.353929999999998</v>
      </c>
      <c r="U162" s="33" t="e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#VALUE!</v>
      </c>
      <c r="W162" s="34">
        <f>YEAR(M162)</f>
        <v>2032</v>
      </c>
      <c r="X162" s="35"/>
    </row>
    <row r="163" spans="1:24" ht="15" customHeight="1" outlineLevel="1" x14ac:dyDescent="0.2">
      <c r="A163" s="96"/>
      <c r="B163"/>
      <c r="C163"/>
      <c r="D163"/>
      <c r="E163"/>
      <c r="F163" s="10"/>
      <c r="G163" s="96"/>
      <c r="H163"/>
      <c r="I163"/>
      <c r="J163"/>
      <c r="K163"/>
      <c r="M163" s="90">
        <f t="shared" si="11"/>
        <v>48245</v>
      </c>
      <c r="N163" s="36">
        <f t="shared" si="12"/>
        <v>0</v>
      </c>
      <c r="O163" s="37">
        <f t="shared" si="12"/>
        <v>0</v>
      </c>
      <c r="P163" s="94">
        <f t="shared" si="10"/>
        <v>0</v>
      </c>
      <c r="R163" s="38">
        <f>SourceEnergy!B170</f>
        <v>48245</v>
      </c>
      <c r="S163" s="39">
        <v>53.629809999999999</v>
      </c>
      <c r="T163" s="40">
        <v>49.216769999999997</v>
      </c>
      <c r="U163" s="41" t="e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#VALUE!</v>
      </c>
      <c r="W163" s="12">
        <f>SUMPRODUCT(N162:N173,S162:S173)+SUMPRODUCT(O162:O173,T162:T173)</f>
        <v>0</v>
      </c>
      <c r="X163" s="12" t="s">
        <v>78</v>
      </c>
    </row>
    <row r="164" spans="1:24" ht="15" customHeight="1" outlineLevel="1" x14ac:dyDescent="0.2">
      <c r="A164" s="96"/>
      <c r="B164"/>
      <c r="C164"/>
      <c r="D164"/>
      <c r="E164"/>
      <c r="F164" s="10"/>
      <c r="G164" s="96"/>
      <c r="H164"/>
      <c r="I164"/>
      <c r="J164"/>
      <c r="K164"/>
      <c r="M164" s="90">
        <f t="shared" si="11"/>
        <v>48274</v>
      </c>
      <c r="N164" s="36">
        <f t="shared" si="12"/>
        <v>0</v>
      </c>
      <c r="O164" s="37">
        <f t="shared" si="12"/>
        <v>0</v>
      </c>
      <c r="P164" s="94">
        <f t="shared" si="10"/>
        <v>0</v>
      </c>
      <c r="R164" s="38">
        <f>SourceEnergy!B171</f>
        <v>48274</v>
      </c>
      <c r="S164" s="39">
        <v>50.355580000000003</v>
      </c>
      <c r="T164" s="40">
        <v>47.370399999999997</v>
      </c>
      <c r="U164" s="41" t="e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#VALUE!</v>
      </c>
    </row>
    <row r="165" spans="1:24" ht="15" customHeight="1" outlineLevel="1" x14ac:dyDescent="0.2">
      <c r="A165" s="96"/>
      <c r="B165"/>
      <c r="C165"/>
      <c r="D165"/>
      <c r="E165"/>
      <c r="F165" s="10"/>
      <c r="G165" s="96"/>
      <c r="H165"/>
      <c r="I165"/>
      <c r="J165"/>
      <c r="K165"/>
      <c r="M165" s="90">
        <f t="shared" si="11"/>
        <v>48305</v>
      </c>
      <c r="N165" s="36">
        <f t="shared" si="12"/>
        <v>0</v>
      </c>
      <c r="O165" s="37">
        <f t="shared" si="12"/>
        <v>0</v>
      </c>
      <c r="P165" s="94">
        <f t="shared" si="10"/>
        <v>0</v>
      </c>
      <c r="R165" s="38">
        <f>SourceEnergy!B172</f>
        <v>48305</v>
      </c>
      <c r="S165" s="39">
        <v>49.673679999999997</v>
      </c>
      <c r="T165" s="40">
        <v>46.602710000000002</v>
      </c>
      <c r="U165" s="41" t="e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#VALUE!</v>
      </c>
      <c r="W165" s="12">
        <f>VLOOKUP(W162,'[1]Table 5'!$L$16:$N$36,2,FALSE)</f>
        <v>0</v>
      </c>
      <c r="X165" s="12" t="s">
        <v>79</v>
      </c>
    </row>
    <row r="166" spans="1:24" ht="15" customHeight="1" outlineLevel="1" x14ac:dyDescent="0.2">
      <c r="A166" s="96"/>
      <c r="B166"/>
      <c r="C166"/>
      <c r="D166"/>
      <c r="E166"/>
      <c r="F166" s="10"/>
      <c r="G166" s="96"/>
      <c r="H166"/>
      <c r="I166"/>
      <c r="J166"/>
      <c r="K166"/>
      <c r="M166" s="90">
        <f t="shared" si="11"/>
        <v>48335</v>
      </c>
      <c r="N166" s="36">
        <f t="shared" ref="N166:O185" si="13">SUMIFS($K$6:$K$245,$G$6:$G$245,$M166,$J$6:$J$245,N$5)</f>
        <v>0</v>
      </c>
      <c r="O166" s="37">
        <f t="shared" si="13"/>
        <v>0</v>
      </c>
      <c r="P166" s="94">
        <f t="shared" si="10"/>
        <v>0</v>
      </c>
      <c r="R166" s="38">
        <f>SourceEnergy!B173</f>
        <v>48335</v>
      </c>
      <c r="S166" s="39">
        <v>50.319099999999999</v>
      </c>
      <c r="T166" s="40">
        <v>46.330100000000002</v>
      </c>
      <c r="U166" s="41" t="e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#VALUE!</v>
      </c>
      <c r="W166" s="12">
        <f>VLOOKUP(W162,'[1]Table 5'!$L$16:$N$36,3,FALSE)</f>
        <v>0</v>
      </c>
      <c r="X166" s="12" t="s">
        <v>80</v>
      </c>
    </row>
    <row r="167" spans="1:24" ht="15" customHeight="1" outlineLevel="1" x14ac:dyDescent="0.2">
      <c r="A167" s="96"/>
      <c r="B167"/>
      <c r="C167"/>
      <c r="D167"/>
      <c r="E167"/>
      <c r="F167" s="10"/>
      <c r="G167" s="96"/>
      <c r="H167"/>
      <c r="I167"/>
      <c r="J167"/>
      <c r="K167"/>
      <c r="M167" s="90">
        <f t="shared" si="11"/>
        <v>48366</v>
      </c>
      <c r="N167" s="36">
        <f t="shared" si="13"/>
        <v>0</v>
      </c>
      <c r="O167" s="37">
        <f t="shared" si="13"/>
        <v>0</v>
      </c>
      <c r="P167" s="94">
        <f t="shared" si="10"/>
        <v>0</v>
      </c>
      <c r="R167" s="38">
        <f>SourceEnergy!B174</f>
        <v>48366</v>
      </c>
      <c r="S167" s="39">
        <v>60.361130000000003</v>
      </c>
      <c r="T167" s="40">
        <v>50.817689999999999</v>
      </c>
      <c r="U167" s="41" t="e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#VALUE!</v>
      </c>
      <c r="W167" s="12">
        <f>W165+W166</f>
        <v>0</v>
      </c>
      <c r="X167" s="12" t="s">
        <v>81</v>
      </c>
    </row>
    <row r="168" spans="1:24" ht="15" customHeight="1" outlineLevel="1" x14ac:dyDescent="0.2">
      <c r="A168" s="96"/>
      <c r="B168"/>
      <c r="C168"/>
      <c r="D168"/>
      <c r="E168"/>
      <c r="F168" s="10"/>
      <c r="G168" s="96"/>
      <c r="H168"/>
      <c r="I168"/>
      <c r="J168"/>
      <c r="K168"/>
      <c r="M168" s="90">
        <f t="shared" si="11"/>
        <v>48396</v>
      </c>
      <c r="N168" s="36">
        <f t="shared" si="13"/>
        <v>0</v>
      </c>
      <c r="O168" s="37">
        <f t="shared" si="13"/>
        <v>0</v>
      </c>
      <c r="P168" s="94">
        <f t="shared" si="10"/>
        <v>0</v>
      </c>
      <c r="R168" s="38">
        <f>SourceEnergy!B175</f>
        <v>48396</v>
      </c>
      <c r="S168" s="39">
        <v>80.316569999999999</v>
      </c>
      <c r="T168" s="40">
        <v>61.158279999999998</v>
      </c>
      <c r="U168" s="41" t="e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#VALUE!</v>
      </c>
    </row>
    <row r="169" spans="1:24" ht="15" customHeight="1" outlineLevel="1" x14ac:dyDescent="0.2">
      <c r="A169" s="96"/>
      <c r="B169"/>
      <c r="C169"/>
      <c r="D169"/>
      <c r="E169"/>
      <c r="F169" s="10"/>
      <c r="G169" s="96"/>
      <c r="H169"/>
      <c r="I169"/>
      <c r="J169"/>
      <c r="K169"/>
      <c r="M169" s="90">
        <f t="shared" si="11"/>
        <v>48427</v>
      </c>
      <c r="N169" s="36">
        <f t="shared" si="13"/>
        <v>0</v>
      </c>
      <c r="O169" s="37">
        <f t="shared" si="13"/>
        <v>0</v>
      </c>
      <c r="P169" s="94">
        <f t="shared" si="10"/>
        <v>0</v>
      </c>
      <c r="R169" s="38">
        <f>SourceEnergy!B176</f>
        <v>48427</v>
      </c>
      <c r="S169" s="39">
        <v>82.534829999999999</v>
      </c>
      <c r="T169" s="40">
        <v>64.169619999999995</v>
      </c>
      <c r="U169" s="41" t="e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#VALUE!</v>
      </c>
      <c r="W169" s="42" t="e">
        <f>W167/W163</f>
        <v>#DIV/0!</v>
      </c>
      <c r="X169" s="12" t="s">
        <v>82</v>
      </c>
    </row>
    <row r="170" spans="1:24" ht="15" customHeight="1" outlineLevel="1" x14ac:dyDescent="0.2">
      <c r="A170" s="96"/>
      <c r="B170"/>
      <c r="C170"/>
      <c r="D170"/>
      <c r="E170"/>
      <c r="F170" s="10"/>
      <c r="G170" s="96"/>
      <c r="H170"/>
      <c r="I170"/>
      <c r="J170"/>
      <c r="K170"/>
      <c r="M170" s="90">
        <f t="shared" si="11"/>
        <v>48458</v>
      </c>
      <c r="N170" s="36">
        <f t="shared" si="13"/>
        <v>0</v>
      </c>
      <c r="O170" s="37">
        <f t="shared" si="13"/>
        <v>0</v>
      </c>
      <c r="P170" s="94">
        <f t="shared" si="10"/>
        <v>0</v>
      </c>
      <c r="R170" s="38">
        <f>SourceEnergy!B177</f>
        <v>48458</v>
      </c>
      <c r="S170" s="39">
        <v>72.860479999999995</v>
      </c>
      <c r="T170" s="40">
        <v>57.851700000000001</v>
      </c>
      <c r="U170" s="41" t="e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#VALUE!</v>
      </c>
    </row>
    <row r="171" spans="1:24" ht="15" customHeight="1" outlineLevel="1" x14ac:dyDescent="0.2">
      <c r="A171" s="96"/>
      <c r="B171"/>
      <c r="C171"/>
      <c r="D171"/>
      <c r="E171"/>
      <c r="F171" s="10"/>
      <c r="G171" s="96"/>
      <c r="H171"/>
      <c r="I171"/>
      <c r="J171"/>
      <c r="K171"/>
      <c r="M171" s="90">
        <f t="shared" si="11"/>
        <v>48488</v>
      </c>
      <c r="N171" s="36">
        <f t="shared" si="13"/>
        <v>0</v>
      </c>
      <c r="O171" s="37">
        <f t="shared" si="13"/>
        <v>0</v>
      </c>
      <c r="P171" s="94">
        <f t="shared" si="10"/>
        <v>0</v>
      </c>
      <c r="R171" s="38">
        <f>SourceEnergy!B178</f>
        <v>48488</v>
      </c>
      <c r="S171" s="39">
        <v>55.270299999999999</v>
      </c>
      <c r="T171" s="40">
        <v>49.91581</v>
      </c>
      <c r="U171" s="41" t="e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#VALUE!</v>
      </c>
    </row>
    <row r="172" spans="1:24" ht="15" customHeight="1" outlineLevel="1" x14ac:dyDescent="0.2">
      <c r="A172" s="96"/>
      <c r="B172"/>
      <c r="C172"/>
      <c r="D172"/>
      <c r="E172"/>
      <c r="F172" s="10"/>
      <c r="G172" s="96"/>
      <c r="H172"/>
      <c r="I172"/>
      <c r="J172"/>
      <c r="K172"/>
      <c r="M172" s="90">
        <f t="shared" si="11"/>
        <v>48519</v>
      </c>
      <c r="N172" s="36">
        <f t="shared" si="13"/>
        <v>0</v>
      </c>
      <c r="O172" s="37">
        <f t="shared" si="13"/>
        <v>0</v>
      </c>
      <c r="P172" s="94">
        <f t="shared" si="10"/>
        <v>0</v>
      </c>
      <c r="R172" s="38">
        <f>SourceEnergy!B179</f>
        <v>48519</v>
      </c>
      <c r="S172" s="39">
        <v>57.101970000000001</v>
      </c>
      <c r="T172" s="40">
        <v>50.953130000000002</v>
      </c>
      <c r="U172" s="41" t="e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#VALUE!</v>
      </c>
    </row>
    <row r="173" spans="1:24" ht="15" customHeight="1" outlineLevel="1" x14ac:dyDescent="0.2">
      <c r="A173" s="96"/>
      <c r="B173"/>
      <c r="C173"/>
      <c r="D173"/>
      <c r="E173"/>
      <c r="F173" s="10"/>
      <c r="G173" s="96"/>
      <c r="H173"/>
      <c r="I173"/>
      <c r="J173"/>
      <c r="K173"/>
      <c r="M173" s="91">
        <f t="shared" si="11"/>
        <v>48549</v>
      </c>
      <c r="N173" s="43">
        <f t="shared" si="13"/>
        <v>0</v>
      </c>
      <c r="O173" s="44">
        <f t="shared" si="13"/>
        <v>0</v>
      </c>
      <c r="P173" s="95">
        <f t="shared" si="10"/>
        <v>0</v>
      </c>
      <c r="R173" s="45">
        <f>SourceEnergy!B180</f>
        <v>48549</v>
      </c>
      <c r="S173" s="46">
        <v>59.947400000000002</v>
      </c>
      <c r="T173" s="47">
        <v>55.181060000000002</v>
      </c>
      <c r="U173" s="48" t="e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#VALUE!</v>
      </c>
    </row>
    <row r="174" spans="1:24" ht="15" customHeight="1" outlineLevel="1" x14ac:dyDescent="0.2">
      <c r="A174" s="96"/>
      <c r="B174"/>
      <c r="C174"/>
      <c r="D174"/>
      <c r="E174"/>
      <c r="F174" s="10"/>
      <c r="G174" s="96"/>
      <c r="H174"/>
      <c r="I174"/>
      <c r="J174"/>
      <c r="K174"/>
      <c r="M174" s="92">
        <f t="shared" si="11"/>
        <v>48580</v>
      </c>
      <c r="N174" s="28">
        <f t="shared" si="13"/>
        <v>0</v>
      </c>
      <c r="O174" s="29">
        <f t="shared" si="13"/>
        <v>0</v>
      </c>
      <c r="P174" s="93">
        <f t="shared" si="10"/>
        <v>0</v>
      </c>
      <c r="R174" s="30">
        <f>SourceEnergy!B181</f>
        <v>48580</v>
      </c>
      <c r="S174" s="31">
        <v>59.378030000000003</v>
      </c>
      <c r="T174" s="32">
        <v>53.709739999999996</v>
      </c>
      <c r="U174" s="33" t="e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#VALUE!</v>
      </c>
      <c r="W174" s="34">
        <f>YEAR(M174)</f>
        <v>2033</v>
      </c>
      <c r="X174" s="35"/>
    </row>
    <row r="175" spans="1:24" ht="15" customHeight="1" outlineLevel="1" x14ac:dyDescent="0.2">
      <c r="A175" s="96"/>
      <c r="B175"/>
      <c r="C175"/>
      <c r="D175"/>
      <c r="E175"/>
      <c r="F175" s="10"/>
      <c r="G175" s="96"/>
      <c r="H175"/>
      <c r="I175"/>
      <c r="J175"/>
      <c r="K175"/>
      <c r="M175" s="90">
        <f t="shared" si="11"/>
        <v>48611</v>
      </c>
      <c r="N175" s="36">
        <f t="shared" si="13"/>
        <v>0</v>
      </c>
      <c r="O175" s="37">
        <f t="shared" si="13"/>
        <v>0</v>
      </c>
      <c r="P175" s="94">
        <f t="shared" si="10"/>
        <v>0</v>
      </c>
      <c r="R175" s="38">
        <f>SourceEnergy!B182</f>
        <v>48611</v>
      </c>
      <c r="S175" s="39">
        <v>58.073039999999999</v>
      </c>
      <c r="T175" s="40">
        <v>53.936199999999999</v>
      </c>
      <c r="U175" s="41" t="e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#VALUE!</v>
      </c>
      <c r="W175" s="12">
        <f>SUMPRODUCT(N174:N185,S174:S185)+SUMPRODUCT(O174:O185,T174:T185)</f>
        <v>0</v>
      </c>
      <c r="X175" s="12" t="s">
        <v>78</v>
      </c>
    </row>
    <row r="176" spans="1:24" ht="15" customHeight="1" outlineLevel="1" x14ac:dyDescent="0.2">
      <c r="A176" s="96"/>
      <c r="B176"/>
      <c r="C176"/>
      <c r="D176"/>
      <c r="E176"/>
      <c r="F176" s="10"/>
      <c r="G176" s="96"/>
      <c r="H176"/>
      <c r="I176"/>
      <c r="J176"/>
      <c r="K176"/>
      <c r="M176" s="90">
        <f t="shared" si="11"/>
        <v>48639</v>
      </c>
      <c r="N176" s="36">
        <f t="shared" si="13"/>
        <v>0</v>
      </c>
      <c r="O176" s="37">
        <f t="shared" si="13"/>
        <v>0</v>
      </c>
      <c r="P176" s="94">
        <f t="shared" si="10"/>
        <v>0</v>
      </c>
      <c r="R176" s="38">
        <f>SourceEnergy!B183</f>
        <v>48639</v>
      </c>
      <c r="S176" s="39">
        <v>50.810549999999999</v>
      </c>
      <c r="T176" s="40">
        <v>48.421660000000003</v>
      </c>
      <c r="U176" s="41" t="e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#VALUE!</v>
      </c>
    </row>
    <row r="177" spans="1:24" ht="15" customHeight="1" outlineLevel="1" x14ac:dyDescent="0.2">
      <c r="A177" s="96"/>
      <c r="B177"/>
      <c r="C177"/>
      <c r="D177"/>
      <c r="E177"/>
      <c r="F177" s="10"/>
      <c r="G177" s="96"/>
      <c r="H177"/>
      <c r="I177"/>
      <c r="J177"/>
      <c r="K177"/>
      <c r="M177" s="90">
        <f t="shared" si="11"/>
        <v>48670</v>
      </c>
      <c r="N177" s="36">
        <f t="shared" si="13"/>
        <v>0</v>
      </c>
      <c r="O177" s="37">
        <f t="shared" si="13"/>
        <v>0</v>
      </c>
      <c r="P177" s="94">
        <f t="shared" si="10"/>
        <v>0</v>
      </c>
      <c r="R177" s="38">
        <f>SourceEnergy!B184</f>
        <v>48670</v>
      </c>
      <c r="S177" s="39">
        <v>48.679519999999997</v>
      </c>
      <c r="T177" s="40">
        <v>46.590240000000001</v>
      </c>
      <c r="U177" s="41" t="e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#VALUE!</v>
      </c>
      <c r="W177" s="12">
        <f>VLOOKUP(W174,'[1]Table 5'!$L$16:$N$36,2,FALSE)</f>
        <v>0</v>
      </c>
      <c r="X177" s="12" t="s">
        <v>79</v>
      </c>
    </row>
    <row r="178" spans="1:24" ht="15" customHeight="1" outlineLevel="1" x14ac:dyDescent="0.2">
      <c r="A178" s="96"/>
      <c r="B178"/>
      <c r="C178"/>
      <c r="D178"/>
      <c r="E178"/>
      <c r="F178" s="10"/>
      <c r="G178" s="96"/>
      <c r="H178"/>
      <c r="I178"/>
      <c r="J178"/>
      <c r="K178"/>
      <c r="M178" s="90">
        <f t="shared" si="11"/>
        <v>48700</v>
      </c>
      <c r="N178" s="36">
        <f t="shared" si="13"/>
        <v>0</v>
      </c>
      <c r="O178" s="37">
        <f t="shared" si="13"/>
        <v>0</v>
      </c>
      <c r="P178" s="94">
        <f t="shared" si="10"/>
        <v>0</v>
      </c>
      <c r="R178" s="38">
        <f>SourceEnergy!B185</f>
        <v>48700</v>
      </c>
      <c r="S178" s="39">
        <v>52.871650000000002</v>
      </c>
      <c r="T178" s="40">
        <v>48.2639</v>
      </c>
      <c r="U178" s="41" t="e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#VALUE!</v>
      </c>
      <c r="W178" s="12">
        <f>VLOOKUP(W174,'[1]Table 5'!$L$16:$N$36,3,FALSE)</f>
        <v>0</v>
      </c>
      <c r="X178" s="12" t="s">
        <v>80</v>
      </c>
    </row>
    <row r="179" spans="1:24" ht="15" customHeight="1" outlineLevel="1" x14ac:dyDescent="0.2">
      <c r="A179" s="96"/>
      <c r="B179"/>
      <c r="C179"/>
      <c r="D179"/>
      <c r="E179"/>
      <c r="F179" s="10"/>
      <c r="G179" s="96"/>
      <c r="H179"/>
      <c r="I179"/>
      <c r="J179"/>
      <c r="K179"/>
      <c r="M179" s="90">
        <f t="shared" si="11"/>
        <v>48731</v>
      </c>
      <c r="N179" s="36">
        <f t="shared" si="13"/>
        <v>0</v>
      </c>
      <c r="O179" s="37">
        <f t="shared" si="13"/>
        <v>0</v>
      </c>
      <c r="P179" s="94">
        <f t="shared" si="10"/>
        <v>0</v>
      </c>
      <c r="R179" s="38">
        <f>SourceEnergy!B186</f>
        <v>48731</v>
      </c>
      <c r="S179" s="39">
        <v>62.82103</v>
      </c>
      <c r="T179" s="40">
        <v>53.254689999999997</v>
      </c>
      <c r="U179" s="41" t="e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#VALUE!</v>
      </c>
      <c r="W179" s="12">
        <f>W177+W178</f>
        <v>0</v>
      </c>
      <c r="X179" s="12" t="s">
        <v>81</v>
      </c>
    </row>
    <row r="180" spans="1:24" ht="15" customHeight="1" outlineLevel="1" x14ac:dyDescent="0.2">
      <c r="A180" s="96"/>
      <c r="B180"/>
      <c r="C180"/>
      <c r="D180"/>
      <c r="E180"/>
      <c r="F180" s="10"/>
      <c r="G180" s="96"/>
      <c r="H180"/>
      <c r="I180"/>
      <c r="J180"/>
      <c r="K180"/>
      <c r="M180" s="90">
        <f t="shared" si="11"/>
        <v>48761</v>
      </c>
      <c r="N180" s="36">
        <f t="shared" si="13"/>
        <v>0</v>
      </c>
      <c r="O180" s="37">
        <f t="shared" si="13"/>
        <v>0</v>
      </c>
      <c r="P180" s="94">
        <f t="shared" si="10"/>
        <v>0</v>
      </c>
      <c r="R180" s="38">
        <f>SourceEnergy!B187</f>
        <v>48761</v>
      </c>
      <c r="S180" s="39">
        <v>83.268479999999997</v>
      </c>
      <c r="T180" s="40">
        <v>64.361949999999993</v>
      </c>
      <c r="U180" s="41" t="e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#VALUE!</v>
      </c>
    </row>
    <row r="181" spans="1:24" ht="15" customHeight="1" outlineLevel="1" x14ac:dyDescent="0.2">
      <c r="A181" s="96"/>
      <c r="B181"/>
      <c r="C181"/>
      <c r="D181"/>
      <c r="E181"/>
      <c r="F181" s="10"/>
      <c r="G181" s="96"/>
      <c r="H181"/>
      <c r="I181"/>
      <c r="J181"/>
      <c r="K181"/>
      <c r="M181" s="90">
        <f t="shared" si="11"/>
        <v>48792</v>
      </c>
      <c r="N181" s="36">
        <f t="shared" si="13"/>
        <v>0</v>
      </c>
      <c r="O181" s="37">
        <f t="shared" si="13"/>
        <v>0</v>
      </c>
      <c r="P181" s="94">
        <f t="shared" si="10"/>
        <v>0</v>
      </c>
      <c r="R181" s="38">
        <f>SourceEnergy!B188</f>
        <v>48792</v>
      </c>
      <c r="S181" s="39">
        <v>85.020870000000002</v>
      </c>
      <c r="T181" s="40">
        <v>66.097840000000005</v>
      </c>
      <c r="U181" s="41" t="e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#VALUE!</v>
      </c>
      <c r="W181" s="42" t="e">
        <f>W179/W175</f>
        <v>#DIV/0!</v>
      </c>
      <c r="X181" s="12" t="s">
        <v>82</v>
      </c>
    </row>
    <row r="182" spans="1:24" ht="15" customHeight="1" outlineLevel="1" x14ac:dyDescent="0.2">
      <c r="A182" s="96"/>
      <c r="B182"/>
      <c r="C182"/>
      <c r="D182"/>
      <c r="E182"/>
      <c r="F182" s="10"/>
      <c r="G182" s="96"/>
      <c r="H182"/>
      <c r="I182"/>
      <c r="J182"/>
      <c r="K182"/>
      <c r="M182" s="90">
        <f t="shared" si="11"/>
        <v>48823</v>
      </c>
      <c r="N182" s="36">
        <f t="shared" si="13"/>
        <v>0</v>
      </c>
      <c r="O182" s="37">
        <f t="shared" si="13"/>
        <v>0</v>
      </c>
      <c r="P182" s="94">
        <f t="shared" si="10"/>
        <v>0</v>
      </c>
      <c r="R182" s="38">
        <f>SourceEnergy!B189</f>
        <v>48823</v>
      </c>
      <c r="S182" s="39">
        <v>75.520290000000003</v>
      </c>
      <c r="T182" s="40">
        <v>60.796349999999997</v>
      </c>
      <c r="U182" s="41" t="e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#VALUE!</v>
      </c>
    </row>
    <row r="183" spans="1:24" ht="15" customHeight="1" outlineLevel="1" x14ac:dyDescent="0.2">
      <c r="A183" s="96"/>
      <c r="B183"/>
      <c r="C183"/>
      <c r="D183"/>
      <c r="E183"/>
      <c r="F183" s="10"/>
      <c r="G183" s="96"/>
      <c r="H183"/>
      <c r="I183"/>
      <c r="J183"/>
      <c r="K183"/>
      <c r="M183" s="90">
        <f t="shared" si="11"/>
        <v>48853</v>
      </c>
      <c r="N183" s="36">
        <f t="shared" si="13"/>
        <v>0</v>
      </c>
      <c r="O183" s="37">
        <f t="shared" si="13"/>
        <v>0</v>
      </c>
      <c r="P183" s="94">
        <f t="shared" si="10"/>
        <v>0</v>
      </c>
      <c r="R183" s="38">
        <f>SourceEnergy!B190</f>
        <v>48853</v>
      </c>
      <c r="S183" s="39">
        <v>58.877220000000001</v>
      </c>
      <c r="T183" s="40">
        <v>53.203830000000004</v>
      </c>
      <c r="U183" s="41" t="e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#VALUE!</v>
      </c>
    </row>
    <row r="184" spans="1:24" ht="15" customHeight="1" outlineLevel="1" x14ac:dyDescent="0.2">
      <c r="A184" s="96"/>
      <c r="B184"/>
      <c r="C184"/>
      <c r="D184"/>
      <c r="E184"/>
      <c r="F184" s="10"/>
      <c r="G184" s="96"/>
      <c r="H184"/>
      <c r="I184"/>
      <c r="J184"/>
      <c r="K184"/>
      <c r="M184" s="90">
        <f t="shared" si="11"/>
        <v>48884</v>
      </c>
      <c r="N184" s="36">
        <f t="shared" si="13"/>
        <v>0</v>
      </c>
      <c r="O184" s="37">
        <f t="shared" si="13"/>
        <v>0</v>
      </c>
      <c r="P184" s="94">
        <f t="shared" si="10"/>
        <v>0</v>
      </c>
      <c r="R184" s="38">
        <f>SourceEnergy!B191</f>
        <v>48884</v>
      </c>
      <c r="S184" s="39">
        <v>57.284230000000001</v>
      </c>
      <c r="T184" s="40">
        <v>52.27187</v>
      </c>
      <c r="U184" s="41" t="e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#VALUE!</v>
      </c>
    </row>
    <row r="185" spans="1:24" ht="15" customHeight="1" outlineLevel="1" x14ac:dyDescent="0.2">
      <c r="A185" s="96"/>
      <c r="B185"/>
      <c r="C185"/>
      <c r="D185"/>
      <c r="E185"/>
      <c r="F185" s="10"/>
      <c r="G185" s="96"/>
      <c r="H185"/>
      <c r="I185"/>
      <c r="J185"/>
      <c r="K185"/>
      <c r="M185" s="91">
        <f t="shared" si="11"/>
        <v>48914</v>
      </c>
      <c r="N185" s="43">
        <f t="shared" si="13"/>
        <v>0</v>
      </c>
      <c r="O185" s="44">
        <f t="shared" si="13"/>
        <v>0</v>
      </c>
      <c r="P185" s="95">
        <f t="shared" si="10"/>
        <v>0</v>
      </c>
      <c r="R185" s="45">
        <f>SourceEnergy!B192</f>
        <v>48914</v>
      </c>
      <c r="S185" s="46">
        <v>61.317959999999999</v>
      </c>
      <c r="T185" s="47">
        <v>56.639499999999998</v>
      </c>
      <c r="U185" s="48" t="e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#VALUE!</v>
      </c>
    </row>
    <row r="186" spans="1:24" ht="15" customHeight="1" outlineLevel="1" x14ac:dyDescent="0.2">
      <c r="A186" s="96"/>
      <c r="B186"/>
      <c r="C186"/>
      <c r="D186"/>
      <c r="E186"/>
      <c r="F186" s="10"/>
      <c r="G186" s="96"/>
      <c r="H186"/>
      <c r="I186"/>
      <c r="J186"/>
      <c r="K186"/>
      <c r="M186" s="92">
        <f t="shared" si="11"/>
        <v>48945</v>
      </c>
      <c r="N186" s="28">
        <f t="shared" ref="N186:O201" si="14">SUMIFS($K$6:$K$245,$G$6:$G$245,$M186,$J$6:$J$245,N$5)</f>
        <v>0</v>
      </c>
      <c r="O186" s="29">
        <f t="shared" si="14"/>
        <v>0</v>
      </c>
      <c r="P186" s="93">
        <f t="shared" si="10"/>
        <v>0</v>
      </c>
      <c r="R186" s="30">
        <f>SourceEnergy!B193</f>
        <v>48945</v>
      </c>
      <c r="S186" s="31">
        <v>60.809910000000002</v>
      </c>
      <c r="T186" s="32">
        <v>55.139479999999999</v>
      </c>
      <c r="U186" s="33" t="e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#VALUE!</v>
      </c>
      <c r="W186" s="34">
        <f>YEAR(M186)</f>
        <v>2034</v>
      </c>
      <c r="X186" s="35"/>
    </row>
    <row r="187" spans="1:24" ht="15" customHeight="1" outlineLevel="1" x14ac:dyDescent="0.2">
      <c r="A187" s="96"/>
      <c r="B187"/>
      <c r="C187"/>
      <c r="D187"/>
      <c r="E187"/>
      <c r="F187" s="10"/>
      <c r="G187" s="96"/>
      <c r="H187"/>
      <c r="I187"/>
      <c r="J187"/>
      <c r="K187"/>
      <c r="M187" s="90">
        <f t="shared" si="11"/>
        <v>48976</v>
      </c>
      <c r="N187" s="36">
        <f t="shared" si="14"/>
        <v>0</v>
      </c>
      <c r="O187" s="37">
        <f t="shared" si="14"/>
        <v>0</v>
      </c>
      <c r="P187" s="94">
        <f t="shared" si="10"/>
        <v>0</v>
      </c>
      <c r="R187" s="38">
        <f>SourceEnergy!B194</f>
        <v>48976</v>
      </c>
      <c r="S187" s="39">
        <v>59.881070000000001</v>
      </c>
      <c r="T187" s="40">
        <v>55.663670000000003</v>
      </c>
      <c r="U187" s="41" t="e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#VALUE!</v>
      </c>
      <c r="W187" s="12">
        <f>SUMPRODUCT(N186:N197,S186:S197)+SUMPRODUCT(O186:O197,T186:T197)</f>
        <v>0</v>
      </c>
      <c r="X187" s="12" t="s">
        <v>78</v>
      </c>
    </row>
    <row r="188" spans="1:24" ht="15" customHeight="1" outlineLevel="1" x14ac:dyDescent="0.2">
      <c r="A188" s="96"/>
      <c r="B188"/>
      <c r="C188"/>
      <c r="D188"/>
      <c r="E188"/>
      <c r="F188" s="10"/>
      <c r="G188" s="96"/>
      <c r="H188"/>
      <c r="I188"/>
      <c r="J188"/>
      <c r="K188"/>
      <c r="M188" s="90">
        <f t="shared" si="11"/>
        <v>49004</v>
      </c>
      <c r="N188" s="36">
        <f t="shared" si="14"/>
        <v>0</v>
      </c>
      <c r="O188" s="37">
        <f t="shared" si="14"/>
        <v>0</v>
      </c>
      <c r="P188" s="94">
        <f t="shared" si="10"/>
        <v>0</v>
      </c>
      <c r="R188" s="38">
        <f>SourceEnergy!B195</f>
        <v>49004</v>
      </c>
      <c r="S188" s="39">
        <v>50.581200000000003</v>
      </c>
      <c r="T188" s="40">
        <v>48.444699999999997</v>
      </c>
      <c r="U188" s="41" t="e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#VALUE!</v>
      </c>
    </row>
    <row r="189" spans="1:24" ht="15" customHeight="1" outlineLevel="1" x14ac:dyDescent="0.2">
      <c r="A189" s="96"/>
      <c r="B189"/>
      <c r="C189"/>
      <c r="D189"/>
      <c r="E189"/>
      <c r="F189" s="10"/>
      <c r="G189" s="96"/>
      <c r="H189"/>
      <c r="I189"/>
      <c r="J189"/>
      <c r="K189"/>
      <c r="M189" s="90">
        <f t="shared" si="11"/>
        <v>49035</v>
      </c>
      <c r="N189" s="36">
        <f t="shared" si="14"/>
        <v>0</v>
      </c>
      <c r="O189" s="37">
        <f t="shared" si="14"/>
        <v>0</v>
      </c>
      <c r="P189" s="94">
        <f t="shared" si="10"/>
        <v>0</v>
      </c>
      <c r="R189" s="38">
        <f>SourceEnergy!B196</f>
        <v>49035</v>
      </c>
      <c r="S189" s="39">
        <v>49.952260000000003</v>
      </c>
      <c r="T189" s="40">
        <v>46.79992</v>
      </c>
      <c r="U189" s="41" t="e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#VALUE!</v>
      </c>
      <c r="W189" s="12">
        <f>VLOOKUP(W186,'[1]Table 5'!$L$16:$N$36,2,FALSE)</f>
        <v>0</v>
      </c>
      <c r="X189" s="12" t="s">
        <v>79</v>
      </c>
    </row>
    <row r="190" spans="1:24" ht="15" customHeight="1" outlineLevel="1" x14ac:dyDescent="0.2">
      <c r="A190" s="96"/>
      <c r="B190"/>
      <c r="C190"/>
      <c r="D190"/>
      <c r="E190"/>
      <c r="F190" s="10"/>
      <c r="G190" s="96"/>
      <c r="H190"/>
      <c r="I190"/>
      <c r="J190"/>
      <c r="K190"/>
      <c r="M190" s="90">
        <f t="shared" si="11"/>
        <v>49065</v>
      </c>
      <c r="N190" s="36">
        <f t="shared" si="14"/>
        <v>0</v>
      </c>
      <c r="O190" s="37">
        <f t="shared" si="14"/>
        <v>0</v>
      </c>
      <c r="P190" s="94">
        <f t="shared" si="10"/>
        <v>0</v>
      </c>
      <c r="R190" s="38">
        <f>SourceEnergy!B197</f>
        <v>49065</v>
      </c>
      <c r="S190" s="39">
        <v>54.930030000000002</v>
      </c>
      <c r="T190" s="40">
        <v>49.986899999999999</v>
      </c>
      <c r="U190" s="41" t="e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#VALUE!</v>
      </c>
      <c r="W190" s="12">
        <f>VLOOKUP(W186,'[1]Table 5'!$L$16:$N$36,3,FALSE)</f>
        <v>0</v>
      </c>
      <c r="X190" s="12" t="s">
        <v>80</v>
      </c>
    </row>
    <row r="191" spans="1:24" ht="15" customHeight="1" outlineLevel="1" x14ac:dyDescent="0.2">
      <c r="A191" s="96"/>
      <c r="B191"/>
      <c r="C191"/>
      <c r="D191"/>
      <c r="E191"/>
      <c r="F191" s="10"/>
      <c r="G191" s="96"/>
      <c r="H191"/>
      <c r="I191"/>
      <c r="J191"/>
      <c r="K191"/>
      <c r="M191" s="90">
        <f t="shared" si="11"/>
        <v>49096</v>
      </c>
      <c r="N191" s="36">
        <f t="shared" si="14"/>
        <v>0</v>
      </c>
      <c r="O191" s="37">
        <f t="shared" si="14"/>
        <v>0</v>
      </c>
      <c r="P191" s="94">
        <f t="shared" si="10"/>
        <v>0</v>
      </c>
      <c r="R191" s="38">
        <f>SourceEnergy!B198</f>
        <v>49096</v>
      </c>
      <c r="S191" s="39">
        <v>63.286900000000003</v>
      </c>
      <c r="T191" s="40">
        <v>53.49288</v>
      </c>
      <c r="U191" s="41" t="e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#VALUE!</v>
      </c>
      <c r="W191" s="12">
        <f>W189+W190</f>
        <v>0</v>
      </c>
      <c r="X191" s="12" t="s">
        <v>81</v>
      </c>
    </row>
    <row r="192" spans="1:24" ht="15" customHeight="1" outlineLevel="1" x14ac:dyDescent="0.2">
      <c r="A192" s="96"/>
      <c r="B192"/>
      <c r="C192"/>
      <c r="D192"/>
      <c r="E192"/>
      <c r="F192" s="10"/>
      <c r="G192" s="96"/>
      <c r="H192"/>
      <c r="I192"/>
      <c r="J192"/>
      <c r="K192"/>
      <c r="M192" s="90">
        <f t="shared" si="11"/>
        <v>49126</v>
      </c>
      <c r="N192" s="36">
        <f t="shared" si="14"/>
        <v>0</v>
      </c>
      <c r="O192" s="37">
        <f t="shared" si="14"/>
        <v>0</v>
      </c>
      <c r="P192" s="94">
        <f t="shared" si="10"/>
        <v>0</v>
      </c>
      <c r="R192" s="38">
        <f>SourceEnergy!B199</f>
        <v>49126</v>
      </c>
      <c r="S192" s="39">
        <v>83.785409999999999</v>
      </c>
      <c r="T192" s="40">
        <v>64.41395</v>
      </c>
      <c r="U192" s="41" t="e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#VALUE!</v>
      </c>
    </row>
    <row r="193" spans="1:24" ht="15" customHeight="1" outlineLevel="1" x14ac:dyDescent="0.2">
      <c r="A193" s="96"/>
      <c r="B193"/>
      <c r="C193"/>
      <c r="D193"/>
      <c r="E193"/>
      <c r="F193" s="10"/>
      <c r="G193" s="96"/>
      <c r="H193"/>
      <c r="I193"/>
      <c r="J193"/>
      <c r="K193"/>
      <c r="M193" s="90">
        <f t="shared" si="11"/>
        <v>49157</v>
      </c>
      <c r="N193" s="36">
        <f t="shared" si="14"/>
        <v>0</v>
      </c>
      <c r="O193" s="37">
        <f t="shared" si="14"/>
        <v>0</v>
      </c>
      <c r="P193" s="94">
        <f t="shared" si="10"/>
        <v>0</v>
      </c>
      <c r="R193" s="38">
        <f>SourceEnergy!B200</f>
        <v>49157</v>
      </c>
      <c r="S193" s="39">
        <v>85.148330000000001</v>
      </c>
      <c r="T193" s="40">
        <v>66.18141</v>
      </c>
      <c r="U193" s="41" t="e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#VALUE!</v>
      </c>
      <c r="W193" s="42">
        <f>IFERROR(W191/W187,0)</f>
        <v>0</v>
      </c>
      <c r="X193" s="12" t="s">
        <v>82</v>
      </c>
    </row>
    <row r="194" spans="1:24" ht="15" customHeight="1" outlineLevel="1" x14ac:dyDescent="0.2">
      <c r="A194" s="96"/>
      <c r="B194"/>
      <c r="C194"/>
      <c r="D194"/>
      <c r="E194"/>
      <c r="F194" s="10"/>
      <c r="G194" s="96"/>
      <c r="H194"/>
      <c r="I194"/>
      <c r="J194"/>
      <c r="K194"/>
      <c r="M194" s="90">
        <f t="shared" si="11"/>
        <v>49188</v>
      </c>
      <c r="N194" s="36">
        <f t="shared" si="14"/>
        <v>0</v>
      </c>
      <c r="O194" s="37">
        <f t="shared" si="14"/>
        <v>0</v>
      </c>
      <c r="P194" s="94">
        <f t="shared" si="10"/>
        <v>0</v>
      </c>
      <c r="R194" s="38">
        <f>SourceEnergy!B201</f>
        <v>49188</v>
      </c>
      <c r="S194" s="39">
        <v>72.332589999999996</v>
      </c>
      <c r="T194" s="40">
        <v>59.078800000000001</v>
      </c>
      <c r="U194" s="41" t="e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#VALUE!</v>
      </c>
    </row>
    <row r="195" spans="1:24" ht="15" customHeight="1" outlineLevel="1" x14ac:dyDescent="0.2">
      <c r="A195" s="96"/>
      <c r="B195"/>
      <c r="C195"/>
      <c r="D195"/>
      <c r="E195"/>
      <c r="F195" s="10"/>
      <c r="G195" s="96"/>
      <c r="H195"/>
      <c r="I195"/>
      <c r="J195"/>
      <c r="K195"/>
      <c r="M195" s="90">
        <f t="shared" si="11"/>
        <v>49218</v>
      </c>
      <c r="N195" s="36">
        <f t="shared" si="14"/>
        <v>0</v>
      </c>
      <c r="O195" s="37">
        <f t="shared" si="14"/>
        <v>0</v>
      </c>
      <c r="P195" s="94">
        <f t="shared" si="10"/>
        <v>0</v>
      </c>
      <c r="R195" s="38">
        <f>SourceEnergy!B202</f>
        <v>49218</v>
      </c>
      <c r="S195" s="39">
        <v>56.39575</v>
      </c>
      <c r="T195" s="40">
        <v>50.883290000000002</v>
      </c>
      <c r="U195" s="41" t="e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#VALUE!</v>
      </c>
    </row>
    <row r="196" spans="1:24" ht="15" customHeight="1" outlineLevel="1" x14ac:dyDescent="0.2">
      <c r="A196" s="96"/>
      <c r="B196"/>
      <c r="C196"/>
      <c r="D196"/>
      <c r="E196"/>
      <c r="F196" s="10"/>
      <c r="G196" s="96"/>
      <c r="H196"/>
      <c r="I196"/>
      <c r="J196"/>
      <c r="K196"/>
      <c r="M196" s="90">
        <f t="shared" si="11"/>
        <v>49249</v>
      </c>
      <c r="N196" s="36">
        <f t="shared" si="14"/>
        <v>0</v>
      </c>
      <c r="O196" s="37">
        <f t="shared" si="14"/>
        <v>0</v>
      </c>
      <c r="P196" s="94">
        <f t="shared" si="10"/>
        <v>0</v>
      </c>
      <c r="R196" s="38">
        <f>SourceEnergy!B203</f>
        <v>49249</v>
      </c>
      <c r="S196" s="39">
        <v>56.866370000000003</v>
      </c>
      <c r="T196" s="40">
        <v>52.209049999999998</v>
      </c>
      <c r="U196" s="41" t="e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#VALUE!</v>
      </c>
    </row>
    <row r="197" spans="1:24" ht="15" customHeight="1" outlineLevel="1" x14ac:dyDescent="0.2">
      <c r="A197" s="96"/>
      <c r="B197"/>
      <c r="C197"/>
      <c r="D197"/>
      <c r="E197"/>
      <c r="F197" s="10"/>
      <c r="G197" s="96"/>
      <c r="H197"/>
      <c r="I197"/>
      <c r="J197"/>
      <c r="K197"/>
      <c r="M197" s="91">
        <f t="shared" si="11"/>
        <v>49279</v>
      </c>
      <c r="N197" s="43">
        <f t="shared" si="14"/>
        <v>0</v>
      </c>
      <c r="O197" s="44">
        <f t="shared" si="14"/>
        <v>0</v>
      </c>
      <c r="P197" s="95">
        <f t="shared" si="10"/>
        <v>0</v>
      </c>
      <c r="R197" s="45">
        <f>SourceEnergy!B204</f>
        <v>49279</v>
      </c>
      <c r="S197" s="46">
        <v>61.46425</v>
      </c>
      <c r="T197" s="47">
        <v>57.13006</v>
      </c>
      <c r="U197" s="48" t="e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#VALUE!</v>
      </c>
    </row>
    <row r="198" spans="1:24" ht="15" customHeight="1" outlineLevel="1" x14ac:dyDescent="0.2">
      <c r="A198" s="96"/>
      <c r="B198"/>
      <c r="C198"/>
      <c r="D198"/>
      <c r="E198"/>
      <c r="F198" s="10"/>
      <c r="G198" s="96"/>
      <c r="H198"/>
      <c r="I198"/>
      <c r="J198"/>
      <c r="K198"/>
      <c r="M198" s="92">
        <f t="shared" si="11"/>
        <v>49310</v>
      </c>
      <c r="N198" s="28">
        <f t="shared" si="14"/>
        <v>0</v>
      </c>
      <c r="O198" s="29">
        <f t="shared" si="14"/>
        <v>0</v>
      </c>
      <c r="P198" s="93">
        <f t="shared" ref="P198:P209" si="15">N198+O198</f>
        <v>0</v>
      </c>
      <c r="R198" s="30">
        <f>SourceEnergy!B205</f>
        <v>49310</v>
      </c>
      <c r="S198" s="31">
        <v>61.086959999999998</v>
      </c>
      <c r="T198" s="32">
        <v>55.580930000000002</v>
      </c>
      <c r="U198" s="33" t="e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#VALUE!</v>
      </c>
      <c r="W198" s="34">
        <f>YEAR(M198)</f>
        <v>2035</v>
      </c>
      <c r="X198" s="35"/>
    </row>
    <row r="199" spans="1:24" ht="15" customHeight="1" outlineLevel="1" x14ac:dyDescent="0.2">
      <c r="A199" s="96"/>
      <c r="B199"/>
      <c r="C199"/>
      <c r="D199"/>
      <c r="E199"/>
      <c r="F199" s="10"/>
      <c r="G199" s="96"/>
      <c r="H199"/>
      <c r="I199"/>
      <c r="J199"/>
      <c r="K199"/>
      <c r="M199" s="90">
        <f t="shared" si="11"/>
        <v>49341</v>
      </c>
      <c r="N199" s="36">
        <f t="shared" si="14"/>
        <v>0</v>
      </c>
      <c r="O199" s="37">
        <f t="shared" si="14"/>
        <v>0</v>
      </c>
      <c r="P199" s="94">
        <f t="shared" si="15"/>
        <v>0</v>
      </c>
      <c r="R199" s="38">
        <f>SourceEnergy!B206</f>
        <v>49341</v>
      </c>
      <c r="S199" s="39">
        <v>60.254219999999997</v>
      </c>
      <c r="T199" s="40">
        <v>55.946339999999999</v>
      </c>
      <c r="U199" s="41" t="e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#VALUE!</v>
      </c>
      <c r="W199" s="12">
        <f>SUMPRODUCT(N198:N209,S198:S209)+SUMPRODUCT(O198:O209,T198:T209)</f>
        <v>0</v>
      </c>
      <c r="X199" s="12" t="s">
        <v>78</v>
      </c>
    </row>
    <row r="200" spans="1:24" ht="15" customHeight="1" outlineLevel="1" x14ac:dyDescent="0.2">
      <c r="A200" s="96"/>
      <c r="B200"/>
      <c r="C200"/>
      <c r="D200"/>
      <c r="E200"/>
      <c r="F200" s="10"/>
      <c r="G200" s="96"/>
      <c r="H200"/>
      <c r="I200"/>
      <c r="J200"/>
      <c r="K200"/>
      <c r="M200" s="90">
        <f t="shared" ref="M200:M245" si="16">EDATE(M199,1)</f>
        <v>49369</v>
      </c>
      <c r="N200" s="36">
        <f t="shared" si="14"/>
        <v>0</v>
      </c>
      <c r="O200" s="37">
        <f t="shared" si="14"/>
        <v>0</v>
      </c>
      <c r="P200" s="94">
        <f t="shared" si="15"/>
        <v>0</v>
      </c>
      <c r="R200" s="38">
        <f>SourceEnergy!B207</f>
        <v>49369</v>
      </c>
      <c r="S200" s="39">
        <v>54.490679999999998</v>
      </c>
      <c r="T200" s="40">
        <v>51.889679999999998</v>
      </c>
      <c r="U200" s="41" t="e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#VALUE!</v>
      </c>
    </row>
    <row r="201" spans="1:24" ht="15" customHeight="1" outlineLevel="1" x14ac:dyDescent="0.2">
      <c r="A201" s="96"/>
      <c r="B201"/>
      <c r="C201"/>
      <c r="D201"/>
      <c r="E201"/>
      <c r="F201" s="10"/>
      <c r="G201" s="96"/>
      <c r="H201"/>
      <c r="I201"/>
      <c r="J201"/>
      <c r="K201"/>
      <c r="M201" s="90">
        <f t="shared" si="16"/>
        <v>49400</v>
      </c>
      <c r="N201" s="36">
        <f t="shared" si="14"/>
        <v>0</v>
      </c>
      <c r="O201" s="37">
        <f t="shared" si="14"/>
        <v>0</v>
      </c>
      <c r="P201" s="94">
        <f t="shared" si="15"/>
        <v>0</v>
      </c>
      <c r="R201" s="38">
        <f>SourceEnergy!B208</f>
        <v>49400</v>
      </c>
      <c r="S201" s="39">
        <v>54.807639999999999</v>
      </c>
      <c r="T201" s="40">
        <v>51.756590000000003</v>
      </c>
      <c r="U201" s="41" t="e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#VALUE!</v>
      </c>
      <c r="W201" s="12">
        <f>VLOOKUP(W198,'[1]Table 5'!$L$16:$N$36,2,FALSE)</f>
        <v>0</v>
      </c>
      <c r="X201" s="12" t="s">
        <v>79</v>
      </c>
    </row>
    <row r="202" spans="1:24" ht="15" customHeight="1" outlineLevel="1" x14ac:dyDescent="0.2">
      <c r="A202" s="96"/>
      <c r="B202"/>
      <c r="C202"/>
      <c r="D202"/>
      <c r="E202"/>
      <c r="F202" s="10"/>
      <c r="G202" s="96"/>
      <c r="H202"/>
      <c r="I202"/>
      <c r="J202"/>
      <c r="K202"/>
      <c r="M202" s="90">
        <f t="shared" si="16"/>
        <v>49430</v>
      </c>
      <c r="N202" s="36">
        <f t="shared" ref="N202:O209" si="17">SUMIFS($K$6:$K$245,$G$6:$G$245,$M202,$J$6:$J$245,N$5)</f>
        <v>0</v>
      </c>
      <c r="O202" s="37">
        <f t="shared" si="17"/>
        <v>0</v>
      </c>
      <c r="P202" s="94">
        <f t="shared" si="15"/>
        <v>0</v>
      </c>
      <c r="R202" s="38">
        <f>SourceEnergy!B209</f>
        <v>49430</v>
      </c>
      <c r="S202" s="39">
        <v>55.102730000000001</v>
      </c>
      <c r="T202" s="40">
        <v>51.023409999999998</v>
      </c>
      <c r="U202" s="41" t="e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#VALUE!</v>
      </c>
      <c r="W202" s="12">
        <f>VLOOKUP(W198,'[1]Table 5'!$L$16:$N$36,3,FALSE)</f>
        <v>0</v>
      </c>
      <c r="X202" s="12" t="s">
        <v>80</v>
      </c>
    </row>
    <row r="203" spans="1:24" ht="15" customHeight="1" outlineLevel="1" x14ac:dyDescent="0.2">
      <c r="A203" s="96"/>
      <c r="B203"/>
      <c r="C203"/>
      <c r="D203"/>
      <c r="E203"/>
      <c r="F203" s="10"/>
      <c r="G203" s="96"/>
      <c r="H203"/>
      <c r="I203"/>
      <c r="J203"/>
      <c r="K203"/>
      <c r="M203" s="90">
        <f t="shared" si="16"/>
        <v>49461</v>
      </c>
      <c r="N203" s="36">
        <f t="shared" si="17"/>
        <v>0</v>
      </c>
      <c r="O203" s="37">
        <f t="shared" si="17"/>
        <v>0</v>
      </c>
      <c r="P203" s="94">
        <f t="shared" si="15"/>
        <v>0</v>
      </c>
      <c r="R203" s="38">
        <f>SourceEnergy!B210</f>
        <v>49461</v>
      </c>
      <c r="S203" s="39">
        <v>64.621799999999993</v>
      </c>
      <c r="T203" s="40">
        <v>55.53134</v>
      </c>
      <c r="U203" s="41" t="e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#VALUE!</v>
      </c>
      <c r="W203" s="12">
        <f>W201+W202</f>
        <v>0</v>
      </c>
      <c r="X203" s="12" t="s">
        <v>81</v>
      </c>
    </row>
    <row r="204" spans="1:24" ht="15" customHeight="1" outlineLevel="1" x14ac:dyDescent="0.2">
      <c r="A204" s="96"/>
      <c r="B204"/>
      <c r="C204"/>
      <c r="D204"/>
      <c r="E204"/>
      <c r="F204" s="10"/>
      <c r="G204" s="96"/>
      <c r="H204"/>
      <c r="I204"/>
      <c r="J204"/>
      <c r="K204"/>
      <c r="M204" s="90">
        <f t="shared" si="16"/>
        <v>49491</v>
      </c>
      <c r="N204" s="36">
        <f t="shared" si="17"/>
        <v>0</v>
      </c>
      <c r="O204" s="37">
        <f t="shared" si="17"/>
        <v>0</v>
      </c>
      <c r="P204" s="94">
        <f t="shared" si="15"/>
        <v>0</v>
      </c>
      <c r="R204" s="38">
        <f>SourceEnergy!B211</f>
        <v>49491</v>
      </c>
      <c r="S204" s="39">
        <v>88.073139999999995</v>
      </c>
      <c r="T204" s="40">
        <v>67.809880000000007</v>
      </c>
      <c r="U204" s="41" t="e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#VALUE!</v>
      </c>
    </row>
    <row r="205" spans="1:24" ht="15" customHeight="1" outlineLevel="1" x14ac:dyDescent="0.2">
      <c r="A205" s="96"/>
      <c r="B205"/>
      <c r="C205"/>
      <c r="D205"/>
      <c r="E205"/>
      <c r="F205" s="10"/>
      <c r="G205" s="96"/>
      <c r="H205"/>
      <c r="I205"/>
      <c r="J205"/>
      <c r="K205"/>
      <c r="M205" s="90">
        <f t="shared" si="16"/>
        <v>49522</v>
      </c>
      <c r="N205" s="36">
        <f t="shared" si="17"/>
        <v>0</v>
      </c>
      <c r="O205" s="37">
        <f t="shared" si="17"/>
        <v>0</v>
      </c>
      <c r="P205" s="94">
        <f t="shared" si="15"/>
        <v>0</v>
      </c>
      <c r="R205" s="38">
        <f>SourceEnergy!B212</f>
        <v>49522</v>
      </c>
      <c r="S205" s="39">
        <v>90.62191</v>
      </c>
      <c r="T205" s="40">
        <v>69.896659999999997</v>
      </c>
      <c r="U205" s="41" t="e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#VALUE!</v>
      </c>
      <c r="W205" s="42">
        <f>IFERROR(W203/W199,0)</f>
        <v>0</v>
      </c>
      <c r="X205" s="12" t="s">
        <v>82</v>
      </c>
    </row>
    <row r="206" spans="1:24" ht="15" customHeight="1" outlineLevel="1" x14ac:dyDescent="0.2">
      <c r="A206" s="96"/>
      <c r="B206"/>
      <c r="C206"/>
      <c r="D206"/>
      <c r="E206"/>
      <c r="F206" s="10"/>
      <c r="G206" s="96"/>
      <c r="H206"/>
      <c r="I206"/>
      <c r="J206"/>
      <c r="K206"/>
      <c r="M206" s="90">
        <f t="shared" si="16"/>
        <v>49553</v>
      </c>
      <c r="N206" s="36">
        <f t="shared" si="17"/>
        <v>0</v>
      </c>
      <c r="O206" s="37">
        <f t="shared" si="17"/>
        <v>0</v>
      </c>
      <c r="P206" s="94">
        <f t="shared" si="15"/>
        <v>0</v>
      </c>
      <c r="R206" s="38">
        <f>SourceEnergy!B213</f>
        <v>49553</v>
      </c>
      <c r="S206" s="39">
        <v>79.766139999999993</v>
      </c>
      <c r="T206" s="40">
        <v>63.927750000000003</v>
      </c>
      <c r="U206" s="41" t="e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#VALUE!</v>
      </c>
    </row>
    <row r="207" spans="1:24" ht="15" customHeight="1" outlineLevel="1" x14ac:dyDescent="0.2">
      <c r="A207" s="96"/>
      <c r="B207"/>
      <c r="C207"/>
      <c r="D207"/>
      <c r="E207"/>
      <c r="F207" s="10"/>
      <c r="G207" s="96"/>
      <c r="H207"/>
      <c r="I207"/>
      <c r="J207"/>
      <c r="K207"/>
      <c r="M207" s="90">
        <f t="shared" si="16"/>
        <v>49583</v>
      </c>
      <c r="N207" s="36">
        <f t="shared" si="17"/>
        <v>0</v>
      </c>
      <c r="O207" s="37">
        <f t="shared" si="17"/>
        <v>0</v>
      </c>
      <c r="P207" s="94">
        <f t="shared" si="15"/>
        <v>0</v>
      </c>
      <c r="R207" s="38">
        <f>SourceEnergy!B214</f>
        <v>49583</v>
      </c>
      <c r="S207" s="39">
        <v>59.853380000000001</v>
      </c>
      <c r="T207" s="40">
        <v>53.957650000000001</v>
      </c>
      <c r="U207" s="41" t="e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#VALUE!</v>
      </c>
    </row>
    <row r="208" spans="1:24" ht="15" customHeight="1" outlineLevel="1" x14ac:dyDescent="0.2">
      <c r="A208" s="96"/>
      <c r="B208"/>
      <c r="C208"/>
      <c r="D208"/>
      <c r="E208"/>
      <c r="F208" s="10"/>
      <c r="G208" s="96"/>
      <c r="H208"/>
      <c r="I208"/>
      <c r="J208"/>
      <c r="K208"/>
      <c r="M208" s="90">
        <f t="shared" si="16"/>
        <v>49614</v>
      </c>
      <c r="N208" s="36">
        <f t="shared" si="17"/>
        <v>0</v>
      </c>
      <c r="O208" s="37">
        <f t="shared" si="17"/>
        <v>0</v>
      </c>
      <c r="P208" s="94">
        <f t="shared" si="15"/>
        <v>0</v>
      </c>
      <c r="R208" s="38">
        <f>SourceEnergy!B215</f>
        <v>49614</v>
      </c>
      <c r="S208" s="39">
        <v>59.78013</v>
      </c>
      <c r="T208" s="40">
        <v>54.12294</v>
      </c>
      <c r="U208" s="41" t="e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#VALUE!</v>
      </c>
    </row>
    <row r="209" spans="1:24" ht="15" customHeight="1" outlineLevel="1" x14ac:dyDescent="0.2">
      <c r="A209" s="96"/>
      <c r="B209"/>
      <c r="C209"/>
      <c r="D209"/>
      <c r="E209"/>
      <c r="F209" s="10"/>
      <c r="G209" s="96"/>
      <c r="H209"/>
      <c r="I209"/>
      <c r="J209"/>
      <c r="K209"/>
      <c r="M209" s="91">
        <f t="shared" si="16"/>
        <v>49644</v>
      </c>
      <c r="N209" s="43">
        <f t="shared" si="17"/>
        <v>0</v>
      </c>
      <c r="O209" s="44">
        <f t="shared" si="17"/>
        <v>0</v>
      </c>
      <c r="P209" s="95">
        <f t="shared" si="15"/>
        <v>0</v>
      </c>
      <c r="R209" s="45">
        <f>SourceEnergy!B216</f>
        <v>49644</v>
      </c>
      <c r="S209" s="46">
        <v>63.275480000000002</v>
      </c>
      <c r="T209" s="47">
        <v>58.20534</v>
      </c>
      <c r="U209" s="48" t="e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#VALUE!</v>
      </c>
    </row>
    <row r="210" spans="1:24" ht="15" customHeight="1" outlineLevel="1" x14ac:dyDescent="0.2">
      <c r="A210" s="96"/>
      <c r="B210"/>
      <c r="C210"/>
      <c r="D210"/>
      <c r="E210"/>
      <c r="F210" s="10"/>
      <c r="G210" s="96"/>
      <c r="H210"/>
      <c r="I210"/>
      <c r="J210"/>
      <c r="K210"/>
      <c r="M210" s="105">
        <f t="shared" si="16"/>
        <v>49675</v>
      </c>
      <c r="N210" s="106" t="str">
        <f>IF(AND(P210&lt;&gt;"",N209&gt;0),ROUND(AVERAGE(N198/P198,N186/P186,N174/P174,N162/P162,N150/P150,N138/P138,N126/P126,N114/P114)*P210,1),"")</f>
        <v/>
      </c>
      <c r="O210" s="107" t="e">
        <f>IF(P210&lt;&gt;"",P210-N210,"")</f>
        <v>#VALUE!</v>
      </c>
      <c r="P210" s="108">
        <f>SourceEnergy!F217</f>
        <v>0</v>
      </c>
      <c r="R210" s="30">
        <f>SourceEnergy!B217</f>
        <v>49675</v>
      </c>
      <c r="S210" s="31">
        <v>61.975270000000002</v>
      </c>
      <c r="T210" s="32">
        <v>56.535620000000002</v>
      </c>
      <c r="U210" s="33" t="e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#VALUE!</v>
      </c>
      <c r="W210" s="34">
        <f>YEAR(M210)</f>
        <v>2036</v>
      </c>
      <c r="X210" s="35"/>
    </row>
    <row r="211" spans="1:24" ht="15" customHeight="1" outlineLevel="1" x14ac:dyDescent="0.2">
      <c r="A211" s="96"/>
      <c r="B211"/>
      <c r="C211"/>
      <c r="D211"/>
      <c r="E211"/>
      <c r="F211" s="10"/>
      <c r="G211" s="96"/>
      <c r="H211"/>
      <c r="I211"/>
      <c r="J211"/>
      <c r="K211"/>
      <c r="M211" s="97">
        <f t="shared" si="16"/>
        <v>49706</v>
      </c>
      <c r="N211" s="98" t="e">
        <f t="shared" ref="N211:N221" si="18">IF(P211&lt;&gt;"",ROUND(AVERAGE(N199/P199,N187/P187,N175/P175,N163/P163,N151/P151,N139/P139,N127/P127,N115/P115)*P211,1),"")</f>
        <v>#DIV/0!</v>
      </c>
      <c r="O211" s="99" t="e">
        <f t="shared" ref="O211:O221" si="19">IF(P211&lt;&gt;"",P211-N211,"")</f>
        <v>#DIV/0!</v>
      </c>
      <c r="P211" s="100">
        <f>SourceEnergy!F218</f>
        <v>0</v>
      </c>
      <c r="R211" s="38">
        <f>SourceEnergy!B218</f>
        <v>49706</v>
      </c>
      <c r="S211" s="39">
        <v>60.802460000000004</v>
      </c>
      <c r="T211" s="40">
        <v>56.813029999999998</v>
      </c>
      <c r="U211" s="41" t="e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#DIV/0!</v>
      </c>
      <c r="W211" s="12" t="e">
        <f>SUMPRODUCT(N210:N221,S210:S221)+SUMPRODUCT(O210:O221,T210:T221)</f>
        <v>#DIV/0!</v>
      </c>
      <c r="X211" s="12" t="s">
        <v>78</v>
      </c>
    </row>
    <row r="212" spans="1:24" ht="15" customHeight="1" outlineLevel="1" x14ac:dyDescent="0.2">
      <c r="A212" s="96"/>
      <c r="B212"/>
      <c r="C212"/>
      <c r="D212"/>
      <c r="E212"/>
      <c r="F212" s="10"/>
      <c r="G212" s="96"/>
      <c r="H212"/>
      <c r="I212"/>
      <c r="J212"/>
      <c r="K212"/>
      <c r="M212" s="97">
        <f t="shared" si="16"/>
        <v>49735</v>
      </c>
      <c r="N212" s="98" t="e">
        <f t="shared" si="18"/>
        <v>#DIV/0!</v>
      </c>
      <c r="O212" s="99" t="e">
        <f t="shared" si="19"/>
        <v>#DIV/0!</v>
      </c>
      <c r="P212" s="100">
        <f>SourceEnergy!F219</f>
        <v>0</v>
      </c>
      <c r="R212" s="38">
        <f>SourceEnergy!B219</f>
        <v>49735</v>
      </c>
      <c r="S212" s="39">
        <v>52.619900000000001</v>
      </c>
      <c r="T212" s="40">
        <v>50.40916</v>
      </c>
      <c r="U212" s="41" t="e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#DIV/0!</v>
      </c>
    </row>
    <row r="213" spans="1:24" ht="15" customHeight="1" outlineLevel="1" x14ac:dyDescent="0.2">
      <c r="A213" s="96"/>
      <c r="B213"/>
      <c r="C213"/>
      <c r="D213"/>
      <c r="E213"/>
      <c r="F213" s="10"/>
      <c r="G213" s="96"/>
      <c r="H213"/>
      <c r="I213"/>
      <c r="J213"/>
      <c r="K213"/>
      <c r="M213" s="97">
        <f t="shared" si="16"/>
        <v>49766</v>
      </c>
      <c r="N213" s="98" t="e">
        <f t="shared" si="18"/>
        <v>#DIV/0!</v>
      </c>
      <c r="O213" s="99" t="e">
        <f t="shared" si="19"/>
        <v>#DIV/0!</v>
      </c>
      <c r="P213" s="100">
        <f>SourceEnergy!F220</f>
        <v>0</v>
      </c>
      <c r="R213" s="38">
        <f>SourceEnergy!B220</f>
        <v>49766</v>
      </c>
      <c r="S213" s="39">
        <v>51.841929999999998</v>
      </c>
      <c r="T213" s="40">
        <v>48.806530000000002</v>
      </c>
      <c r="U213" s="41" t="e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#DIV/0!</v>
      </c>
      <c r="W213" s="12">
        <f>VLOOKUP(W210,'[1]Table 5'!$L$16:$N$36,2,FALSE)</f>
        <v>0</v>
      </c>
      <c r="X213" s="12" t="s">
        <v>79</v>
      </c>
    </row>
    <row r="214" spans="1:24" ht="15" customHeight="1" outlineLevel="1" x14ac:dyDescent="0.2">
      <c r="A214" s="96"/>
      <c r="B214"/>
      <c r="C214"/>
      <c r="D214"/>
      <c r="E214"/>
      <c r="F214" s="10"/>
      <c r="G214" s="96"/>
      <c r="H214"/>
      <c r="I214"/>
      <c r="J214"/>
      <c r="K214"/>
      <c r="M214" s="97">
        <f t="shared" si="16"/>
        <v>49796</v>
      </c>
      <c r="N214" s="98" t="e">
        <f t="shared" si="18"/>
        <v>#DIV/0!</v>
      </c>
      <c r="O214" s="99" t="e">
        <f t="shared" si="19"/>
        <v>#DIV/0!</v>
      </c>
      <c r="P214" s="100">
        <f>SourceEnergy!F221</f>
        <v>0</v>
      </c>
      <c r="R214" s="38">
        <f>SourceEnergy!B221</f>
        <v>49796</v>
      </c>
      <c r="S214" s="39">
        <v>55.668799999999997</v>
      </c>
      <c r="T214" s="40">
        <v>50.944450000000003</v>
      </c>
      <c r="U214" s="41" t="e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#DIV/0!</v>
      </c>
      <c r="W214" s="12">
        <f>VLOOKUP(W210,'[1]Table 5'!$L$16:$N$36,3,FALSE)</f>
        <v>0</v>
      </c>
      <c r="X214" s="12" t="s">
        <v>80</v>
      </c>
    </row>
    <row r="215" spans="1:24" ht="15" customHeight="1" outlineLevel="1" x14ac:dyDescent="0.2">
      <c r="A215" s="96"/>
      <c r="B215"/>
      <c r="C215"/>
      <c r="D215"/>
      <c r="E215"/>
      <c r="F215" s="10"/>
      <c r="G215" s="96"/>
      <c r="H215"/>
      <c r="I215"/>
      <c r="J215"/>
      <c r="K215"/>
      <c r="M215" s="97">
        <f t="shared" si="16"/>
        <v>49827</v>
      </c>
      <c r="N215" s="98" t="e">
        <f t="shared" si="18"/>
        <v>#DIV/0!</v>
      </c>
      <c r="O215" s="99" t="e">
        <f t="shared" si="19"/>
        <v>#DIV/0!</v>
      </c>
      <c r="P215" s="100">
        <f>SourceEnergy!F222</f>
        <v>0</v>
      </c>
      <c r="R215" s="38">
        <f>SourceEnergy!B222</f>
        <v>49827</v>
      </c>
      <c r="S215" s="39">
        <v>65.549390000000002</v>
      </c>
      <c r="T215" s="40">
        <v>56.316270000000003</v>
      </c>
      <c r="U215" s="41" t="e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#DIV/0!</v>
      </c>
      <c r="W215" s="12">
        <f>W213+W214</f>
        <v>0</v>
      </c>
      <c r="X215" s="12" t="s">
        <v>81</v>
      </c>
    </row>
    <row r="216" spans="1:24" ht="15" customHeight="1" outlineLevel="1" x14ac:dyDescent="0.2">
      <c r="A216" s="96"/>
      <c r="B216"/>
      <c r="C216"/>
      <c r="D216"/>
      <c r="E216"/>
      <c r="F216" s="10"/>
      <c r="G216" s="96"/>
      <c r="H216"/>
      <c r="I216"/>
      <c r="J216"/>
      <c r="K216"/>
      <c r="M216" s="97">
        <f t="shared" si="16"/>
        <v>49857</v>
      </c>
      <c r="N216" s="98" t="e">
        <f t="shared" si="18"/>
        <v>#DIV/0!</v>
      </c>
      <c r="O216" s="99" t="e">
        <f t="shared" si="19"/>
        <v>#DIV/0!</v>
      </c>
      <c r="P216" s="100">
        <f>SourceEnergy!F223</f>
        <v>0</v>
      </c>
      <c r="R216" s="38">
        <f>SourceEnergy!B223</f>
        <v>49857</v>
      </c>
      <c r="S216" s="39">
        <v>89.90034</v>
      </c>
      <c r="T216" s="40">
        <v>68.344499999999996</v>
      </c>
      <c r="U216" s="41" t="e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#DIV/0!</v>
      </c>
    </row>
    <row r="217" spans="1:24" ht="15" customHeight="1" outlineLevel="1" x14ac:dyDescent="0.2">
      <c r="A217" s="96"/>
      <c r="B217"/>
      <c r="C217"/>
      <c r="D217"/>
      <c r="E217"/>
      <c r="F217" s="10"/>
      <c r="G217" s="96"/>
      <c r="H217"/>
      <c r="I217"/>
      <c r="J217"/>
      <c r="K217"/>
      <c r="M217" s="97">
        <f t="shared" si="16"/>
        <v>49888</v>
      </c>
      <c r="N217" s="98" t="e">
        <f t="shared" si="18"/>
        <v>#DIV/0!</v>
      </c>
      <c r="O217" s="99" t="e">
        <f t="shared" si="19"/>
        <v>#DIV/0!</v>
      </c>
      <c r="P217" s="100">
        <f>SourceEnergy!F224</f>
        <v>0</v>
      </c>
      <c r="R217" s="38">
        <f>SourceEnergy!B224</f>
        <v>49888</v>
      </c>
      <c r="S217" s="39">
        <v>90.890360000000001</v>
      </c>
      <c r="T217" s="40">
        <v>71.073549999999997</v>
      </c>
      <c r="U217" s="41" t="e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#DIV/0!</v>
      </c>
      <c r="W217" s="42">
        <f>IFERROR(W215/W211,0)</f>
        <v>0</v>
      </c>
      <c r="X217" s="12" t="s">
        <v>82</v>
      </c>
    </row>
    <row r="218" spans="1:24" ht="15" customHeight="1" outlineLevel="1" x14ac:dyDescent="0.2">
      <c r="A218" s="96"/>
      <c r="B218"/>
      <c r="C218"/>
      <c r="D218"/>
      <c r="E218"/>
      <c r="F218" s="10"/>
      <c r="G218" s="96"/>
      <c r="H218"/>
      <c r="I218"/>
      <c r="J218"/>
      <c r="K218"/>
      <c r="M218" s="97">
        <f t="shared" si="16"/>
        <v>49919</v>
      </c>
      <c r="N218" s="98" t="e">
        <f t="shared" si="18"/>
        <v>#DIV/0!</v>
      </c>
      <c r="O218" s="99" t="e">
        <f t="shared" si="19"/>
        <v>#DIV/0!</v>
      </c>
      <c r="P218" s="100">
        <f>SourceEnergy!F225</f>
        <v>0</v>
      </c>
      <c r="R218" s="38">
        <f>SourceEnergy!B225</f>
        <v>49919</v>
      </c>
      <c r="S218" s="39">
        <v>81.66798</v>
      </c>
      <c r="T218" s="40">
        <v>65.416290000000004</v>
      </c>
      <c r="U218" s="41" t="e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#DIV/0!</v>
      </c>
    </row>
    <row r="219" spans="1:24" ht="15" customHeight="1" outlineLevel="1" x14ac:dyDescent="0.2">
      <c r="A219" s="96"/>
      <c r="B219"/>
      <c r="C219"/>
      <c r="D219"/>
      <c r="E219"/>
      <c r="F219" s="10"/>
      <c r="G219" s="96"/>
      <c r="H219"/>
      <c r="I219"/>
      <c r="J219"/>
      <c r="K219"/>
      <c r="M219" s="97">
        <f t="shared" si="16"/>
        <v>49949</v>
      </c>
      <c r="N219" s="98" t="e">
        <f t="shared" si="18"/>
        <v>#DIV/0!</v>
      </c>
      <c r="O219" s="99" t="e">
        <f t="shared" si="19"/>
        <v>#DIV/0!</v>
      </c>
      <c r="P219" s="100">
        <f>SourceEnergy!F226</f>
        <v>0</v>
      </c>
      <c r="R219" s="38">
        <f>SourceEnergy!B226</f>
        <v>49949</v>
      </c>
      <c r="S219" s="39">
        <v>62.307810000000003</v>
      </c>
      <c r="T219" s="40">
        <v>56.669400000000003</v>
      </c>
      <c r="U219" s="41" t="e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#DIV/0!</v>
      </c>
    </row>
    <row r="220" spans="1:24" ht="15" customHeight="1" outlineLevel="1" x14ac:dyDescent="0.2">
      <c r="A220" s="96"/>
      <c r="B220"/>
      <c r="C220"/>
      <c r="D220"/>
      <c r="E220"/>
      <c r="F220" s="10"/>
      <c r="G220" s="96"/>
      <c r="H220"/>
      <c r="I220"/>
      <c r="J220"/>
      <c r="K220"/>
      <c r="M220" s="97">
        <f t="shared" si="16"/>
        <v>49980</v>
      </c>
      <c r="N220" s="98" t="e">
        <f t="shared" si="18"/>
        <v>#DIV/0!</v>
      </c>
      <c r="O220" s="99" t="e">
        <f t="shared" si="19"/>
        <v>#DIV/0!</v>
      </c>
      <c r="P220" s="100">
        <f>SourceEnergy!F227</f>
        <v>0</v>
      </c>
      <c r="R220" s="38">
        <f>SourceEnergy!B227</f>
        <v>49980</v>
      </c>
      <c r="S220" s="39">
        <v>59.478340000000003</v>
      </c>
      <c r="T220" s="40">
        <v>55.022559999999999</v>
      </c>
      <c r="U220" s="41" t="e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#DIV/0!</v>
      </c>
    </row>
    <row r="221" spans="1:24" ht="15" customHeight="1" outlineLevel="1" x14ac:dyDescent="0.2">
      <c r="A221" s="96"/>
      <c r="B221"/>
      <c r="C221"/>
      <c r="D221"/>
      <c r="E221"/>
      <c r="F221" s="10"/>
      <c r="G221" s="96"/>
      <c r="H221"/>
      <c r="I221"/>
      <c r="J221"/>
      <c r="K221"/>
      <c r="M221" s="109">
        <f t="shared" si="16"/>
        <v>50010</v>
      </c>
      <c r="N221" s="102" t="e">
        <f t="shared" si="18"/>
        <v>#DIV/0!</v>
      </c>
      <c r="O221" s="103" t="e">
        <f t="shared" si="19"/>
        <v>#DIV/0!</v>
      </c>
      <c r="P221" s="104">
        <f>SourceEnergy!F228</f>
        <v>0</v>
      </c>
      <c r="R221" s="45">
        <f>SourceEnergy!B228</f>
        <v>50010</v>
      </c>
      <c r="S221" s="46">
        <v>65.03349</v>
      </c>
      <c r="T221" s="47">
        <v>59.797739999999997</v>
      </c>
      <c r="U221" s="48" t="e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#DIV/0!</v>
      </c>
    </row>
    <row r="222" spans="1:24" ht="15" customHeight="1" outlineLevel="1" x14ac:dyDescent="0.2">
      <c r="A222" s="96"/>
      <c r="B222"/>
      <c r="C222"/>
      <c r="D222"/>
      <c r="E222"/>
      <c r="F222" s="10"/>
      <c r="G222" s="112"/>
      <c r="H222" s="88"/>
      <c r="I222" s="88"/>
      <c r="J222" s="88"/>
      <c r="K222" s="110"/>
      <c r="M222" s="105">
        <f t="shared" si="16"/>
        <v>50041</v>
      </c>
      <c r="N222" s="106" t="e">
        <f>IF(AND(P222&lt;&gt;"",N221&gt;0),ROUND(AVERAGE(N210/P210,N198/P198,N186/P186,N174/P174,N162/P162,N150/P150,N138/P138,N126/P126)*P222,1),"")</f>
        <v>#DIV/0!</v>
      </c>
      <c r="O222" s="107" t="e">
        <f>IF(P222&lt;&gt;"",P222-N222,"")</f>
        <v>#DIV/0!</v>
      </c>
      <c r="P222" s="108">
        <f>SourceEnergy!F229</f>
        <v>0</v>
      </c>
      <c r="R222" s="30">
        <f>SourceEnergy!B229</f>
        <v>50041</v>
      </c>
      <c r="S222" s="31">
        <v>64.006299999999996</v>
      </c>
      <c r="T222" s="32">
        <v>58.752830000000003</v>
      </c>
      <c r="U222" s="33" t="e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#DIV/0!</v>
      </c>
      <c r="W222" s="34">
        <f>YEAR(M222)</f>
        <v>2037</v>
      </c>
      <c r="X222" s="35"/>
    </row>
    <row r="223" spans="1:24" ht="15" customHeight="1" outlineLevel="1" x14ac:dyDescent="0.2">
      <c r="A223" s="96"/>
      <c r="B223"/>
      <c r="C223"/>
      <c r="D223"/>
      <c r="E223"/>
      <c r="F223" s="10"/>
      <c r="G223" s="112"/>
      <c r="H223" s="88"/>
      <c r="I223" s="88"/>
      <c r="J223" s="88"/>
      <c r="K223" s="110"/>
      <c r="M223" s="97">
        <f t="shared" si="16"/>
        <v>50072</v>
      </c>
      <c r="N223" s="98" t="e">
        <f t="shared" ref="N223:N233" si="20">IF(P223&lt;&gt;"",ROUND(AVERAGE(N211/P211,N199/P199,N187/P187,N175/P175,N163/P163,N151/P151,N139/P139,N127/P127)*P223,1),"")</f>
        <v>#DIV/0!</v>
      </c>
      <c r="O223" s="99" t="e">
        <f t="shared" ref="O223:O233" si="21">IF(P223&lt;&gt;"",P223-N223,"")</f>
        <v>#DIV/0!</v>
      </c>
      <c r="P223" s="100">
        <f>SourceEnergy!F230</f>
        <v>0</v>
      </c>
      <c r="R223" s="38">
        <f>SourceEnergy!B230</f>
        <v>50072</v>
      </c>
      <c r="S223" s="39">
        <v>62.903030000000001</v>
      </c>
      <c r="T223" s="40">
        <v>58.941940000000002</v>
      </c>
      <c r="U223" s="41" t="e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#DIV/0!</v>
      </c>
      <c r="W223" s="12" t="e">
        <f>SUMPRODUCT(N222:N233,S222:S233)+SUMPRODUCT(O222:O233,T222:T233)</f>
        <v>#DIV/0!</v>
      </c>
      <c r="X223" s="12" t="s">
        <v>78</v>
      </c>
    </row>
    <row r="224" spans="1:24" ht="15" customHeight="1" outlineLevel="1" x14ac:dyDescent="0.2">
      <c r="A224" s="96"/>
      <c r="B224"/>
      <c r="C224"/>
      <c r="D224"/>
      <c r="E224"/>
      <c r="F224" s="10"/>
      <c r="G224" s="112"/>
      <c r="H224" s="88"/>
      <c r="I224" s="88"/>
      <c r="J224" s="88"/>
      <c r="K224" s="110"/>
      <c r="M224" s="97">
        <f t="shared" si="16"/>
        <v>50100</v>
      </c>
      <c r="N224" s="98" t="e">
        <f t="shared" si="20"/>
        <v>#DIV/0!</v>
      </c>
      <c r="O224" s="99" t="e">
        <f t="shared" si="21"/>
        <v>#DIV/0!</v>
      </c>
      <c r="P224" s="100">
        <f>SourceEnergy!F231</f>
        <v>0</v>
      </c>
      <c r="R224" s="38">
        <f>SourceEnergy!B231</f>
        <v>50100</v>
      </c>
      <c r="S224" s="39">
        <v>55.831440000000001</v>
      </c>
      <c r="T224" s="40">
        <v>53.691090000000003</v>
      </c>
      <c r="U224" s="41" t="e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#DIV/0!</v>
      </c>
    </row>
    <row r="225" spans="1:24" ht="15" customHeight="1" outlineLevel="1" x14ac:dyDescent="0.2">
      <c r="A225" s="96"/>
      <c r="B225"/>
      <c r="C225"/>
      <c r="D225"/>
      <c r="E225"/>
      <c r="F225" s="10"/>
      <c r="G225" s="112"/>
      <c r="H225" s="88"/>
      <c r="I225" s="88"/>
      <c r="J225" s="88"/>
      <c r="K225" s="110"/>
      <c r="M225" s="97">
        <f t="shared" si="16"/>
        <v>50131</v>
      </c>
      <c r="N225" s="98" t="e">
        <f t="shared" si="20"/>
        <v>#DIV/0!</v>
      </c>
      <c r="O225" s="99" t="e">
        <f t="shared" si="21"/>
        <v>#DIV/0!</v>
      </c>
      <c r="P225" s="100">
        <f>SourceEnergy!F232</f>
        <v>0</v>
      </c>
      <c r="R225" s="38">
        <f>SourceEnergy!B232</f>
        <v>50131</v>
      </c>
      <c r="S225" s="39">
        <v>56.729419999999998</v>
      </c>
      <c r="T225" s="40">
        <v>53.493870000000001</v>
      </c>
      <c r="U225" s="41" t="e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#DIV/0!</v>
      </c>
      <c r="W225" s="12">
        <f>VLOOKUP(W222,'[1]Table 5'!$L$16:$N$36,2,FALSE)</f>
        <v>0</v>
      </c>
      <c r="X225" s="12" t="s">
        <v>79</v>
      </c>
    </row>
    <row r="226" spans="1:24" ht="15" customHeight="1" outlineLevel="1" x14ac:dyDescent="0.2">
      <c r="A226" s="96"/>
      <c r="B226"/>
      <c r="C226"/>
      <c r="D226"/>
      <c r="E226"/>
      <c r="F226" s="10"/>
      <c r="G226" s="112"/>
      <c r="H226" s="88"/>
      <c r="I226" s="88"/>
      <c r="J226" s="88"/>
      <c r="K226" s="110"/>
      <c r="M226" s="97">
        <f t="shared" si="16"/>
        <v>50161</v>
      </c>
      <c r="N226" s="98" t="e">
        <f t="shared" si="20"/>
        <v>#DIV/0!</v>
      </c>
      <c r="O226" s="99" t="e">
        <f t="shared" si="21"/>
        <v>#DIV/0!</v>
      </c>
      <c r="P226" s="100">
        <f>SourceEnergy!F233</f>
        <v>0</v>
      </c>
      <c r="R226" s="38">
        <f>SourceEnergy!B233</f>
        <v>50161</v>
      </c>
      <c r="S226" s="39">
        <v>60.999809999999997</v>
      </c>
      <c r="T226" s="40">
        <v>56.30209</v>
      </c>
      <c r="U226" s="41" t="e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#DIV/0!</v>
      </c>
      <c r="W226" s="12">
        <f>VLOOKUP(W222,'[1]Table 5'!$L$16:$N$36,3,FALSE)</f>
        <v>0</v>
      </c>
      <c r="X226" s="12" t="s">
        <v>80</v>
      </c>
    </row>
    <row r="227" spans="1:24" ht="15" customHeight="1" outlineLevel="1" x14ac:dyDescent="0.2">
      <c r="A227" s="96"/>
      <c r="B227"/>
      <c r="C227"/>
      <c r="D227"/>
      <c r="E227"/>
      <c r="F227" s="10"/>
      <c r="G227" s="112"/>
      <c r="H227" s="88"/>
      <c r="I227" s="88"/>
      <c r="J227" s="88"/>
      <c r="K227" s="110"/>
      <c r="M227" s="97">
        <f t="shared" si="16"/>
        <v>50192</v>
      </c>
      <c r="N227" s="98" t="e">
        <f t="shared" si="20"/>
        <v>#DIV/0!</v>
      </c>
      <c r="O227" s="99" t="e">
        <f t="shared" si="21"/>
        <v>#DIV/0!</v>
      </c>
      <c r="P227" s="100">
        <f>SourceEnergy!F234</f>
        <v>0</v>
      </c>
      <c r="R227" s="38">
        <f>SourceEnergy!B234</f>
        <v>50192</v>
      </c>
      <c r="S227" s="39">
        <v>70.397909999999996</v>
      </c>
      <c r="T227" s="40">
        <v>60.530839999999998</v>
      </c>
      <c r="U227" s="41" t="e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#DIV/0!</v>
      </c>
      <c r="W227" s="12">
        <f>W225+W226</f>
        <v>0</v>
      </c>
      <c r="X227" s="12" t="s">
        <v>81</v>
      </c>
    </row>
    <row r="228" spans="1:24" ht="15" customHeight="1" outlineLevel="1" x14ac:dyDescent="0.2">
      <c r="A228" s="96"/>
      <c r="B228"/>
      <c r="C228"/>
      <c r="D228"/>
      <c r="E228"/>
      <c r="F228" s="10"/>
      <c r="G228" s="112"/>
      <c r="H228" s="88"/>
      <c r="I228" s="88"/>
      <c r="J228" s="88"/>
      <c r="K228" s="110"/>
      <c r="M228" s="97">
        <f t="shared" si="16"/>
        <v>50222</v>
      </c>
      <c r="N228" s="98" t="e">
        <f t="shared" si="20"/>
        <v>#DIV/0!</v>
      </c>
      <c r="O228" s="99" t="e">
        <f t="shared" si="21"/>
        <v>#DIV/0!</v>
      </c>
      <c r="P228" s="100">
        <f>SourceEnergy!F235</f>
        <v>0</v>
      </c>
      <c r="R228" s="38">
        <f>SourceEnergy!B235</f>
        <v>50222</v>
      </c>
      <c r="S228" s="39">
        <v>94.866140000000001</v>
      </c>
      <c r="T228" s="40">
        <v>71.510009999999994</v>
      </c>
      <c r="U228" s="41" t="e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#DIV/0!</v>
      </c>
    </row>
    <row r="229" spans="1:24" ht="15" customHeight="1" outlineLevel="1" x14ac:dyDescent="0.2">
      <c r="A229" s="96"/>
      <c r="B229"/>
      <c r="C229"/>
      <c r="D229"/>
      <c r="E229"/>
      <c r="F229" s="10"/>
      <c r="G229" s="112"/>
      <c r="H229" s="88"/>
      <c r="I229" s="88"/>
      <c r="J229" s="88"/>
      <c r="K229" s="110"/>
      <c r="M229" s="97">
        <f t="shared" si="16"/>
        <v>50253</v>
      </c>
      <c r="N229" s="98" t="e">
        <f t="shared" si="20"/>
        <v>#DIV/0!</v>
      </c>
      <c r="O229" s="99" t="e">
        <f t="shared" si="21"/>
        <v>#DIV/0!</v>
      </c>
      <c r="P229" s="100">
        <f>SourceEnergy!F236</f>
        <v>0</v>
      </c>
      <c r="R229" s="38">
        <f>SourceEnergy!B236</f>
        <v>50253</v>
      </c>
      <c r="S229" s="39">
        <v>95.937269999999998</v>
      </c>
      <c r="T229" s="40">
        <v>74.821240000000003</v>
      </c>
      <c r="U229" s="41" t="e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#DIV/0!</v>
      </c>
      <c r="W229" s="42">
        <f>IFERROR(W227/W223,0)</f>
        <v>0</v>
      </c>
      <c r="X229" s="12" t="s">
        <v>82</v>
      </c>
    </row>
    <row r="230" spans="1:24" ht="15" customHeight="1" outlineLevel="1" x14ac:dyDescent="0.2">
      <c r="A230" s="96"/>
      <c r="B230"/>
      <c r="C230"/>
      <c r="D230"/>
      <c r="E230"/>
      <c r="F230" s="10"/>
      <c r="G230" s="112"/>
      <c r="H230" s="88"/>
      <c r="I230" s="88"/>
      <c r="J230" s="88"/>
      <c r="K230" s="110"/>
      <c r="M230" s="97">
        <f t="shared" si="16"/>
        <v>50284</v>
      </c>
      <c r="N230" s="98" t="e">
        <f t="shared" si="20"/>
        <v>#DIV/0!</v>
      </c>
      <c r="O230" s="99" t="e">
        <f t="shared" si="21"/>
        <v>#DIV/0!</v>
      </c>
      <c r="P230" s="100">
        <f>SourceEnergy!F237</f>
        <v>0</v>
      </c>
      <c r="R230" s="38">
        <f>SourceEnergy!B237</f>
        <v>50284</v>
      </c>
      <c r="S230" s="39">
        <v>83.614490000000004</v>
      </c>
      <c r="T230" s="40">
        <v>67.459620000000001</v>
      </c>
      <c r="U230" s="41" t="e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#DIV/0!</v>
      </c>
    </row>
    <row r="231" spans="1:24" ht="15" customHeight="1" outlineLevel="1" x14ac:dyDescent="0.2">
      <c r="A231" s="96"/>
      <c r="B231"/>
      <c r="C231"/>
      <c r="D231"/>
      <c r="E231"/>
      <c r="F231" s="10"/>
      <c r="G231" s="112"/>
      <c r="H231" s="88"/>
      <c r="I231" s="88"/>
      <c r="J231" s="88"/>
      <c r="K231" s="110"/>
      <c r="M231" s="97">
        <f t="shared" si="16"/>
        <v>50314</v>
      </c>
      <c r="N231" s="98" t="e">
        <f t="shared" si="20"/>
        <v>#DIV/0!</v>
      </c>
      <c r="O231" s="99" t="e">
        <f t="shared" si="21"/>
        <v>#DIV/0!</v>
      </c>
      <c r="P231" s="100">
        <f>SourceEnergy!F238</f>
        <v>0</v>
      </c>
      <c r="R231" s="38">
        <f>SourceEnergy!B238</f>
        <v>50314</v>
      </c>
      <c r="S231" s="39">
        <v>63.191319999999997</v>
      </c>
      <c r="T231" s="40">
        <v>57.950609999999998</v>
      </c>
      <c r="U231" s="41" t="e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#DIV/0!</v>
      </c>
    </row>
    <row r="232" spans="1:24" ht="15" customHeight="1" outlineLevel="1" x14ac:dyDescent="0.2">
      <c r="A232" s="96"/>
      <c r="B232"/>
      <c r="C232"/>
      <c r="D232"/>
      <c r="E232"/>
      <c r="F232" s="10"/>
      <c r="G232" s="112"/>
      <c r="H232" s="88"/>
      <c r="I232" s="88"/>
      <c r="J232" s="88"/>
      <c r="K232" s="110"/>
      <c r="M232" s="97">
        <f t="shared" si="16"/>
        <v>50345</v>
      </c>
      <c r="N232" s="98" t="e">
        <f t="shared" si="20"/>
        <v>#DIV/0!</v>
      </c>
      <c r="O232" s="99" t="e">
        <f t="shared" si="21"/>
        <v>#DIV/0!</v>
      </c>
      <c r="P232" s="100">
        <f>SourceEnergy!F239</f>
        <v>0</v>
      </c>
      <c r="R232" s="38">
        <f>SourceEnergy!B239</f>
        <v>50345</v>
      </c>
      <c r="S232" s="39">
        <v>63.19408</v>
      </c>
      <c r="T232" s="40">
        <v>58.551580000000001</v>
      </c>
      <c r="U232" s="41" t="e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#DIV/0!</v>
      </c>
    </row>
    <row r="233" spans="1:24" ht="15" customHeight="1" outlineLevel="1" x14ac:dyDescent="0.2">
      <c r="A233" s="96"/>
      <c r="B233"/>
      <c r="C233"/>
      <c r="D233"/>
      <c r="E233"/>
      <c r="F233" s="10"/>
      <c r="G233" s="112"/>
      <c r="H233" s="88"/>
      <c r="I233" s="88"/>
      <c r="J233" s="88"/>
      <c r="K233" s="110"/>
      <c r="M233" s="109">
        <f t="shared" si="16"/>
        <v>50375</v>
      </c>
      <c r="N233" s="102" t="e">
        <f t="shared" si="20"/>
        <v>#DIV/0!</v>
      </c>
      <c r="O233" s="103" t="e">
        <f t="shared" si="21"/>
        <v>#DIV/0!</v>
      </c>
      <c r="P233" s="104">
        <f>SourceEnergy!F240</f>
        <v>0</v>
      </c>
      <c r="R233" s="45">
        <f>SourceEnergy!B240</f>
        <v>50375</v>
      </c>
      <c r="S233" s="46">
        <v>68.46584</v>
      </c>
      <c r="T233" s="47">
        <v>63.279350000000001</v>
      </c>
      <c r="U233" s="48" t="e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#DIV/0!</v>
      </c>
    </row>
    <row r="234" spans="1:24" ht="15" customHeight="1" x14ac:dyDescent="0.2">
      <c r="A234" s="96"/>
      <c r="B234"/>
      <c r="C234"/>
      <c r="D234"/>
      <c r="E234"/>
      <c r="F234" s="10"/>
      <c r="G234" s="112"/>
      <c r="H234" s="88"/>
      <c r="I234" s="88"/>
      <c r="J234" s="88"/>
      <c r="K234" s="110"/>
      <c r="M234" s="105">
        <f t="shared" si="16"/>
        <v>50406</v>
      </c>
      <c r="N234" s="106" t="e">
        <f>IF(AND(P234&lt;&gt;"",N233&gt;0),ROUND(AVERAGE(N222/P222,N210/P210,N198/P198,N186/P186,N174/P174,N162/P162,N150/P150,N138/P138)*P234,1),"")</f>
        <v>#DIV/0!</v>
      </c>
      <c r="O234" s="107" t="e">
        <f>IF(P234&lt;&gt;"",P234-N234,"")</f>
        <v>#DIV/0!</v>
      </c>
      <c r="P234" s="108">
        <f>SourceEnergy!F241</f>
        <v>0</v>
      </c>
      <c r="R234" s="30">
        <f>SourceEnergy!B241</f>
        <v>50406</v>
      </c>
      <c r="S234" s="31">
        <v>67.466279999999998</v>
      </c>
      <c r="T234" s="32">
        <v>62.267910000000001</v>
      </c>
      <c r="U234" s="33" t="e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#DIV/0!</v>
      </c>
      <c r="W234" s="34">
        <f>YEAR(M234)</f>
        <v>2038</v>
      </c>
      <c r="X234" s="35"/>
    </row>
    <row r="235" spans="1:24" ht="15" customHeight="1" x14ac:dyDescent="0.2">
      <c r="A235" s="96"/>
      <c r="B235"/>
      <c r="C235"/>
      <c r="D235"/>
      <c r="E235"/>
      <c r="F235" s="10"/>
      <c r="G235" s="112"/>
      <c r="H235" s="88"/>
      <c r="I235" s="88"/>
      <c r="J235" s="88"/>
      <c r="K235" s="110"/>
      <c r="M235" s="97">
        <f t="shared" si="16"/>
        <v>50437</v>
      </c>
      <c r="N235" s="98" t="e">
        <f t="shared" ref="N235:N245" si="22">IF(P235&lt;&gt;"",ROUND(AVERAGE(N223/P223,N211/P211,N199/P199,N187/P187,N175/P175,N163/P163,N151/P151,N139/P139)*P235,1),"")</f>
        <v>#DIV/0!</v>
      </c>
      <c r="O235" s="99" t="e">
        <f t="shared" ref="O235:O245" si="23">IF(P235&lt;&gt;"",P235-N235,"")</f>
        <v>#DIV/0!</v>
      </c>
      <c r="P235" s="100">
        <f>SourceEnergy!F242</f>
        <v>0</v>
      </c>
      <c r="R235" s="38">
        <f>SourceEnergy!B242</f>
        <v>50437</v>
      </c>
      <c r="S235" s="39">
        <v>66.421819999999997</v>
      </c>
      <c r="T235" s="40">
        <v>62.136209999999998</v>
      </c>
      <c r="U235" s="41" t="e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#DIV/0!</v>
      </c>
      <c r="W235" s="12" t="e">
        <f>SUMPRODUCT(N234:N245,S234:S245)+SUMPRODUCT(O234:O245,T234:T245)</f>
        <v>#DIV/0!</v>
      </c>
      <c r="X235" s="12" t="s">
        <v>78</v>
      </c>
    </row>
    <row r="236" spans="1:24" ht="15" customHeight="1" x14ac:dyDescent="0.2">
      <c r="A236" s="96"/>
      <c r="B236"/>
      <c r="C236"/>
      <c r="D236"/>
      <c r="E236"/>
      <c r="F236" s="10"/>
      <c r="G236" s="112"/>
      <c r="H236" s="88"/>
      <c r="I236" s="88"/>
      <c r="J236" s="88"/>
      <c r="K236" s="110"/>
      <c r="M236" s="97">
        <f t="shared" si="16"/>
        <v>50465</v>
      </c>
      <c r="N236" s="98" t="e">
        <f t="shared" si="22"/>
        <v>#DIV/0!</v>
      </c>
      <c r="O236" s="99" t="e">
        <f t="shared" si="23"/>
        <v>#DIV/0!</v>
      </c>
      <c r="P236" s="100">
        <f>SourceEnergy!F243</f>
        <v>0</v>
      </c>
      <c r="R236" s="38">
        <f>SourceEnergy!B243</f>
        <v>50465</v>
      </c>
      <c r="S236" s="39">
        <v>60.664070000000002</v>
      </c>
      <c r="T236" s="40">
        <v>58.02908</v>
      </c>
      <c r="U236" s="41" t="e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#DIV/0!</v>
      </c>
    </row>
    <row r="237" spans="1:24" ht="15" customHeight="1" x14ac:dyDescent="0.2">
      <c r="A237" s="96"/>
      <c r="B237"/>
      <c r="C237"/>
      <c r="D237"/>
      <c r="E237"/>
      <c r="F237" s="10"/>
      <c r="G237" s="112"/>
      <c r="H237" s="88"/>
      <c r="I237" s="88"/>
      <c r="J237" s="88"/>
      <c r="K237" s="110"/>
      <c r="M237" s="97">
        <f t="shared" si="16"/>
        <v>50496</v>
      </c>
      <c r="N237" s="98" t="e">
        <f t="shared" si="22"/>
        <v>#DIV/0!</v>
      </c>
      <c r="O237" s="99" t="e">
        <f t="shared" si="23"/>
        <v>#DIV/0!</v>
      </c>
      <c r="P237" s="100">
        <f>SourceEnergy!F244</f>
        <v>0</v>
      </c>
      <c r="R237" s="38">
        <f>SourceEnergy!B244</f>
        <v>50496</v>
      </c>
      <c r="S237" s="39">
        <v>63.20073</v>
      </c>
      <c r="T237" s="40">
        <v>59.589829999999999</v>
      </c>
      <c r="U237" s="41" t="e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#DIV/0!</v>
      </c>
      <c r="W237" s="12">
        <f>VLOOKUP(W234,'[1]Table 5'!$L$16:$N$36,2,FALSE)</f>
        <v>0</v>
      </c>
      <c r="X237" s="12" t="s">
        <v>79</v>
      </c>
    </row>
    <row r="238" spans="1:24" ht="15" customHeight="1" x14ac:dyDescent="0.2">
      <c r="A238" s="96"/>
      <c r="B238"/>
      <c r="C238"/>
      <c r="D238"/>
      <c r="E238"/>
      <c r="F238" s="10"/>
      <c r="G238" s="112"/>
      <c r="H238" s="88"/>
      <c r="I238" s="88"/>
      <c r="J238" s="88"/>
      <c r="K238" s="110"/>
      <c r="M238" s="97">
        <f t="shared" si="16"/>
        <v>50526</v>
      </c>
      <c r="N238" s="98" t="e">
        <f t="shared" si="22"/>
        <v>#DIV/0!</v>
      </c>
      <c r="O238" s="99" t="e">
        <f t="shared" si="23"/>
        <v>#DIV/0!</v>
      </c>
      <c r="P238" s="100">
        <f>SourceEnergy!F245</f>
        <v>0</v>
      </c>
      <c r="R238" s="38">
        <f>SourceEnergy!B245</f>
        <v>50526</v>
      </c>
      <c r="S238" s="39">
        <v>64.149199999999993</v>
      </c>
      <c r="T238" s="40">
        <v>58.775440000000003</v>
      </c>
      <c r="U238" s="41" t="e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#DIV/0!</v>
      </c>
      <c r="W238" s="12">
        <f>VLOOKUP(W234,'[1]Table 5'!$L$16:$N$36,3,FALSE)</f>
        <v>0</v>
      </c>
      <c r="X238" s="12" t="s">
        <v>80</v>
      </c>
    </row>
    <row r="239" spans="1:24" ht="15" customHeight="1" x14ac:dyDescent="0.2">
      <c r="A239" s="96"/>
      <c r="B239"/>
      <c r="C239"/>
      <c r="D239"/>
      <c r="E239"/>
      <c r="F239" s="10"/>
      <c r="G239" s="112"/>
      <c r="H239" s="88"/>
      <c r="I239" s="88"/>
      <c r="J239" s="88"/>
      <c r="K239" s="110"/>
      <c r="M239" s="97">
        <f t="shared" si="16"/>
        <v>50557</v>
      </c>
      <c r="N239" s="98" t="e">
        <f t="shared" si="22"/>
        <v>#DIV/0!</v>
      </c>
      <c r="O239" s="99" t="e">
        <f t="shared" si="23"/>
        <v>#DIV/0!</v>
      </c>
      <c r="P239" s="100">
        <f>SourceEnergy!F246</f>
        <v>0</v>
      </c>
      <c r="R239" s="38">
        <f>SourceEnergy!B246</f>
        <v>50557</v>
      </c>
      <c r="S239" s="39">
        <v>74.824529999999996</v>
      </c>
      <c r="T239" s="40">
        <v>64.510660000000001</v>
      </c>
      <c r="U239" s="41" t="e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#DIV/0!</v>
      </c>
      <c r="W239" s="12">
        <f>W237+W238</f>
        <v>0</v>
      </c>
      <c r="X239" s="12" t="s">
        <v>81</v>
      </c>
    </row>
    <row r="240" spans="1:24" ht="15" customHeight="1" x14ac:dyDescent="0.2">
      <c r="A240" s="96"/>
      <c r="B240"/>
      <c r="C240"/>
      <c r="D240"/>
      <c r="E240"/>
      <c r="F240" s="10"/>
      <c r="G240" s="112"/>
      <c r="H240" s="88"/>
      <c r="I240" s="88"/>
      <c r="J240" s="88"/>
      <c r="K240" s="110"/>
      <c r="M240" s="97">
        <f t="shared" si="16"/>
        <v>50587</v>
      </c>
      <c r="N240" s="98" t="e">
        <f t="shared" si="22"/>
        <v>#DIV/0!</v>
      </c>
      <c r="O240" s="99" t="e">
        <f t="shared" si="23"/>
        <v>#DIV/0!</v>
      </c>
      <c r="P240" s="100">
        <f>SourceEnergy!F247</f>
        <v>0</v>
      </c>
      <c r="R240" s="38">
        <f>SourceEnergy!B247</f>
        <v>50587</v>
      </c>
      <c r="S240" s="39">
        <v>101.09229999999999</v>
      </c>
      <c r="T240" s="40">
        <v>76.523300000000006</v>
      </c>
      <c r="U240" s="41" t="e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#DIV/0!</v>
      </c>
    </row>
    <row r="241" spans="1:24" ht="15" customHeight="1" x14ac:dyDescent="0.2">
      <c r="A241" s="96"/>
      <c r="B241"/>
      <c r="C241"/>
      <c r="D241"/>
      <c r="E241"/>
      <c r="F241" s="10"/>
      <c r="G241" s="112"/>
      <c r="H241" s="88"/>
      <c r="I241" s="88"/>
      <c r="J241" s="88"/>
      <c r="K241" s="110"/>
      <c r="M241" s="97">
        <f t="shared" si="16"/>
        <v>50618</v>
      </c>
      <c r="N241" s="98" t="e">
        <f t="shared" si="22"/>
        <v>#DIV/0!</v>
      </c>
      <c r="O241" s="99" t="e">
        <f t="shared" si="23"/>
        <v>#DIV/0!</v>
      </c>
      <c r="P241" s="100">
        <f>SourceEnergy!F248</f>
        <v>0</v>
      </c>
      <c r="R241" s="38">
        <f>SourceEnergy!B248</f>
        <v>50618</v>
      </c>
      <c r="S241" s="39">
        <v>102.485</v>
      </c>
      <c r="T241" s="40">
        <v>79.293009999999995</v>
      </c>
      <c r="U241" s="41" t="e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#DIV/0!</v>
      </c>
      <c r="W241" s="42">
        <f>IFERROR(W239/W235,0)</f>
        <v>0</v>
      </c>
      <c r="X241" s="12" t="s">
        <v>82</v>
      </c>
    </row>
    <row r="242" spans="1:24" ht="15" customHeight="1" x14ac:dyDescent="0.2">
      <c r="A242" s="96"/>
      <c r="B242"/>
      <c r="C242"/>
      <c r="D242"/>
      <c r="E242"/>
      <c r="F242" s="10"/>
      <c r="G242" s="112"/>
      <c r="H242" s="88"/>
      <c r="I242" s="88"/>
      <c r="J242" s="88"/>
      <c r="K242" s="110"/>
      <c r="M242" s="97">
        <f t="shared" si="16"/>
        <v>50649</v>
      </c>
      <c r="N242" s="98" t="e">
        <f t="shared" si="22"/>
        <v>#DIV/0!</v>
      </c>
      <c r="O242" s="99" t="e">
        <f t="shared" si="23"/>
        <v>#DIV/0!</v>
      </c>
      <c r="P242" s="100">
        <f>SourceEnergy!F249</f>
        <v>0</v>
      </c>
      <c r="R242" s="38">
        <f>SourceEnergy!B249</f>
        <v>50649</v>
      </c>
      <c r="S242" s="39">
        <v>88.070549999999997</v>
      </c>
      <c r="T242" s="40">
        <v>71.445310000000006</v>
      </c>
      <c r="U242" s="41" t="e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#DIV/0!</v>
      </c>
    </row>
    <row r="243" spans="1:24" ht="15" customHeight="1" x14ac:dyDescent="0.2">
      <c r="A243" s="96"/>
      <c r="B243"/>
      <c r="C243"/>
      <c r="D243"/>
      <c r="E243"/>
      <c r="F243" s="10"/>
      <c r="G243" s="112"/>
      <c r="H243" s="88"/>
      <c r="I243" s="88"/>
      <c r="J243" s="88"/>
      <c r="K243" s="110"/>
      <c r="M243" s="97">
        <f t="shared" si="16"/>
        <v>50679</v>
      </c>
      <c r="N243" s="98" t="e">
        <f t="shared" si="22"/>
        <v>#DIV/0!</v>
      </c>
      <c r="O243" s="99" t="e">
        <f t="shared" si="23"/>
        <v>#DIV/0!</v>
      </c>
      <c r="P243" s="100">
        <f>SourceEnergy!F250</f>
        <v>0</v>
      </c>
      <c r="R243" s="38">
        <f>SourceEnergy!B250</f>
        <v>50679</v>
      </c>
      <c r="S243" s="39">
        <v>67.854690000000005</v>
      </c>
      <c r="T243" s="40">
        <v>62.311689999999999</v>
      </c>
      <c r="U243" s="41" t="e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#DIV/0!</v>
      </c>
    </row>
    <row r="244" spans="1:24" ht="15" customHeight="1" x14ac:dyDescent="0.2">
      <c r="A244" s="96"/>
      <c r="B244"/>
      <c r="C244"/>
      <c r="D244"/>
      <c r="E244"/>
      <c r="F244" s="10"/>
      <c r="G244" s="112"/>
      <c r="H244" s="88"/>
      <c r="I244" s="88"/>
      <c r="J244" s="88"/>
      <c r="K244" s="110"/>
      <c r="M244" s="97">
        <f t="shared" si="16"/>
        <v>50710</v>
      </c>
      <c r="N244" s="98" t="e">
        <f t="shared" si="22"/>
        <v>#DIV/0!</v>
      </c>
      <c r="O244" s="99" t="e">
        <f t="shared" si="23"/>
        <v>#DIV/0!</v>
      </c>
      <c r="P244" s="100">
        <f>SourceEnergy!F251</f>
        <v>0</v>
      </c>
      <c r="R244" s="38">
        <f>SourceEnergy!B251</f>
        <v>50710</v>
      </c>
      <c r="S244" s="39">
        <v>68.666060000000002</v>
      </c>
      <c r="T244" s="40">
        <v>63.356250000000003</v>
      </c>
      <c r="U244" s="41" t="e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#DIV/0!</v>
      </c>
    </row>
    <row r="245" spans="1:24" ht="15" customHeight="1" x14ac:dyDescent="0.2">
      <c r="A245" s="96"/>
      <c r="B245"/>
      <c r="C245"/>
      <c r="D245"/>
      <c r="E245"/>
      <c r="F245" s="10"/>
      <c r="G245" s="112"/>
      <c r="H245" s="88"/>
      <c r="I245" s="88"/>
      <c r="J245" s="88"/>
      <c r="K245" s="110"/>
      <c r="M245" s="109">
        <f t="shared" si="16"/>
        <v>50740</v>
      </c>
      <c r="N245" s="102" t="e">
        <f t="shared" si="22"/>
        <v>#DIV/0!</v>
      </c>
      <c r="O245" s="103" t="e">
        <f t="shared" si="23"/>
        <v>#DIV/0!</v>
      </c>
      <c r="P245" s="104">
        <f>SourceEnergy!F252</f>
        <v>0</v>
      </c>
      <c r="R245" s="45">
        <f>SourceEnergy!B252</f>
        <v>50740</v>
      </c>
      <c r="S245" s="46">
        <v>72.350650000000002</v>
      </c>
      <c r="T245" s="47">
        <v>67.540480000000002</v>
      </c>
      <c r="U245" s="48" t="e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#DIV/0!</v>
      </c>
    </row>
    <row r="246" spans="1:24" ht="15" customHeight="1" x14ac:dyDescent="0.2">
      <c r="G246" s="112"/>
      <c r="H246" s="88"/>
      <c r="I246" s="88"/>
      <c r="J246" s="88"/>
      <c r="K246" s="110"/>
      <c r="M246" s="105">
        <f t="shared" ref="M246:M257" si="24">EDATE(M245,1)</f>
        <v>50771</v>
      </c>
      <c r="N246" s="106" t="e">
        <f>IF(AND(P246&lt;&gt;"",N245&gt;0),ROUND(AVERAGE(N234/P234,N222/P222,N210/P210,N198/P198,N186/P186,N174/P174,N162/P162,N150/P150)*P246,1),"")</f>
        <v>#DIV/0!</v>
      </c>
      <c r="O246" s="107" t="e">
        <f>IF(P246&lt;&gt;"",P246-N246,"")</f>
        <v>#DIV/0!</v>
      </c>
      <c r="P246" s="108">
        <f>SourceEnergy!F253</f>
        <v>0</v>
      </c>
      <c r="R246" s="30">
        <f>SourceEnergy!B253</f>
        <v>50771</v>
      </c>
      <c r="S246" s="31">
        <v>71.440569999999994</v>
      </c>
      <c r="T246" s="32">
        <v>66.120519999999999</v>
      </c>
      <c r="U246" s="33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</v>
      </c>
      <c r="W246" s="34">
        <f>YEAR(M246)</f>
        <v>2039</v>
      </c>
      <c r="X246" s="35"/>
    </row>
    <row r="247" spans="1:24" ht="15" customHeight="1" x14ac:dyDescent="0.2">
      <c r="G247" s="112"/>
      <c r="H247" s="88"/>
      <c r="I247" s="88"/>
      <c r="J247" s="88"/>
      <c r="K247" s="110"/>
      <c r="M247" s="97">
        <f t="shared" si="24"/>
        <v>50802</v>
      </c>
      <c r="N247" s="98" t="e">
        <f t="shared" ref="N247:N257" si="25">IF(P247&lt;&gt;"",ROUND(AVERAGE(N235/P235,N223/P223,N211/P211,N199/P199,N187/P187,N175/P175,N163/P163,N151/P151)*P247,1),"")</f>
        <v>#DIV/0!</v>
      </c>
      <c r="O247" s="99" t="e">
        <f t="shared" ref="O247:O257" si="26">IF(P247&lt;&gt;"",P247-N247,"")</f>
        <v>#DIV/0!</v>
      </c>
      <c r="P247" s="100">
        <f>SourceEnergy!F254</f>
        <v>0</v>
      </c>
      <c r="R247" s="38">
        <f>SourceEnergy!B254</f>
        <v>50802</v>
      </c>
      <c r="S247" s="39">
        <v>70.501270000000005</v>
      </c>
      <c r="T247" s="40">
        <v>66.354609999999994</v>
      </c>
      <c r="U247" s="41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</v>
      </c>
      <c r="W247" s="12">
        <f>IFERROR(SUMPRODUCT(N246:N257,S246:S257)+SUMPRODUCT(O246:O257,T246:T257),0)</f>
        <v>0</v>
      </c>
      <c r="X247" s="12" t="s">
        <v>78</v>
      </c>
    </row>
    <row r="248" spans="1:24" ht="15" customHeight="1" x14ac:dyDescent="0.2">
      <c r="G248" s="112"/>
      <c r="H248" s="88"/>
      <c r="I248" s="88"/>
      <c r="J248" s="88"/>
      <c r="K248" s="110"/>
      <c r="M248" s="97">
        <f t="shared" si="24"/>
        <v>50830</v>
      </c>
      <c r="N248" s="98" t="e">
        <f t="shared" si="25"/>
        <v>#DIV/0!</v>
      </c>
      <c r="O248" s="99" t="e">
        <f t="shared" si="26"/>
        <v>#DIV/0!</v>
      </c>
      <c r="P248" s="100">
        <f>SourceEnergy!F255</f>
        <v>0</v>
      </c>
      <c r="Q248" s="101"/>
      <c r="R248" s="38">
        <f>SourceEnergy!B255</f>
        <v>50830</v>
      </c>
      <c r="S248" s="39">
        <v>61.345509999999997</v>
      </c>
      <c r="T248" s="40">
        <v>59.267099999999999</v>
      </c>
      <c r="U248" s="41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</v>
      </c>
    </row>
    <row r="249" spans="1:24" ht="15" customHeight="1" x14ac:dyDescent="0.2">
      <c r="G249" s="112"/>
      <c r="H249" s="88"/>
      <c r="I249" s="88"/>
      <c r="J249" s="88"/>
      <c r="K249" s="110"/>
      <c r="M249" s="97">
        <f t="shared" si="24"/>
        <v>50861</v>
      </c>
      <c r="N249" s="98" t="e">
        <f t="shared" si="25"/>
        <v>#DIV/0!</v>
      </c>
      <c r="O249" s="99" t="e">
        <f t="shared" si="26"/>
        <v>#DIV/0!</v>
      </c>
      <c r="P249" s="100">
        <f>SourceEnergy!F256</f>
        <v>0</v>
      </c>
      <c r="Q249" s="101"/>
      <c r="R249" s="38">
        <f>SourceEnergy!B256</f>
        <v>50861</v>
      </c>
      <c r="S249" s="39">
        <v>60.547339999999998</v>
      </c>
      <c r="T249" s="40">
        <v>58.29806</v>
      </c>
      <c r="U249" s="41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</v>
      </c>
      <c r="W249" s="12">
        <f>VLOOKUP(W246,'[1]Table 5'!$L$16:$N$36,2,FALSE)</f>
        <v>0</v>
      </c>
      <c r="X249" s="12" t="s">
        <v>79</v>
      </c>
    </row>
    <row r="250" spans="1:24" ht="15" customHeight="1" x14ac:dyDescent="0.2">
      <c r="G250" s="112"/>
      <c r="H250" s="88"/>
      <c r="I250" s="88"/>
      <c r="J250" s="88"/>
      <c r="K250" s="110"/>
      <c r="M250" s="97">
        <f t="shared" si="24"/>
        <v>50891</v>
      </c>
      <c r="N250" s="98" t="e">
        <f t="shared" si="25"/>
        <v>#DIV/0!</v>
      </c>
      <c r="O250" s="99" t="e">
        <f t="shared" si="26"/>
        <v>#DIV/0!</v>
      </c>
      <c r="P250" s="100">
        <f>SourceEnergy!F257</f>
        <v>0</v>
      </c>
      <c r="Q250" s="101"/>
      <c r="R250" s="38">
        <f>SourceEnergy!B257</f>
        <v>50891</v>
      </c>
      <c r="S250" s="39">
        <v>66.741749999999996</v>
      </c>
      <c r="T250" s="40">
        <v>60.746200000000002</v>
      </c>
      <c r="U250" s="41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</v>
      </c>
      <c r="W250" s="12">
        <f>VLOOKUP(W246,'[1]Table 5'!$L$16:$N$36,3,FALSE)</f>
        <v>0</v>
      </c>
      <c r="X250" s="12" t="s">
        <v>80</v>
      </c>
    </row>
    <row r="251" spans="1:24" ht="15" customHeight="1" x14ac:dyDescent="0.2">
      <c r="G251" s="112"/>
      <c r="H251" s="88"/>
      <c r="I251" s="88"/>
      <c r="J251" s="88"/>
      <c r="K251" s="110"/>
      <c r="M251" s="97">
        <f t="shared" si="24"/>
        <v>50922</v>
      </c>
      <c r="N251" s="98" t="e">
        <f t="shared" si="25"/>
        <v>#DIV/0!</v>
      </c>
      <c r="O251" s="99" t="e">
        <f t="shared" si="26"/>
        <v>#DIV/0!</v>
      </c>
      <c r="P251" s="100">
        <f>SourceEnergy!F258</f>
        <v>0</v>
      </c>
      <c r="Q251" s="101"/>
      <c r="R251" s="38">
        <f>SourceEnergy!B258</f>
        <v>50922</v>
      </c>
      <c r="S251" s="39">
        <v>77.781509999999997</v>
      </c>
      <c r="T251" s="40">
        <v>66.848349999999996</v>
      </c>
      <c r="U251" s="41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</v>
      </c>
      <c r="W251" s="12">
        <f>W249+W250</f>
        <v>0</v>
      </c>
      <c r="X251" s="12" t="s">
        <v>81</v>
      </c>
    </row>
    <row r="252" spans="1:24" ht="15" customHeight="1" x14ac:dyDescent="0.2">
      <c r="G252" s="112"/>
      <c r="H252" s="88"/>
      <c r="I252" s="88"/>
      <c r="J252" s="88"/>
      <c r="K252" s="110"/>
      <c r="M252" s="97">
        <f t="shared" si="24"/>
        <v>50952</v>
      </c>
      <c r="N252" s="98" t="e">
        <f t="shared" si="25"/>
        <v>#DIV/0!</v>
      </c>
      <c r="O252" s="99" t="e">
        <f t="shared" si="26"/>
        <v>#DIV/0!</v>
      </c>
      <c r="P252" s="100">
        <f>SourceEnergy!F259</f>
        <v>0</v>
      </c>
      <c r="Q252" s="101"/>
      <c r="R252" s="38">
        <f>SourceEnergy!B259</f>
        <v>50952</v>
      </c>
      <c r="S252" s="39">
        <v>103.476</v>
      </c>
      <c r="T252" s="40">
        <v>79.763570000000001</v>
      </c>
      <c r="U252" s="41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</v>
      </c>
    </row>
    <row r="253" spans="1:24" ht="15" customHeight="1" x14ac:dyDescent="0.2">
      <c r="G253" s="112"/>
      <c r="H253" s="88"/>
      <c r="I253" s="88"/>
      <c r="J253" s="88"/>
      <c r="K253" s="110"/>
      <c r="M253" s="97">
        <f t="shared" si="24"/>
        <v>50983</v>
      </c>
      <c r="N253" s="98" t="e">
        <f t="shared" si="25"/>
        <v>#DIV/0!</v>
      </c>
      <c r="O253" s="99" t="e">
        <f t="shared" si="26"/>
        <v>#DIV/0!</v>
      </c>
      <c r="P253" s="100">
        <f>SourceEnergy!F260</f>
        <v>0</v>
      </c>
      <c r="Q253" s="101"/>
      <c r="R253" s="38">
        <f>SourceEnergy!B260</f>
        <v>50983</v>
      </c>
      <c r="S253" s="39">
        <v>106.18729999999999</v>
      </c>
      <c r="T253" s="40">
        <v>81.926220000000001</v>
      </c>
      <c r="U253" s="41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</v>
      </c>
      <c r="W253" s="42">
        <f>IFERROR(W251/W247,0)</f>
        <v>0</v>
      </c>
      <c r="X253" s="12" t="s">
        <v>82</v>
      </c>
    </row>
    <row r="254" spans="1:24" ht="15" customHeight="1" x14ac:dyDescent="0.2">
      <c r="G254" s="112"/>
      <c r="H254" s="88"/>
      <c r="I254" s="88"/>
      <c r="J254" s="88"/>
      <c r="K254" s="110"/>
      <c r="M254" s="97">
        <f t="shared" si="24"/>
        <v>51014</v>
      </c>
      <c r="N254" s="98" t="e">
        <f t="shared" si="25"/>
        <v>#DIV/0!</v>
      </c>
      <c r="O254" s="99" t="e">
        <f t="shared" si="26"/>
        <v>#DIV/0!</v>
      </c>
      <c r="P254" s="100">
        <f>SourceEnergy!F261</f>
        <v>0</v>
      </c>
      <c r="Q254" s="101"/>
      <c r="R254" s="38">
        <f>SourceEnergy!B261</f>
        <v>51014</v>
      </c>
      <c r="S254" s="39">
        <v>91.233829999999998</v>
      </c>
      <c r="T254" s="40">
        <v>74.738240000000005</v>
      </c>
      <c r="U254" s="41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</v>
      </c>
    </row>
    <row r="255" spans="1:24" ht="15" customHeight="1" x14ac:dyDescent="0.2">
      <c r="G255" s="112"/>
      <c r="H255" s="88"/>
      <c r="I255" s="88"/>
      <c r="J255" s="88"/>
      <c r="K255" s="110"/>
      <c r="M255" s="97">
        <f t="shared" si="24"/>
        <v>51044</v>
      </c>
      <c r="N255" s="98" t="e">
        <f t="shared" si="25"/>
        <v>#DIV/0!</v>
      </c>
      <c r="O255" s="99" t="e">
        <f t="shared" si="26"/>
        <v>#DIV/0!</v>
      </c>
      <c r="P255" s="100">
        <f>SourceEnergy!F262</f>
        <v>0</v>
      </c>
      <c r="Q255" s="101"/>
      <c r="R255" s="38">
        <f>SourceEnergy!B262</f>
        <v>51044</v>
      </c>
      <c r="S255" s="39">
        <v>72.085440000000006</v>
      </c>
      <c r="T255" s="40">
        <v>66.727459999999994</v>
      </c>
      <c r="U255" s="41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</v>
      </c>
    </row>
    <row r="256" spans="1:24" ht="15" customHeight="1" x14ac:dyDescent="0.2">
      <c r="G256" s="112"/>
      <c r="H256" s="88"/>
      <c r="I256" s="88"/>
      <c r="J256" s="88"/>
      <c r="K256" s="110"/>
      <c r="M256" s="97">
        <f t="shared" si="24"/>
        <v>51075</v>
      </c>
      <c r="N256" s="98" t="e">
        <f t="shared" si="25"/>
        <v>#DIV/0!</v>
      </c>
      <c r="O256" s="99" t="e">
        <f t="shared" si="26"/>
        <v>#DIV/0!</v>
      </c>
      <c r="P256" s="100">
        <f>SourceEnergy!F263</f>
        <v>0</v>
      </c>
      <c r="Q256" s="101"/>
      <c r="R256" s="38">
        <f>SourceEnergy!B263</f>
        <v>51075</v>
      </c>
      <c r="S256" s="39">
        <v>70.710290000000001</v>
      </c>
      <c r="T256" s="40">
        <v>65.477130000000002</v>
      </c>
      <c r="U256" s="41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</v>
      </c>
    </row>
    <row r="257" spans="7:21" ht="15" customHeight="1" x14ac:dyDescent="0.2">
      <c r="G257" s="112"/>
      <c r="H257" s="88"/>
      <c r="I257" s="88"/>
      <c r="J257" s="88"/>
      <c r="K257" s="110"/>
      <c r="M257" s="109">
        <f t="shared" si="24"/>
        <v>51105</v>
      </c>
      <c r="N257" s="102" t="e">
        <f t="shared" si="25"/>
        <v>#DIV/0!</v>
      </c>
      <c r="O257" s="103" t="e">
        <f t="shared" si="26"/>
        <v>#DIV/0!</v>
      </c>
      <c r="P257" s="104">
        <f>SourceEnergy!F264</f>
        <v>0</v>
      </c>
      <c r="Q257" s="101"/>
      <c r="R257" s="45">
        <f>SourceEnergy!B264</f>
        <v>51105</v>
      </c>
      <c r="S257" s="46">
        <v>74.675830000000005</v>
      </c>
      <c r="T257" s="47">
        <v>70.188929999999999</v>
      </c>
      <c r="U257" s="48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</v>
      </c>
    </row>
  </sheetData>
  <conditionalFormatting sqref="A1:F1 L1:U1">
    <cfRule type="expression" dxfId="8" priority="3">
      <formula>$A$1&lt;&gt;"ERROR - Capacity Factor Test Failed"</formula>
    </cfRule>
    <cfRule type="expression" dxfId="7" priority="4">
      <formula>$A$1="ERROR - Capacity Factor Test Failed"</formula>
    </cfRule>
  </conditionalFormatting>
  <conditionalFormatting sqref="G1:K1">
    <cfRule type="expression" dxfId="6" priority="1">
      <formula>$A$1&lt;&gt;"ERROR - Capacity Factor Test Failed"</formula>
    </cfRule>
    <cfRule type="expression" dxfId="5" priority="2">
      <formula>$A$1="ERROR - Capacity Factor Test Failed"</formula>
    </cfRule>
  </conditionalFormatting>
  <printOptions horizontalCentered="1"/>
  <pageMargins left="0.8" right="0.3" top="0.4" bottom="0.4" header="0.5" footer="0.2"/>
  <pageSetup scale="5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workbookViewId="0">
      <selection activeCell="I24" sqref="I24"/>
    </sheetView>
  </sheetViews>
  <sheetFormatPr defaultColWidth="9.140625" defaultRowHeight="12.75" x14ac:dyDescent="0.2"/>
  <cols>
    <col min="1" max="2" width="9.140625" style="12"/>
    <col min="3" max="4" width="13.42578125" style="12" customWidth="1"/>
    <col min="5" max="5" width="11.85546875" style="12" customWidth="1"/>
    <col min="6" max="6" width="2.140625" style="12" customWidth="1"/>
    <col min="7" max="7" width="13" style="12" customWidth="1"/>
    <col min="8" max="8" width="13.7109375" style="12" customWidth="1"/>
    <col min="9" max="9" width="12" style="12" customWidth="1"/>
    <col min="10" max="10" width="9.140625" style="12"/>
    <col min="11" max="12" width="15.140625" style="12" customWidth="1"/>
    <col min="13" max="16384" width="9.140625" style="12"/>
  </cols>
  <sheetData>
    <row r="1" spans="2:13" ht="13.5" thickBot="1" x14ac:dyDescent="0.25"/>
    <row r="2" spans="2:13" ht="13.5" thickBot="1" x14ac:dyDescent="0.25">
      <c r="B2" s="16" t="str">
        <f>"Levelized Price Starting "&amp;TEXT(SourceEnergy!N1,"mmm YYYY")</f>
        <v>Levelized Price Starting Jan 2019</v>
      </c>
      <c r="C2" s="50"/>
      <c r="D2" s="50"/>
      <c r="E2" s="17"/>
      <c r="G2" s="51" t="s">
        <v>86</v>
      </c>
      <c r="H2" s="51"/>
      <c r="I2" s="51"/>
      <c r="K2" s="52" t="s">
        <v>75</v>
      </c>
      <c r="L2" s="52"/>
    </row>
    <row r="3" spans="2:13" ht="26.25" thickBot="1" x14ac:dyDescent="0.25">
      <c r="B3" s="53" t="s">
        <v>12</v>
      </c>
      <c r="C3" s="54" t="s">
        <v>43</v>
      </c>
      <c r="D3" s="54" t="s">
        <v>3</v>
      </c>
      <c r="E3" s="55" t="s">
        <v>1</v>
      </c>
      <c r="G3" s="56" t="s">
        <v>71</v>
      </c>
      <c r="H3" s="56" t="s">
        <v>73</v>
      </c>
      <c r="I3" s="56" t="s">
        <v>5</v>
      </c>
      <c r="K3" s="57" t="s">
        <v>87</v>
      </c>
      <c r="L3" s="57" t="s">
        <v>74</v>
      </c>
    </row>
    <row r="4" spans="2:13" ht="6" customHeight="1" thickBot="1" x14ac:dyDescent="0.25">
      <c r="B4" s="58"/>
      <c r="C4" s="49"/>
      <c r="D4" s="59"/>
      <c r="E4" s="59"/>
    </row>
    <row r="5" spans="2:13" x14ac:dyDescent="0.2">
      <c r="B5" s="60" t="s">
        <v>19</v>
      </c>
      <c r="C5" s="61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181)</f>
        <v>42116.23806233058</v>
      </c>
      <c r="D5" s="61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2050.622018520251</v>
      </c>
      <c r="E5" s="62">
        <f>C5/D5</f>
        <v>20.538274573254643</v>
      </c>
      <c r="G5" s="30">
        <f>SourceEnergy!N1</f>
        <v>43466</v>
      </c>
      <c r="H5" s="63">
        <f ca="1">IF($K$5+$L$5=0,SUM(OFFSET('MWH-Split'!$P$5,MATCH(G5,'MWH-Split'!$M$6:$M$257,0),0,12)),SUMIFS(SourceEnergy!F13:F36,SourceEnergy!B13:B36,"&gt;="&amp;G5,SourceEnergy!B13:B36,"&lt;"&amp;G6))</f>
        <v>46165.2</v>
      </c>
      <c r="I5" s="64">
        <f ca="1">H5/$H$5</f>
        <v>1</v>
      </c>
      <c r="K5" s="65">
        <v>0</v>
      </c>
      <c r="L5" s="65"/>
      <c r="M5" s="12" t="s">
        <v>94</v>
      </c>
    </row>
    <row r="6" spans="2:13" x14ac:dyDescent="0.2">
      <c r="B6" s="66" t="s">
        <v>20</v>
      </c>
      <c r="C6" s="67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182)</f>
        <v>37911.457925983945</v>
      </c>
      <c r="D6" s="67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1892.8818632494624</v>
      </c>
      <c r="E6" s="68">
        <f t="shared" ref="E6:E28" si="0">C6/D6</f>
        <v>20.028433185419349</v>
      </c>
      <c r="G6" s="38">
        <f>EDATE(G5,12)</f>
        <v>43831</v>
      </c>
      <c r="H6" s="69">
        <f ca="1">IF($K$5+$L$5=0,SUM(OFFSET('MWH-Split'!$P$5,MATCH(G6,'MWH-Split'!$M$6:$M$257,0),0,12)),IF(ISNUMBER($K$5),$H$5*(1-$K$5)^(YEAR(G6)-YEAR($G$6)),IF(ISNUMBER($L$5),H5-$H$5*$L$5,9999)))</f>
        <v>0</v>
      </c>
      <c r="I6" s="70">
        <f t="shared" ref="I6:I25" ca="1" si="1">H6/$H$5</f>
        <v>0</v>
      </c>
      <c r="J6" s="83"/>
    </row>
    <row r="7" spans="2:13" x14ac:dyDescent="0.2">
      <c r="B7" s="66" t="s">
        <v>21</v>
      </c>
      <c r="C7" s="67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183)</f>
        <v>35276.399665712284</v>
      </c>
      <c r="D7" s="67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2050.622018520251</v>
      </c>
      <c r="E7" s="68">
        <f t="shared" si="0"/>
        <v>17.202780106286035</v>
      </c>
      <c r="G7" s="38">
        <f t="shared" ref="G7:G25" si="2">EDATE(G6,12)</f>
        <v>44197</v>
      </c>
      <c r="H7" s="69">
        <f ca="1">IF($K$5+$L$5=0,SUM(OFFSET('MWH-Split'!$P$5,MATCH(G7,'MWH-Split'!$M$6:$M$257,0),0,12)),IF(ISNUMBER($K$5),$H$5*(1-$K$5)^(YEAR(G7)-YEAR($G$6)),IF(ISNUMBER($L$5),H6-$H$5*$L$5,9999)))</f>
        <v>0</v>
      </c>
      <c r="I7" s="70">
        <f t="shared" ca="1" si="1"/>
        <v>0</v>
      </c>
      <c r="J7" s="83"/>
      <c r="K7" s="52" t="s">
        <v>83</v>
      </c>
      <c r="L7" s="52"/>
    </row>
    <row r="8" spans="2:13" x14ac:dyDescent="0.2">
      <c r="B8" s="66" t="s">
        <v>22</v>
      </c>
      <c r="C8" s="67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184)</f>
        <v>30185.609755703259</v>
      </c>
      <c r="D8" s="67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2050.622018520251</v>
      </c>
      <c r="E8" s="68">
        <f t="shared" si="0"/>
        <v>14.720221222185788</v>
      </c>
      <c r="G8" s="38">
        <f t="shared" si="2"/>
        <v>44562</v>
      </c>
      <c r="H8" s="69">
        <f ca="1">IF($K$5+$L$5=0,SUM(OFFSET('MWH-Split'!$P$5,MATCH(G8,'MWH-Split'!$M$6:$M$257,0),0,12)),IF(ISNUMBER($K$5),$H$5*(1-$K$5)^(YEAR(G8)-YEAR($G$6)),IF(ISNUMBER($L$5),H7-$H$5*$L$5,9999)))</f>
        <v>0</v>
      </c>
      <c r="I8" s="70">
        <f t="shared" ca="1" si="1"/>
        <v>0</v>
      </c>
      <c r="J8" s="83"/>
      <c r="K8" s="57" t="s">
        <v>88</v>
      </c>
      <c r="L8" s="57" t="s">
        <v>89</v>
      </c>
    </row>
    <row r="9" spans="2:13" x14ac:dyDescent="0.2">
      <c r="B9" s="66" t="s">
        <v>23</v>
      </c>
      <c r="C9" s="67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185)</f>
        <v>31071.029858734459</v>
      </c>
      <c r="D9" s="67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2050.622018520251</v>
      </c>
      <c r="E9" s="68">
        <f t="shared" si="0"/>
        <v>15.152002454921274</v>
      </c>
      <c r="G9" s="38">
        <f t="shared" si="2"/>
        <v>44927</v>
      </c>
      <c r="H9" s="69">
        <f ca="1">IF($K$5+$L$5=0,SUM(OFFSET('MWH-Split'!$P$5,MATCH(G9,'MWH-Split'!$M$6:$M$257,0),0,12)),IF(ISNUMBER($K$5),$H$5*(1-$K$5)^(YEAR(G9)-YEAR($G$6)),IF(ISNUMBER($L$5),H8-$H$5*$L$5,9999)))</f>
        <v>0</v>
      </c>
      <c r="I9" s="70">
        <f t="shared" ca="1" si="1"/>
        <v>0</v>
      </c>
      <c r="J9" s="83"/>
      <c r="K9" s="71" t="s">
        <v>98</v>
      </c>
      <c r="L9" s="72">
        <f>INDEX('[1]Table 1'!$B$13:$B$32,MATCH(1,'[1]Table 1'!$C$13:$C$32,1),1)+1</f>
        <v>2039</v>
      </c>
    </row>
    <row r="10" spans="2:13" x14ac:dyDescent="0.2">
      <c r="B10" s="66" t="s">
        <v>24</v>
      </c>
      <c r="C10" s="67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186)</f>
        <v>33189.261266350935</v>
      </c>
      <c r="D10" s="67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1971.7519408848566</v>
      </c>
      <c r="E10" s="68">
        <f t="shared" si="0"/>
        <v>16.83237154642115</v>
      </c>
      <c r="G10" s="38">
        <f t="shared" si="2"/>
        <v>45292</v>
      </c>
      <c r="H10" s="69">
        <f ca="1">IF($K$5+$L$5=0,SUM(OFFSET('MWH-Split'!$P$5,MATCH(G10,'MWH-Split'!$M$6:$M$257,0),0,12)),IF(ISNUMBER($K$5),$H$5*(1-$K$5)^(YEAR(G10)-YEAR($G$6)),IF(ISNUMBER($L$5),H9-$H$5*$L$5,9999)))</f>
        <v>0</v>
      </c>
      <c r="I10" s="70">
        <f t="shared" ca="1" si="1"/>
        <v>0</v>
      </c>
      <c r="J10" s="83"/>
    </row>
    <row r="11" spans="2:13" x14ac:dyDescent="0.2">
      <c r="B11" s="66" t="s">
        <v>25</v>
      </c>
      <c r="C11" s="67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187)</f>
        <v>60009.517573840363</v>
      </c>
      <c r="D11" s="67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2050.622018520251</v>
      </c>
      <c r="E11" s="68">
        <f t="shared" si="0"/>
        <v>29.264055994650747</v>
      </c>
      <c r="G11" s="38">
        <f t="shared" si="2"/>
        <v>45658</v>
      </c>
      <c r="H11" s="69">
        <f ca="1">IF($K$5+$L$5=0,SUM(OFFSET('MWH-Split'!$P$5,MATCH(G11,'MWH-Split'!$M$6:$M$257,0),0,12)),IF(ISNUMBER($K$5),$H$5*(1-$K$5)^(YEAR(G11)-YEAR($G$6)),IF(ISNUMBER($L$5),H10-$H$5*$L$5,9999)))</f>
        <v>0</v>
      </c>
      <c r="I11" s="70">
        <f t="shared" ca="1" si="1"/>
        <v>0</v>
      </c>
      <c r="J11" s="83"/>
    </row>
    <row r="12" spans="2:13" x14ac:dyDescent="0.2">
      <c r="B12" s="66" t="s">
        <v>26</v>
      </c>
      <c r="C12" s="67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188)</f>
        <v>67687.613304496597</v>
      </c>
      <c r="D12" s="67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2129.492096155645</v>
      </c>
      <c r="E12" s="68">
        <f t="shared" si="0"/>
        <v>31.785801612831765</v>
      </c>
      <c r="G12" s="38">
        <f t="shared" si="2"/>
        <v>46023</v>
      </c>
      <c r="H12" s="69">
        <f ca="1">IF($K$5+$L$5=0,SUM(OFFSET('MWH-Split'!$P$5,MATCH(G12,'MWH-Split'!$M$6:$M$257,0),0,12)),IF(ISNUMBER($K$5),$H$5*(1-$K$5)^(YEAR(G12)-YEAR($G$6)),IF(ISNUMBER($L$5),H11-$H$5*$L$5,9999)))</f>
        <v>0</v>
      </c>
      <c r="I12" s="70">
        <f t="shared" ca="1" si="1"/>
        <v>0</v>
      </c>
      <c r="J12" s="83"/>
    </row>
    <row r="13" spans="2:13" x14ac:dyDescent="0.2">
      <c r="B13" s="66" t="s">
        <v>27</v>
      </c>
      <c r="C13" s="67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189)</f>
        <v>46573.802688993928</v>
      </c>
      <c r="D13" s="67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1892.8818632494624</v>
      </c>
      <c r="E13" s="68">
        <f t="shared" si="0"/>
        <v>24.60470650241313</v>
      </c>
      <c r="G13" s="38">
        <f t="shared" si="2"/>
        <v>46388</v>
      </c>
      <c r="H13" s="69">
        <f ca="1">IF($K$5+$L$5=0,SUM(OFFSET('MWH-Split'!$P$5,MATCH(G13,'MWH-Split'!$M$6:$M$257,0),0,12)),IF(ISNUMBER($K$5),$H$5*(1-$K$5)^(YEAR(G13)-YEAR($G$6)),IF(ISNUMBER($L$5),H12-$H$5*$L$5,9999)))</f>
        <v>0</v>
      </c>
      <c r="I13" s="70">
        <f t="shared" ca="1" si="1"/>
        <v>0</v>
      </c>
      <c r="J13" s="83"/>
      <c r="K13" s="12" t="s">
        <v>92</v>
      </c>
      <c r="M13" s="12" t="s">
        <v>93</v>
      </c>
    </row>
    <row r="14" spans="2:13" x14ac:dyDescent="0.2">
      <c r="B14" s="66" t="s">
        <v>28</v>
      </c>
      <c r="C14" s="67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190)</f>
        <v>35801.987811265724</v>
      </c>
      <c r="D14" s="67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2129.492096155645</v>
      </c>
      <c r="E14" s="68">
        <f t="shared" si="0"/>
        <v>16.812453953644049</v>
      </c>
      <c r="G14" s="38">
        <f t="shared" si="2"/>
        <v>46753</v>
      </c>
      <c r="H14" s="69">
        <f ca="1">IF($K$5+$L$5=0,SUM(OFFSET('MWH-Split'!$P$5,MATCH(G14,'MWH-Split'!$M$6:$M$257,0),0,12)),IF(ISNUMBER($K$5),$H$5*(1-$K$5)^(YEAR(G14)-YEAR($G$6)),IF(ISNUMBER($L$5),H13-$H$5*$L$5,9999)))</f>
        <v>0</v>
      </c>
      <c r="I14" s="70">
        <f t="shared" ca="1" si="1"/>
        <v>0</v>
      </c>
      <c r="J14" s="83"/>
      <c r="K14" s="12" t="s">
        <v>9</v>
      </c>
      <c r="L14" s="12">
        <f>SUM(D5:D16)</f>
        <v>24213.11383406604</v>
      </c>
      <c r="M14" s="20">
        <f>L14/L16</f>
        <v>0.56073059360730604</v>
      </c>
    </row>
    <row r="15" spans="2:13" ht="15" x14ac:dyDescent="0.35">
      <c r="B15" s="66" t="s">
        <v>29</v>
      </c>
      <c r="C15" s="67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191)</f>
        <v>31546.903278343932</v>
      </c>
      <c r="D15" s="67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1971.7519408848566</v>
      </c>
      <c r="E15" s="68">
        <f t="shared" si="0"/>
        <v>15.999428033623101</v>
      </c>
      <c r="G15" s="38">
        <f t="shared" si="2"/>
        <v>47119</v>
      </c>
      <c r="H15" s="69">
        <f ca="1">IF($K$5+$L$5=0,SUM(OFFSET('MWH-Split'!$P$5,MATCH(G15,'MWH-Split'!$M$6:$M$257,0),0,12)),IF(ISNUMBER($K$5),$H$5*(1-$K$5)^(YEAR(G15)-YEAR($G$6)),IF(ISNUMBER($L$5),H14-$H$5*$L$5,9999)))</f>
        <v>0</v>
      </c>
      <c r="I15" s="70">
        <f t="shared" ca="1" si="1"/>
        <v>0</v>
      </c>
      <c r="J15" s="83"/>
      <c r="K15" s="12" t="s">
        <v>10</v>
      </c>
      <c r="L15" s="73">
        <f>SUM(D17:D28)</f>
        <v>18968.253671312315</v>
      </c>
      <c r="M15" s="74">
        <f>L15/L16</f>
        <v>0.43926940639269402</v>
      </c>
    </row>
    <row r="16" spans="2:13" ht="13.5" thickBot="1" x14ac:dyDescent="0.25">
      <c r="B16" s="75" t="s">
        <v>30</v>
      </c>
      <c r="C16" s="76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192)</f>
        <v>24311.052769523878</v>
      </c>
      <c r="D16" s="76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1971.7519408848566</v>
      </c>
      <c r="E16" s="77">
        <f t="shared" si="0"/>
        <v>12.329671022722</v>
      </c>
      <c r="G16" s="38">
        <f t="shared" si="2"/>
        <v>47484</v>
      </c>
      <c r="H16" s="69">
        <f ca="1">IF($K$5+$L$5=0,SUM(OFFSET('MWH-Split'!$P$5,MATCH(G16,'MWH-Split'!$M$6:$M$257,0),0,12)),IF(ISNUMBER($K$5),$H$5*(1-$K$5)^(YEAR(G16)-YEAR($G$6)),IF(ISNUMBER($L$5),H15-$H$5*$L$5,9999)))</f>
        <v>0</v>
      </c>
      <c r="I16" s="70">
        <f t="shared" ca="1" si="1"/>
        <v>0</v>
      </c>
      <c r="J16" s="83"/>
      <c r="K16" s="12" t="s">
        <v>81</v>
      </c>
      <c r="L16" s="12">
        <f>SUM(L14:L15)</f>
        <v>43181.367505378352</v>
      </c>
      <c r="M16" s="20">
        <f>L16/L16</f>
        <v>1</v>
      </c>
    </row>
    <row r="17" spans="2:10" x14ac:dyDescent="0.2">
      <c r="B17" s="66" t="s">
        <v>31</v>
      </c>
      <c r="C17" s="67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28649.379632610351</v>
      </c>
      <c r="D17" s="67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181)</f>
        <v>1616.8365915255822</v>
      </c>
      <c r="E17" s="68">
        <f t="shared" si="0"/>
        <v>17.719403298250409</v>
      </c>
      <c r="G17" s="38">
        <f t="shared" si="2"/>
        <v>47849</v>
      </c>
      <c r="H17" s="69">
        <f ca="1">IF($K$5+$L$5=0,SUM(OFFSET('MWH-Split'!$P$5,MATCH(G17,'MWH-Split'!$M$6:$M$257,0),0,12)),IF(ISNUMBER($K$5),$H$5*(1-$K$5)^(YEAR(G17)-YEAR($G$6)),IF(ISNUMBER($L$5),H16-$H$5*$L$5,9999)))</f>
        <v>0</v>
      </c>
      <c r="I17" s="70">
        <f t="shared" ca="1" si="1"/>
        <v>0</v>
      </c>
      <c r="J17" s="83"/>
    </row>
    <row r="18" spans="2:10" x14ac:dyDescent="0.2">
      <c r="B18" s="66" t="s">
        <v>32</v>
      </c>
      <c r="C18" s="67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23767.729157648424</v>
      </c>
      <c r="D18" s="67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182)</f>
        <v>1419.6613974370966</v>
      </c>
      <c r="E18" s="68">
        <f t="shared" si="0"/>
        <v>16.74182956623045</v>
      </c>
      <c r="G18" s="38">
        <f t="shared" si="2"/>
        <v>48214</v>
      </c>
      <c r="H18" s="69">
        <f ca="1">IF($K$5+$L$5=0,SUM(OFFSET('MWH-Split'!$P$5,MATCH(G18,'MWH-Split'!$M$6:$M$257,0),0,12)),IF(ISNUMBER($K$5),$H$5*(1-$K$5)^(YEAR(G18)-YEAR($G$6)),IF(ISNUMBER($L$5),H17-$H$5*$L$5,9999)))</f>
        <v>0</v>
      </c>
      <c r="I18" s="70">
        <f t="shared" ca="1" si="1"/>
        <v>0</v>
      </c>
      <c r="J18" s="83"/>
    </row>
    <row r="19" spans="2:10" x14ac:dyDescent="0.2">
      <c r="B19" s="66" t="s">
        <v>33</v>
      </c>
      <c r="C19" s="67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23951.025759448075</v>
      </c>
      <c r="D19" s="67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183)</f>
        <v>1616.8365915255822</v>
      </c>
      <c r="E19" s="68">
        <f t="shared" si="0"/>
        <v>14.813510459241183</v>
      </c>
      <c r="G19" s="38">
        <f t="shared" si="2"/>
        <v>48580</v>
      </c>
      <c r="H19" s="69">
        <f ca="1">IF($K$5+$L$5=0,SUM(OFFSET('MWH-Split'!$P$5,MATCH(G19,'MWH-Split'!$M$6:$M$257,0),0,12)),IF(ISNUMBER($K$5),$H$5*(1-$K$5)^(YEAR(G19)-YEAR($G$6)),IF(ISNUMBER($L$5),H18-$H$5*$L$5,9999)))</f>
        <v>0</v>
      </c>
      <c r="I19" s="70">
        <f t="shared" ca="1" si="1"/>
        <v>0</v>
      </c>
      <c r="J19" s="83"/>
    </row>
    <row r="20" spans="2:10" x14ac:dyDescent="0.2">
      <c r="B20" s="66" t="s">
        <v>34</v>
      </c>
      <c r="C20" s="67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18244.2040105259</v>
      </c>
      <c r="D20" s="67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184)</f>
        <v>1498.5314750724908</v>
      </c>
      <c r="E20" s="68">
        <f t="shared" si="0"/>
        <v>12.174721928775867</v>
      </c>
      <c r="G20" s="38">
        <f t="shared" si="2"/>
        <v>48945</v>
      </c>
      <c r="H20" s="69">
        <f ca="1">IF($K$5+$L$5=0,SUM(OFFSET('MWH-Split'!$P$5,MATCH(G20,'MWH-Split'!$M$6:$M$257,0),0,12)),IF(ISNUMBER($K$5),$H$5*(1-$K$5)^(YEAR(G20)-YEAR($G$6)),IF(ISNUMBER($L$5),H19-$H$5*$L$5,9999)))</f>
        <v>0</v>
      </c>
      <c r="I20" s="70">
        <f t="shared" ca="1" si="1"/>
        <v>0</v>
      </c>
      <c r="J20" s="83"/>
    </row>
    <row r="21" spans="2:10" x14ac:dyDescent="0.2">
      <c r="B21" s="66" t="s">
        <v>35</v>
      </c>
      <c r="C21" s="67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20524.495166650318</v>
      </c>
      <c r="D21" s="67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185)</f>
        <v>1616.8365915255822</v>
      </c>
      <c r="E21" s="68">
        <f t="shared" si="0"/>
        <v>12.694229753474485</v>
      </c>
      <c r="G21" s="38">
        <f t="shared" si="2"/>
        <v>49310</v>
      </c>
      <c r="H21" s="69">
        <f ca="1">IF($K$5+$L$5=0,SUM(OFFSET('MWH-Split'!$P$5,MATCH(G21,'MWH-Split'!$M$6:$M$257,0),0,12)),IF(ISNUMBER($K$5),$H$5*(1-$K$5)^(YEAR(G21)-YEAR($G$6)),IF(ISNUMBER($L$5),H20-$H$5*$L$5,9999)))</f>
        <v>0</v>
      </c>
      <c r="I21" s="70">
        <f t="shared" ca="1" si="1"/>
        <v>0</v>
      </c>
      <c r="J21" s="83"/>
    </row>
    <row r="22" spans="2:10" x14ac:dyDescent="0.2">
      <c r="B22" s="66" t="s">
        <v>36</v>
      </c>
      <c r="C22" s="67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19362.852813012476</v>
      </c>
      <c r="D22" s="67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186)</f>
        <v>1577.4015527078852</v>
      </c>
      <c r="E22" s="68">
        <f t="shared" si="0"/>
        <v>12.275157698287261</v>
      </c>
      <c r="G22" s="38">
        <f t="shared" si="2"/>
        <v>49675</v>
      </c>
      <c r="H22" s="69">
        <f ca="1">IF($K$5+$L$5=0,SUM(OFFSET('MWH-Split'!$P$5,MATCH(G22,'MWH-Split'!$M$6:$M$257,0),0,12)),IF(ISNUMBER($K$5),$H$5*(1-$K$5)^(YEAR(G22)-YEAR($G$6)),IF(ISNUMBER($L$5),H21-$H$5*$L$5,9999)))</f>
        <v>0</v>
      </c>
      <c r="I22" s="70">
        <f t="shared" ca="1" si="1"/>
        <v>0</v>
      </c>
      <c r="J22" s="83"/>
    </row>
    <row r="23" spans="2:10" x14ac:dyDescent="0.2">
      <c r="B23" s="66" t="s">
        <v>37</v>
      </c>
      <c r="C23" s="67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25421.200846891436</v>
      </c>
      <c r="D23" s="67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187)</f>
        <v>1616.8365915255822</v>
      </c>
      <c r="E23" s="68">
        <f t="shared" si="0"/>
        <v>15.722801537355737</v>
      </c>
      <c r="G23" s="38">
        <f t="shared" si="2"/>
        <v>50041</v>
      </c>
      <c r="H23" s="69">
        <f ca="1">IF($K$5+$L$5=0,SUM(OFFSET('MWH-Split'!$P$5,MATCH(G23,'MWH-Split'!$M$6:$M$257,0),0,12)),IF(ISNUMBER($K$5),$H$5*(1-$K$5)^(YEAR(G23)-YEAR($G$6)),IF(ISNUMBER($L$5),H22-$H$5*$L$5,9999)))</f>
        <v>0</v>
      </c>
      <c r="I23" s="70">
        <f t="shared" ca="1" si="1"/>
        <v>0</v>
      </c>
      <c r="J23" s="83"/>
    </row>
    <row r="24" spans="2:10" x14ac:dyDescent="0.2">
      <c r="B24" s="66" t="s">
        <v>38</v>
      </c>
      <c r="C24" s="67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26513.003017062892</v>
      </c>
      <c r="D24" s="67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188)</f>
        <v>1537.966513890188</v>
      </c>
      <c r="E24" s="68">
        <f t="shared" si="0"/>
        <v>17.238998884312473</v>
      </c>
      <c r="G24" s="38">
        <f t="shared" si="2"/>
        <v>50406</v>
      </c>
      <c r="H24" s="69">
        <f ca="1">IF($K$5+$L$5=0,SUM(OFFSET('MWH-Split'!$P$5,MATCH(G24,'MWH-Split'!$M$6:$M$257,0),0,12)),IF(ISNUMBER($K$5),$H$5*(1-$K$5)^(YEAR(G24)-YEAR($G$6)),IF(ISNUMBER($L$5),H23-$H$5*$L$5,9999)))</f>
        <v>0</v>
      </c>
      <c r="I24" s="70">
        <f t="shared" ca="1" si="1"/>
        <v>0</v>
      </c>
      <c r="J24" s="83"/>
    </row>
    <row r="25" spans="2:10" x14ac:dyDescent="0.2">
      <c r="B25" s="66" t="s">
        <v>39</v>
      </c>
      <c r="C25" s="67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24933.620014129847</v>
      </c>
      <c r="D25" s="67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189)</f>
        <v>1656.2716303432794</v>
      </c>
      <c r="E25" s="68">
        <f t="shared" si="0"/>
        <v>15.054064537084473</v>
      </c>
      <c r="G25" s="45">
        <f t="shared" si="2"/>
        <v>50771</v>
      </c>
      <c r="H25" s="78">
        <f ca="1">IF($K$5+$L$5=0,SUM(OFFSET('MWH-Split'!$P$5,MATCH(G25,'MWH-Split'!$M$6:$M$257,0),0,12)),IF(ISNUMBER($K$5),$H$5*(1-$K$5)^(YEAR(G25)-YEAR($G$6)),IF(ISNUMBER($L$5),H24-$H$5*$L$5,9999)))</f>
        <v>0</v>
      </c>
      <c r="I25" s="79">
        <f t="shared" ca="1" si="1"/>
        <v>0</v>
      </c>
      <c r="J25" s="83"/>
    </row>
    <row r="26" spans="2:10" x14ac:dyDescent="0.2">
      <c r="B26" s="66" t="s">
        <v>40</v>
      </c>
      <c r="C26" s="67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23494.724361957658</v>
      </c>
      <c r="D26" s="67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190)</f>
        <v>1537.966513890188</v>
      </c>
      <c r="E26" s="68">
        <f t="shared" si="0"/>
        <v>15.276486288722408</v>
      </c>
    </row>
    <row r="27" spans="2:10" x14ac:dyDescent="0.2">
      <c r="B27" s="66" t="s">
        <v>41</v>
      </c>
      <c r="C27" s="67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23160.921104198544</v>
      </c>
      <c r="D27" s="67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191)</f>
        <v>1577.4015527078852</v>
      </c>
      <c r="E27" s="68">
        <f t="shared" si="0"/>
        <v>14.682958226102148</v>
      </c>
    </row>
    <row r="28" spans="2:10" ht="13.5" thickBot="1" x14ac:dyDescent="0.25">
      <c r="B28" s="75" t="s">
        <v>42</v>
      </c>
      <c r="C28" s="76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18020.410464284767</v>
      </c>
      <c r="D28" s="76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192)</f>
        <v>1695.7066691609766</v>
      </c>
      <c r="E28" s="77">
        <f t="shared" si="0"/>
        <v>10.627080020391224</v>
      </c>
    </row>
    <row r="31" spans="2:10" ht="13.5" thickBot="1" x14ac:dyDescent="0.25">
      <c r="B31" s="80" t="s">
        <v>44</v>
      </c>
    </row>
    <row r="32" spans="2:10" x14ac:dyDescent="0.2">
      <c r="B32" s="60" t="s">
        <v>91</v>
      </c>
      <c r="C32" s="61" t="e">
        <f>#REF!*1000</f>
        <v>#REF!</v>
      </c>
      <c r="D32" s="61" t="e">
        <f>#REF!*1000</f>
        <v>#REF!</v>
      </c>
      <c r="E32" s="62" t="e">
        <f>C32/D32</f>
        <v>#REF!</v>
      </c>
      <c r="F32" s="12" t="str">
        <f>INDEX(F40:F51,13-COUNTIF('MWH-Split'!$P$6:$P$17,"&gt;0"))</f>
        <v>&lt; ---- Calculated assuming the monthly stream starts in Jan</v>
      </c>
    </row>
    <row r="33" spans="2:6" ht="15" x14ac:dyDescent="0.35">
      <c r="B33" s="66" t="s">
        <v>45</v>
      </c>
      <c r="C33" s="81">
        <f ca="1">SourceEnergy!C10*1000</f>
        <v>775519.32918294752</v>
      </c>
      <c r="D33" s="81">
        <f ca="1">SourceEnergy!F10*1000</f>
        <v>44525.98697098031</v>
      </c>
      <c r="E33" s="82">
        <f ca="1">C33/D33</f>
        <v>17.417229396585643</v>
      </c>
    </row>
    <row r="34" spans="2:6" ht="13.5" thickBot="1" x14ac:dyDescent="0.25">
      <c r="B34" s="75"/>
      <c r="C34" s="76" t="e">
        <f ca="1">ROUND(C32-C33,0)</f>
        <v>#REF!</v>
      </c>
      <c r="D34" s="76" t="e">
        <f ca="1">ROUND(D32-D33,0)</f>
        <v>#REF!</v>
      </c>
      <c r="E34" s="77" t="e">
        <f ca="1">ROUND(E32-E33,5)</f>
        <v>#REF!</v>
      </c>
    </row>
    <row r="35" spans="2:6" ht="13.5" thickBot="1" x14ac:dyDescent="0.25"/>
    <row r="36" spans="2:6" x14ac:dyDescent="0.2">
      <c r="B36" s="60" t="s">
        <v>91</v>
      </c>
      <c r="C36" s="61">
        <f>INDEX(C40:C51,13-COUNTIF('MWH-Split'!$P$6:$P$17,"&gt;0"))</f>
        <v>775519.32918294752</v>
      </c>
      <c r="D36" s="61">
        <f>INDEX(D40:D51,13-COUNTIF('MWH-Split'!$P$6:$P$17,"&gt;0"))</f>
        <v>44525.986970980302</v>
      </c>
      <c r="E36" s="62">
        <f>C36/D36</f>
        <v>17.417229396585643</v>
      </c>
      <c r="F36" s="12" t="str">
        <f>INDEX(F40:F51,13-COUNTIF('MWH-Split'!$P$6:$P$17,"&gt;0"))</f>
        <v>&lt; ---- Calculated assuming the monthly stream starts in Jan</v>
      </c>
    </row>
    <row r="37" spans="2:6" ht="15" x14ac:dyDescent="0.35">
      <c r="B37" s="66" t="s">
        <v>90</v>
      </c>
      <c r="C37" s="81">
        <f>'[1]Table 5'!$E$9</f>
        <v>775519.3291829474</v>
      </c>
      <c r="D37" s="81">
        <f>'[1]Table 5'!$F$9</f>
        <v>44525.98697098031</v>
      </c>
      <c r="E37" s="82">
        <f>C37/D37</f>
        <v>17.41722939658564</v>
      </c>
    </row>
    <row r="38" spans="2:6" ht="13.5" thickBot="1" x14ac:dyDescent="0.25">
      <c r="B38" s="75"/>
      <c r="C38" s="76">
        <f>ROUND(C36-C37,0)</f>
        <v>0</v>
      </c>
      <c r="D38" s="76">
        <f>ROUND(D36-D37,0)</f>
        <v>0</v>
      </c>
      <c r="E38" s="77">
        <f>ROUND(E36-E37,5)</f>
        <v>0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2">
      <c r="B40" s="12" t="s">
        <v>55</v>
      </c>
      <c r="C40" s="12">
        <f>(NPV(Monthly_Discount_Rate,C$5:C$16)+NPV(Monthly_Discount_Rate,C$17:C$28))*(1+Discount_Rate)</f>
        <v>775519.32918294752</v>
      </c>
      <c r="D40" s="12">
        <f>(NPV(Monthly_Discount_Rate,D$5:D$16)+NPV(Monthly_Discount_Rate,D$17:D$28))*(1+Discount_Rate)</f>
        <v>44525.986970980302</v>
      </c>
      <c r="E40" s="68">
        <f t="shared" ref="E40:E51" si="3">C40/D40</f>
        <v>17.417229396585643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2">
      <c r="B41" s="12" t="s">
        <v>57</v>
      </c>
      <c r="C41" s="12">
        <f>(NPV(Monthly_Discount_Rate,C$6:C$16,C5)+NPV(Monthly_Discount_Rate,C$18:C$28,C17))*(1+Discount_Rate)</f>
        <v>774959.63676803699</v>
      </c>
      <c r="D41" s="12">
        <f>(NPV(Monthly_Discount_Rate,D$6:D$16,D5)+NPV(Monthly_Discount_Rate,D$18:D$28,D17))*(1+Discount_Rate)</f>
        <v>44521.182147370419</v>
      </c>
      <c r="E41" s="68">
        <f t="shared" si="3"/>
        <v>17.406537728554202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2">
      <c r="B42" s="12" t="s">
        <v>58</v>
      </c>
      <c r="C42" s="12">
        <f>(NPV(Monthly_Discount_Rate,C$7:C$16,C$5:C6)+NPV(Monthly_Discount_Rate,C$19:C$28,C$17:C18))*(1+Discount_Rate)</f>
        <v>775024.69159389276</v>
      </c>
      <c r="D42" s="12">
        <f>(NPV(Monthly_Discount_Rate,D$7:D$16,D$5:D6)+NPV(Monthly_Discount_Rate,D$19:D$28,D$17:D18))*(1+Discount_Rate)</f>
        <v>44540.875146051607</v>
      </c>
      <c r="E42" s="68">
        <f t="shared" si="3"/>
        <v>17.400302285317714</v>
      </c>
      <c r="F42" s="12" t="str">
        <f t="shared" si="4"/>
        <v>&lt; ---- Calculated assuming the monthly stream starts in Mar</v>
      </c>
    </row>
    <row r="43" spans="2:6" hidden="1" x14ac:dyDescent="0.2">
      <c r="B43" s="12" t="s">
        <v>59</v>
      </c>
      <c r="C43" s="12">
        <f>(NPV(Monthly_Discount_Rate,C$8:C$16,C$5:C7)+NPV(Monthly_Discount_Rate,C$20:C$28,C$17:C19))*(1+Discount_Rate)</f>
        <v>775259.52639232331</v>
      </c>
      <c r="D43" s="12">
        <f>(NPV(Monthly_Discount_Rate,D$8:D$16,D$5:D7)+NPV(Monthly_Discount_Rate,D$20:D$28,D$17:D19))*(1+Discount_Rate)</f>
        <v>44536.153452479193</v>
      </c>
      <c r="E43" s="68">
        <f t="shared" si="3"/>
        <v>17.407419956452635</v>
      </c>
      <c r="F43" s="12" t="str">
        <f t="shared" si="4"/>
        <v>&lt; ---- Calculated assuming the monthly stream starts in Apr</v>
      </c>
    </row>
    <row r="44" spans="2:6" hidden="1" x14ac:dyDescent="0.2">
      <c r="B44" s="12" t="s">
        <v>56</v>
      </c>
      <c r="C44" s="12">
        <f>(NPV(Monthly_Discount_Rate,C$9:C$16,C$5:C8)+NPV(Monthly_Discount_Rate,C$21:C$28,C$17:C20))*(1+Discount_Rate)</f>
        <v>776241.78738664114</v>
      </c>
      <c r="D44" s="12">
        <f>(NPV(Monthly_Discount_Rate,D$9:D$16,D$5:D8)+NPV(Monthly_Discount_Rate,D$21:D$28,D$17:D20))*(1+Discount_Rate)</f>
        <v>44539.580278271264</v>
      </c>
      <c r="E44" s="68">
        <f t="shared" si="3"/>
        <v>17.428134314173871</v>
      </c>
      <c r="F44" s="12" t="str">
        <f t="shared" si="4"/>
        <v>&lt; ---- Calculated assuming the monthly stream starts in May</v>
      </c>
    </row>
    <row r="45" spans="2:6" hidden="1" x14ac:dyDescent="0.2">
      <c r="B45" s="12" t="s">
        <v>60</v>
      </c>
      <c r="C45" s="12">
        <f>(NPV(Monthly_Discount_Rate,C$10:C$16,C$5:C9)+NPV(Monthly_Discount_Rate,C$22:C$28,C$17:C21))*(1+Discount_Rate)</f>
        <v>777010.78231335629</v>
      </c>
      <c r="D45" s="12">
        <f>(NPV(Monthly_Discount_Rate,D$10:D$16,D$5:D9)+NPV(Monthly_Discount_Rate,D$22:D$28,D$17:D21))*(1+Discount_Rate)</f>
        <v>44534.851354638318</v>
      </c>
      <c r="E45" s="68">
        <f t="shared" si="3"/>
        <v>17.447252178431945</v>
      </c>
      <c r="F45" s="12" t="str">
        <f t="shared" si="4"/>
        <v>&lt; ---- Calculated assuming the monthly stream starts in Jun</v>
      </c>
    </row>
    <row r="46" spans="2:6" hidden="1" x14ac:dyDescent="0.2">
      <c r="B46" s="12" t="s">
        <v>61</v>
      </c>
      <c r="C46" s="12">
        <f>(NPV(Monthly_Discount_Rate,C$11:C$16,C$5:C10)+NPV(Monthly_Discount_Rate,C$23:C$28,C$17:C22))*(1+Discount_Rate)</f>
        <v>777717.97071837028</v>
      </c>
      <c r="D46" s="12">
        <f>(NPV(Monthly_Discount_Rate,D$11:D$16,D$5:D10)+NPV(Monthly_Discount_Rate,D$23:D$28,D$17:D22))*(1+Discount_Rate)</f>
        <v>44538.270909999861</v>
      </c>
      <c r="E46" s="68">
        <f t="shared" si="3"/>
        <v>17.461790833549284</v>
      </c>
      <c r="F46" s="12" t="str">
        <f t="shared" si="4"/>
        <v>&lt; ---- Calculated assuming the monthly stream starts in Jul</v>
      </c>
    </row>
    <row r="47" spans="2:6" hidden="1" x14ac:dyDescent="0.2">
      <c r="B47" s="12" t="s">
        <v>62</v>
      </c>
      <c r="C47" s="12">
        <f>(NPV(Monthly_Discount_Rate,C$12:C$16,C$5:C11)+NPV(Monthly_Discount_Rate,C$24:C$28,C$17:C23))*(1+Discount_Rate)</f>
        <v>776157.19624067342</v>
      </c>
      <c r="D47" s="12">
        <f>(NPV(Monthly_Discount_Rate,D$12:D$16,D$5:D11)+NPV(Monthly_Discount_Rate,D$24:D$28,D$17:D23))*(1+Discount_Rate)</f>
        <v>44533.534675341027</v>
      </c>
      <c r="E47" s="68">
        <f t="shared" si="3"/>
        <v>17.428600758934252</v>
      </c>
      <c r="F47" s="12" t="str">
        <f t="shared" si="4"/>
        <v>&lt; ---- Calculated assuming the monthly stream starts in Aug</v>
      </c>
    </row>
    <row r="48" spans="2:6" hidden="1" x14ac:dyDescent="0.2">
      <c r="B48" s="12" t="s">
        <v>63</v>
      </c>
      <c r="C48" s="12">
        <f>(NPV(Monthly_Discount_Rate,C$13:C$16,C$5:C12)+NPV(Monthly_Discount_Rate,C$25:C$28,C$17:C24))*(1+Discount_Rate)</f>
        <v>773981.70703329623</v>
      </c>
      <c r="D48" s="12">
        <f>(NPV(Monthly_Discount_Rate,D$13:D$16,D$5:D12)+NPV(Monthly_Discount_Rate,D$25:D$28,D$17:D24))*(1+Discount_Rate)</f>
        <v>44528.771995307718</v>
      </c>
      <c r="E48" s="68">
        <f t="shared" si="3"/>
        <v>17.381609066489766</v>
      </c>
      <c r="F48" s="12" t="str">
        <f t="shared" si="4"/>
        <v>&lt; ---- Calculated assuming the monthly stream starts in Sep</v>
      </c>
    </row>
    <row r="49" spans="2:6" hidden="1" x14ac:dyDescent="0.2">
      <c r="B49" s="12" t="s">
        <v>64</v>
      </c>
      <c r="C49" s="12">
        <f>(NPV(Monthly_Discount_Rate,C$14:C$16,C$5:C13)+NPV(Monthly_Discount_Rate,C$26:C$28,C$17:C25))*(1+Discount_Rate)</f>
        <v>773362.17038158397</v>
      </c>
      <c r="D49" s="12">
        <f>(NPV(Monthly_Discount_Rate,D$14:D$16,D$5:D13)+NPV(Monthly_Discount_Rate,D$26:D$28,D$17:D25))*(1+Discount_Rate)</f>
        <v>44532.157605785746</v>
      </c>
      <c r="E49" s="68">
        <f t="shared" si="3"/>
        <v>17.366375490441239</v>
      </c>
      <c r="F49" s="12" t="str">
        <f t="shared" si="4"/>
        <v>&lt; ---- Calculated assuming the monthly stream starts in Oct</v>
      </c>
    </row>
    <row r="50" spans="2:6" hidden="1" x14ac:dyDescent="0.2">
      <c r="B50" s="12" t="s">
        <v>65</v>
      </c>
      <c r="C50" s="12">
        <f>(NPV(Monthly_Discount_Rate,C$15:C$16,C$5:C14)+NPV(Monthly_Discount_Rate,C$27:C$28,C$17:C26))*(1+Discount_Rate)</f>
        <v>773582.9345650312</v>
      </c>
      <c r="D50" s="12">
        <f>(NPV(Monthly_Discount_Rate,D$15:D$16,D$5:D14)+NPV(Monthly_Discount_Rate,D$27:D$28,D$17:D26))*(1+Discount_Rate)</f>
        <v>44527.387236707742</v>
      </c>
      <c r="E50" s="68">
        <f t="shared" si="3"/>
        <v>17.373193950335818</v>
      </c>
      <c r="F50" s="12" t="str">
        <f t="shared" si="4"/>
        <v>&lt; ---- Calculated assuming the monthly stream starts in Nov</v>
      </c>
    </row>
    <row r="51" spans="2:6" hidden="1" x14ac:dyDescent="0.2">
      <c r="B51" s="12" t="s">
        <v>66</v>
      </c>
      <c r="C51" s="12">
        <f>(NPV(Monthly_Discount_Rate,C$16:C$16,C$5:C15)+NPV(Monthly_Discount_Rate,C$28:C$28,C$17:C27))*(1+Discount_Rate)</f>
        <v>774122.02355998359</v>
      </c>
      <c r="D51" s="12">
        <f>(NPV(Monthly_Discount_Rate,D$16:D$16,D$5:D15)+NPV(Monthly_Discount_Rate,D$28:D$28,D$17:D27))*(1+Discount_Rate)</f>
        <v>44530.765115208269</v>
      </c>
      <c r="E51" s="68">
        <f t="shared" si="3"/>
        <v>17.383982097707172</v>
      </c>
      <c r="F51" s="12" t="str">
        <f t="shared" si="4"/>
        <v>&lt; ---- Calculated assuming the monthly stream starts in Dec</v>
      </c>
    </row>
  </sheetData>
  <conditionalFormatting sqref="B5:B28 B31">
    <cfRule type="expression" dxfId="4" priority="25">
      <formula>$B5=$Z$6</formula>
    </cfRule>
  </conditionalFormatting>
  <conditionalFormatting sqref="E5:E28">
    <cfRule type="expression" dxfId="3" priority="29">
      <formula>$B5=$Z$6</formula>
    </cfRule>
  </conditionalFormatting>
  <conditionalFormatting sqref="C17:D28">
    <cfRule type="expression" dxfId="2" priority="1">
      <formula>$B5=$Z$6</formula>
    </cfRule>
  </conditionalFormatting>
  <conditionalFormatting sqref="C17:D28">
    <cfRule type="expression" dxfId="1" priority="2">
      <formula>$B5=$Z$6</formula>
    </cfRule>
  </conditionalFormatting>
  <conditionalFormatting sqref="C5:D16">
    <cfRule type="expression" dxfId="0" priority="3">
      <formula>$B5=$Z$6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O32" sqref="O32"/>
    </sheetView>
  </sheetViews>
  <sheetFormatPr defaultColWidth="9.140625" defaultRowHeight="12.75" x14ac:dyDescent="0.2"/>
  <cols>
    <col min="1" max="1" width="1.85546875" style="114" customWidth="1"/>
    <col min="2" max="2" width="13.5703125" style="114" hidden="1" customWidth="1"/>
    <col min="3" max="3" width="2.42578125" style="114" customWidth="1"/>
    <col min="4" max="4" width="6.42578125" style="114" bestFit="1" customWidth="1"/>
    <col min="5" max="5" width="1.140625" style="114" customWidth="1"/>
    <col min="6" max="7" width="6.85546875" style="114" customWidth="1"/>
    <col min="8" max="8" width="1.42578125" style="114" customWidth="1"/>
    <col min="9" max="10" width="6.85546875" style="114" customWidth="1"/>
    <col min="11" max="11" width="0.85546875" style="114" customWidth="1"/>
    <col min="12" max="13" width="6.85546875" style="114" customWidth="1"/>
    <col min="14" max="14" width="1.28515625" style="114" customWidth="1"/>
    <col min="15" max="16" width="6.85546875" style="114" customWidth="1"/>
    <col min="17" max="17" width="1.7109375" style="114" customWidth="1"/>
    <col min="18" max="19" width="6.85546875" style="114" customWidth="1"/>
    <col min="20" max="20" width="2.42578125" style="114" customWidth="1"/>
    <col min="21" max="21" width="3" style="119" customWidth="1"/>
    <col min="22" max="22" width="10.5703125" style="119" bestFit="1" customWidth="1"/>
    <col min="23" max="24" width="9.140625" style="119"/>
    <col min="25" max="25" width="10" style="119" bestFit="1" customWidth="1"/>
    <col min="26" max="16384" width="9.140625" style="119"/>
  </cols>
  <sheetData>
    <row r="1" spans="2:22" x14ac:dyDescent="0.2">
      <c r="C1" s="115"/>
      <c r="D1" s="116" t="str">
        <f>'[1]Table 5'!$M$4</f>
        <v>Kennecott Refinery Non Firm</v>
      </c>
      <c r="E1" s="117"/>
      <c r="F1" s="117"/>
      <c r="G1" s="118"/>
      <c r="H1" s="117"/>
      <c r="I1" s="118"/>
      <c r="J1" s="118"/>
      <c r="K1" s="117"/>
      <c r="L1" s="118"/>
      <c r="M1" s="118"/>
      <c r="N1" s="117"/>
      <c r="O1" s="118"/>
      <c r="P1" s="118"/>
      <c r="Q1" s="117"/>
      <c r="R1" s="118"/>
      <c r="S1" s="118"/>
      <c r="T1" s="116"/>
    </row>
    <row r="2" spans="2:22" x14ac:dyDescent="0.2">
      <c r="C2" s="115"/>
      <c r="D2" s="116" t="str">
        <f>'Summary (Energy PMT)'!B2</f>
        <v>6.2 MW and 85.0% CF</v>
      </c>
      <c r="E2" s="117"/>
      <c r="F2" s="117"/>
      <c r="G2" s="118"/>
      <c r="H2" s="117"/>
      <c r="I2" s="118"/>
      <c r="J2" s="118"/>
      <c r="K2" s="117"/>
      <c r="L2" s="118"/>
      <c r="M2" s="118"/>
      <c r="N2" s="117"/>
      <c r="O2" s="118"/>
      <c r="P2" s="118"/>
      <c r="Q2" s="117"/>
      <c r="R2" s="118"/>
      <c r="S2" s="118"/>
      <c r="T2" s="116"/>
    </row>
    <row r="3" spans="2:22" x14ac:dyDescent="0.2">
      <c r="C3" s="115"/>
      <c r="D3" s="116" t="s">
        <v>97</v>
      </c>
      <c r="E3" s="117"/>
      <c r="F3" s="117"/>
      <c r="G3" s="118"/>
      <c r="H3" s="117"/>
      <c r="I3" s="118"/>
      <c r="J3" s="118"/>
      <c r="K3" s="117"/>
      <c r="L3" s="118"/>
      <c r="M3" s="118"/>
      <c r="N3" s="117"/>
      <c r="O3" s="118"/>
      <c r="P3" s="118"/>
      <c r="Q3" s="117"/>
      <c r="R3" s="118"/>
      <c r="S3" s="118"/>
      <c r="T3" s="116"/>
    </row>
    <row r="4" spans="2:22" x14ac:dyDescent="0.2"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2:22" x14ac:dyDescent="0.2">
      <c r="B5" s="121"/>
      <c r="D5" s="122"/>
      <c r="E5" s="120"/>
      <c r="F5" s="85">
        <f>YEAR(SourceEnergy!B13)</f>
        <v>2019</v>
      </c>
      <c r="G5" s="86"/>
      <c r="H5" s="120"/>
      <c r="I5" s="85">
        <f>F5+1</f>
        <v>2020</v>
      </c>
      <c r="J5" s="86"/>
      <c r="K5" s="120"/>
      <c r="L5" s="85">
        <f>I5+1</f>
        <v>2021</v>
      </c>
      <c r="M5" s="86"/>
      <c r="N5" s="120"/>
      <c r="O5" s="85">
        <f>L5+1</f>
        <v>2022</v>
      </c>
      <c r="P5" s="86"/>
      <c r="Q5" s="120"/>
      <c r="R5" s="85">
        <f>O5+1</f>
        <v>2023</v>
      </c>
      <c r="S5" s="86"/>
    </row>
    <row r="6" spans="2:22" x14ac:dyDescent="0.2">
      <c r="B6" s="123" t="s">
        <v>2</v>
      </c>
      <c r="D6" s="124" t="s">
        <v>2</v>
      </c>
      <c r="E6" s="120"/>
      <c r="F6" s="87" t="s">
        <v>9</v>
      </c>
      <c r="G6" s="87" t="s">
        <v>10</v>
      </c>
      <c r="H6" s="120"/>
      <c r="I6" s="87" t="s">
        <v>9</v>
      </c>
      <c r="J6" s="87" t="s">
        <v>10</v>
      </c>
      <c r="K6" s="120"/>
      <c r="L6" s="87" t="s">
        <v>9</v>
      </c>
      <c r="M6" s="87" t="s">
        <v>10</v>
      </c>
      <c r="N6" s="120"/>
      <c r="O6" s="87" t="s">
        <v>9</v>
      </c>
      <c r="P6" s="87" t="s">
        <v>10</v>
      </c>
      <c r="Q6" s="120"/>
      <c r="R6" s="87" t="s">
        <v>9</v>
      </c>
      <c r="S6" s="87" t="s">
        <v>10</v>
      </c>
      <c r="V6" s="119" t="s">
        <v>70</v>
      </c>
    </row>
    <row r="7" spans="2:22" x14ac:dyDescent="0.2">
      <c r="B7" s="125">
        <v>1</v>
      </c>
      <c r="D7" s="126" t="s">
        <v>55</v>
      </c>
      <c r="E7" s="120"/>
      <c r="F7" s="127">
        <f>IF(DATE(IF(F$5="",E$5,F$5),$B7,1)&gt;SourceEnergy!$N$2,"",INDEX(SourceEnergy!$J:$K,MATCH(DATE(IF(F$5="",E$5,F$5),$B7,1),SourceEnergy!$B:$B,0),MATCH(F$6,SourceEnergy!$J$12:$K$12,0)))</f>
        <v>20.54</v>
      </c>
      <c r="G7" s="127">
        <f>IF(DATE(IF(G$5="",F$5,G$5),$B7,1)&gt;SourceEnergy!$N$2,"",INDEX(SourceEnergy!$J:$K,MATCH(DATE(IF(G$5="",F$5,G$5),$B7,1),SourceEnergy!$B:$B,0),MATCH(G$6,SourceEnergy!$J$12:$K$12,0)))</f>
        <v>17.72</v>
      </c>
      <c r="H7" s="120"/>
      <c r="I7" s="127" t="str">
        <f>IF(DATE(IF(I$5="",H$5,I$5),$B7,1)&gt;SourceEnergy!$N$2,"",INDEX(SourceEnergy!$J:$K,MATCH(DATE(IF(I$5="",H$5,I$5),$B7,1),SourceEnergy!$B:$B,0),MATCH(I$6,SourceEnergy!$J$12:$K$12,0)))</f>
        <v/>
      </c>
      <c r="J7" s="127" t="str">
        <f>IF(DATE(IF(J$5="",I$5,J$5),$B7,1)&gt;SourceEnergy!$N$2,"",INDEX(SourceEnergy!$J:$K,MATCH(DATE(IF(J$5="",I$5,J$5),$B7,1),SourceEnergy!$B:$B,0),MATCH(J$6,SourceEnergy!$J$12:$K$12,0)))</f>
        <v/>
      </c>
      <c r="K7" s="120"/>
      <c r="L7" s="127" t="str">
        <f>IF(DATE(IF(L$5="",K$5,L$5),$B7,1)&gt;SourceEnergy!$N$2,"",INDEX(SourceEnergy!$J:$K,MATCH(DATE(IF(L$5="",K$5,L$5),$B7,1),SourceEnergy!$B:$B,0),MATCH(L$6,SourceEnergy!$J$12:$K$12,0)))</f>
        <v/>
      </c>
      <c r="M7" s="127" t="str">
        <f>IF(DATE(IF(M$5="",L$5,M$5),$B7,1)&gt;SourceEnergy!$N$2,"",INDEX(SourceEnergy!$J:$K,MATCH(DATE(IF(M$5="",L$5,M$5),$B7,1),SourceEnergy!$B:$B,0),MATCH(M$6,SourceEnergy!$J$12:$K$12,0)))</f>
        <v/>
      </c>
      <c r="N7" s="120"/>
      <c r="O7" s="127" t="str">
        <f>IF(DATE(IF(O$5="",N$5,O$5),$B7,1)&gt;SourceEnergy!$N$2,"",INDEX(SourceEnergy!$J:$K,MATCH(DATE(IF(O$5="",N$5,O$5),$B7,1),SourceEnergy!$B:$B,0),MATCH(O$6,SourceEnergy!$J$12:$K$12,0)))</f>
        <v/>
      </c>
      <c r="P7" s="127" t="str">
        <f>IF(DATE(IF(P$5="",O$5,P$5),$B7,1)&gt;SourceEnergy!$N$2,"",INDEX(SourceEnergy!$J:$K,MATCH(DATE(IF(P$5="",O$5,P$5),$B7,1),SourceEnergy!$B:$B,0),MATCH(P$6,SourceEnergy!$J$12:$K$12,0)))</f>
        <v/>
      </c>
      <c r="Q7" s="120"/>
      <c r="R7" s="127" t="str">
        <f>IF(DATE(IF(R$5="",Q$5,R$5),$B7,1)&gt;SourceEnergy!$N$2,"",INDEX(SourceEnergy!$J:$K,MATCH(DATE(IF(R$5="",Q$5,R$5),$B7,1),SourceEnergy!$B:$B,0),MATCH(R$6,SourceEnergy!$J$12:$K$12,0)))</f>
        <v/>
      </c>
      <c r="S7" s="127" t="str">
        <f>IF(DATE(IF(S$5="",R$5,S$5),$B7,1)&gt;SourceEnergy!$N$2,"",INDEX(SourceEnergy!$J:$K,MATCH(DATE(IF(S$5="",R$5,S$5),$B7,1),SourceEnergy!$B:$B,0),MATCH(S$6,SourceEnergy!$J$12:$K$12,0)))</f>
        <v/>
      </c>
      <c r="V7" s="119">
        <f ca="1">ROUND(SUM(F7:S18,F22:S33,F37:S48,F52:S63,F67:G78)-SUM(INDIRECT("SourceEnergy!j"&amp;SourceEnergy!$N$6&amp;":k"&amp;SourceEnergy!$N$10)),6)</f>
        <v>0</v>
      </c>
    </row>
    <row r="8" spans="2:22" x14ac:dyDescent="0.2">
      <c r="B8" s="125">
        <f t="shared" ref="B8:B18" si="0">B7+1</f>
        <v>2</v>
      </c>
      <c r="D8" s="126" t="s">
        <v>57</v>
      </c>
      <c r="E8" s="120"/>
      <c r="F8" s="127">
        <f>IF(DATE(IF(F$5="",E$5,F$5),$B8,1)&gt;SourceEnergy!$N$2,"",INDEX(SourceEnergy!$J:$K,MATCH(DATE(IF(F$5="",E$5,F$5),$B8,1),SourceEnergy!$B:$B,0),MATCH(F$6,SourceEnergy!$J$12:$K$12,0)))</f>
        <v>20.03</v>
      </c>
      <c r="G8" s="127">
        <f>IF(DATE(IF(G$5="",F$5,G$5),$B8,1)&gt;SourceEnergy!$N$2,"",INDEX(SourceEnergy!$J:$K,MATCH(DATE(IF(G$5="",F$5,G$5),$B8,1),SourceEnergy!$B:$B,0),MATCH(G$6,SourceEnergy!$J$12:$K$12,0)))</f>
        <v>16.739999999999998</v>
      </c>
      <c r="H8" s="120"/>
      <c r="I8" s="127" t="str">
        <f>IF(DATE(IF(I$5="",H$5,I$5),$B8,1)&gt;SourceEnergy!$N$2,"",INDEX(SourceEnergy!$J:$K,MATCH(DATE(IF(I$5="",H$5,I$5),$B8,1),SourceEnergy!$B:$B,0),MATCH(I$6,SourceEnergy!$J$12:$K$12,0)))</f>
        <v/>
      </c>
      <c r="J8" s="127" t="str">
        <f>IF(DATE(IF(J$5="",I$5,J$5),$B8,1)&gt;SourceEnergy!$N$2,"",INDEX(SourceEnergy!$J:$K,MATCH(DATE(IF(J$5="",I$5,J$5),$B8,1),SourceEnergy!$B:$B,0),MATCH(J$6,SourceEnergy!$J$12:$K$12,0)))</f>
        <v/>
      </c>
      <c r="K8" s="120"/>
      <c r="L8" s="127" t="str">
        <f>IF(DATE(IF(L$5="",K$5,L$5),$B8,1)&gt;SourceEnergy!$N$2,"",INDEX(SourceEnergy!$J:$K,MATCH(DATE(IF(L$5="",K$5,L$5),$B8,1),SourceEnergy!$B:$B,0),MATCH(L$6,SourceEnergy!$J$12:$K$12,0)))</f>
        <v/>
      </c>
      <c r="M8" s="127" t="str">
        <f>IF(DATE(IF(M$5="",L$5,M$5),$B8,1)&gt;SourceEnergy!$N$2,"",INDEX(SourceEnergy!$J:$K,MATCH(DATE(IF(M$5="",L$5,M$5),$B8,1),SourceEnergy!$B:$B,0),MATCH(M$6,SourceEnergy!$J$12:$K$12,0)))</f>
        <v/>
      </c>
      <c r="N8" s="120"/>
      <c r="O8" s="127" t="str">
        <f>IF(DATE(IF(O$5="",N$5,O$5),$B8,1)&gt;SourceEnergy!$N$2,"",INDEX(SourceEnergy!$J:$K,MATCH(DATE(IF(O$5="",N$5,O$5),$B8,1),SourceEnergy!$B:$B,0),MATCH(O$6,SourceEnergy!$J$12:$K$12,0)))</f>
        <v/>
      </c>
      <c r="P8" s="127" t="str">
        <f>IF(DATE(IF(P$5="",O$5,P$5),$B8,1)&gt;SourceEnergy!$N$2,"",INDEX(SourceEnergy!$J:$K,MATCH(DATE(IF(P$5="",O$5,P$5),$B8,1),SourceEnergy!$B:$B,0),MATCH(P$6,SourceEnergy!$J$12:$K$12,0)))</f>
        <v/>
      </c>
      <c r="Q8" s="120"/>
      <c r="R8" s="127" t="str">
        <f>IF(DATE(IF(R$5="",Q$5,R$5),$B8,1)&gt;SourceEnergy!$N$2,"",INDEX(SourceEnergy!$J:$K,MATCH(DATE(IF(R$5="",Q$5,R$5),$B8,1),SourceEnergy!$B:$B,0),MATCH(R$6,SourceEnergy!$J$12:$K$12,0)))</f>
        <v/>
      </c>
      <c r="S8" s="127" t="str">
        <f>IF(DATE(IF(S$5="",R$5,S$5),$B8,1)&gt;SourceEnergy!$N$2,"",INDEX(SourceEnergy!$J:$K,MATCH(DATE(IF(S$5="",R$5,S$5),$B8,1),SourceEnergy!$B:$B,0),MATCH(S$6,SourceEnergy!$J$12:$K$12,0)))</f>
        <v/>
      </c>
    </row>
    <row r="9" spans="2:22" x14ac:dyDescent="0.2">
      <c r="B9" s="125">
        <f t="shared" si="0"/>
        <v>3</v>
      </c>
      <c r="D9" s="126" t="s">
        <v>58</v>
      </c>
      <c r="E9" s="120"/>
      <c r="F9" s="127">
        <f>IF(DATE(IF(F$5="",E$5,F$5),$B9,1)&gt;SourceEnergy!$N$2,"",INDEX(SourceEnergy!$J:$K,MATCH(DATE(IF(F$5="",E$5,F$5),$B9,1),SourceEnergy!$B:$B,0),MATCH(F$6,SourceEnergy!$J$12:$K$12,0)))</f>
        <v>17.2</v>
      </c>
      <c r="G9" s="127">
        <f>IF(DATE(IF(G$5="",F$5,G$5),$B9,1)&gt;SourceEnergy!$N$2,"",INDEX(SourceEnergy!$J:$K,MATCH(DATE(IF(G$5="",F$5,G$5),$B9,1),SourceEnergy!$B:$B,0),MATCH(G$6,SourceEnergy!$J$12:$K$12,0)))</f>
        <v>14.81</v>
      </c>
      <c r="H9" s="120"/>
      <c r="I9" s="127" t="str">
        <f>IF(DATE(IF(I$5="",H$5,I$5),$B9,1)&gt;SourceEnergy!$N$2,"",INDEX(SourceEnergy!$J:$K,MATCH(DATE(IF(I$5="",H$5,I$5),$B9,1),SourceEnergy!$B:$B,0),MATCH(I$6,SourceEnergy!$J$12:$K$12,0)))</f>
        <v/>
      </c>
      <c r="J9" s="127" t="str">
        <f>IF(DATE(IF(J$5="",I$5,J$5),$B9,1)&gt;SourceEnergy!$N$2,"",INDEX(SourceEnergy!$J:$K,MATCH(DATE(IF(J$5="",I$5,J$5),$B9,1),SourceEnergy!$B:$B,0),MATCH(J$6,SourceEnergy!$J$12:$K$12,0)))</f>
        <v/>
      </c>
      <c r="K9" s="120"/>
      <c r="L9" s="127" t="str">
        <f>IF(DATE(IF(L$5="",K$5,L$5),$B9,1)&gt;SourceEnergy!$N$2,"",INDEX(SourceEnergy!$J:$K,MATCH(DATE(IF(L$5="",K$5,L$5),$B9,1),SourceEnergy!$B:$B,0),MATCH(L$6,SourceEnergy!$J$12:$K$12,0)))</f>
        <v/>
      </c>
      <c r="M9" s="127" t="str">
        <f>IF(DATE(IF(M$5="",L$5,M$5),$B9,1)&gt;SourceEnergy!$N$2,"",INDEX(SourceEnergy!$J:$K,MATCH(DATE(IF(M$5="",L$5,M$5),$B9,1),SourceEnergy!$B:$B,0),MATCH(M$6,SourceEnergy!$J$12:$K$12,0)))</f>
        <v/>
      </c>
      <c r="N9" s="120"/>
      <c r="O9" s="127" t="str">
        <f>IF(DATE(IF(O$5="",N$5,O$5),$B9,1)&gt;SourceEnergy!$N$2,"",INDEX(SourceEnergy!$J:$K,MATCH(DATE(IF(O$5="",N$5,O$5),$B9,1),SourceEnergy!$B:$B,0),MATCH(O$6,SourceEnergy!$J$12:$K$12,0)))</f>
        <v/>
      </c>
      <c r="P9" s="127" t="str">
        <f>IF(DATE(IF(P$5="",O$5,P$5),$B9,1)&gt;SourceEnergy!$N$2,"",INDEX(SourceEnergy!$J:$K,MATCH(DATE(IF(P$5="",O$5,P$5),$B9,1),SourceEnergy!$B:$B,0),MATCH(P$6,SourceEnergy!$J$12:$K$12,0)))</f>
        <v/>
      </c>
      <c r="Q9" s="120"/>
      <c r="R9" s="127" t="str">
        <f>IF(DATE(IF(R$5="",Q$5,R$5),$B9,1)&gt;SourceEnergy!$N$2,"",INDEX(SourceEnergy!$J:$K,MATCH(DATE(IF(R$5="",Q$5,R$5),$B9,1),SourceEnergy!$B:$B,0),MATCH(R$6,SourceEnergy!$J$12:$K$12,0)))</f>
        <v/>
      </c>
      <c r="S9" s="127" t="str">
        <f>IF(DATE(IF(S$5="",R$5,S$5),$B9,1)&gt;SourceEnergy!$N$2,"",INDEX(SourceEnergy!$J:$K,MATCH(DATE(IF(S$5="",R$5,S$5),$B9,1),SourceEnergy!$B:$B,0),MATCH(S$6,SourceEnergy!$J$12:$K$12,0)))</f>
        <v/>
      </c>
      <c r="V9" s="128"/>
    </row>
    <row r="10" spans="2:22" x14ac:dyDescent="0.2">
      <c r="B10" s="125">
        <f t="shared" si="0"/>
        <v>4</v>
      </c>
      <c r="D10" s="126" t="s">
        <v>59</v>
      </c>
      <c r="E10" s="120"/>
      <c r="F10" s="127">
        <f>IF(DATE(IF(F$5="",E$5,F$5),$B10,1)&gt;SourceEnergy!$N$2,"",INDEX(SourceEnergy!$J:$K,MATCH(DATE(IF(F$5="",E$5,F$5),$B10,1),SourceEnergy!$B:$B,0),MATCH(F$6,SourceEnergy!$J$12:$K$12,0)))</f>
        <v>14.72</v>
      </c>
      <c r="G10" s="127">
        <f>IF(DATE(IF(G$5="",F$5,G$5),$B10,1)&gt;SourceEnergy!$N$2,"",INDEX(SourceEnergy!$J:$K,MATCH(DATE(IF(G$5="",F$5,G$5),$B10,1),SourceEnergy!$B:$B,0),MATCH(G$6,SourceEnergy!$J$12:$K$12,0)))</f>
        <v>12.17</v>
      </c>
      <c r="H10" s="120"/>
      <c r="I10" s="127" t="str">
        <f>IF(DATE(IF(I$5="",H$5,I$5),$B10,1)&gt;SourceEnergy!$N$2,"",INDEX(SourceEnergy!$J:$K,MATCH(DATE(IF(I$5="",H$5,I$5),$B10,1),SourceEnergy!$B:$B,0),MATCH(I$6,SourceEnergy!$J$12:$K$12,0)))</f>
        <v/>
      </c>
      <c r="J10" s="127" t="str">
        <f>IF(DATE(IF(J$5="",I$5,J$5),$B10,1)&gt;SourceEnergy!$N$2,"",INDEX(SourceEnergy!$J:$K,MATCH(DATE(IF(J$5="",I$5,J$5),$B10,1),SourceEnergy!$B:$B,0),MATCH(J$6,SourceEnergy!$J$12:$K$12,0)))</f>
        <v/>
      </c>
      <c r="K10" s="120"/>
      <c r="L10" s="127" t="str">
        <f>IF(DATE(IF(L$5="",K$5,L$5),$B10,1)&gt;SourceEnergy!$N$2,"",INDEX(SourceEnergy!$J:$K,MATCH(DATE(IF(L$5="",K$5,L$5),$B10,1),SourceEnergy!$B:$B,0),MATCH(L$6,SourceEnergy!$J$12:$K$12,0)))</f>
        <v/>
      </c>
      <c r="M10" s="127" t="str">
        <f>IF(DATE(IF(M$5="",L$5,M$5),$B10,1)&gt;SourceEnergy!$N$2,"",INDEX(SourceEnergy!$J:$K,MATCH(DATE(IF(M$5="",L$5,M$5),$B10,1),SourceEnergy!$B:$B,0),MATCH(M$6,SourceEnergy!$J$12:$K$12,0)))</f>
        <v/>
      </c>
      <c r="N10" s="120"/>
      <c r="O10" s="127" t="str">
        <f>IF(DATE(IF(O$5="",N$5,O$5),$B10,1)&gt;SourceEnergy!$N$2,"",INDEX(SourceEnergy!$J:$K,MATCH(DATE(IF(O$5="",N$5,O$5),$B10,1),SourceEnergy!$B:$B,0),MATCH(O$6,SourceEnergy!$J$12:$K$12,0)))</f>
        <v/>
      </c>
      <c r="P10" s="127" t="str">
        <f>IF(DATE(IF(P$5="",O$5,P$5),$B10,1)&gt;SourceEnergy!$N$2,"",INDEX(SourceEnergy!$J:$K,MATCH(DATE(IF(P$5="",O$5,P$5),$B10,1),SourceEnergy!$B:$B,0),MATCH(P$6,SourceEnergy!$J$12:$K$12,0)))</f>
        <v/>
      </c>
      <c r="Q10" s="120"/>
      <c r="R10" s="127" t="str">
        <f>IF(DATE(IF(R$5="",Q$5,R$5),$B10,1)&gt;SourceEnergy!$N$2,"",INDEX(SourceEnergy!$J:$K,MATCH(DATE(IF(R$5="",Q$5,R$5),$B10,1),SourceEnergy!$B:$B,0),MATCH(R$6,SourceEnergy!$J$12:$K$12,0)))</f>
        <v/>
      </c>
      <c r="S10" s="127" t="str">
        <f>IF(DATE(IF(S$5="",R$5,S$5),$B10,1)&gt;SourceEnergy!$N$2,"",INDEX(SourceEnergy!$J:$K,MATCH(DATE(IF(S$5="",R$5,S$5),$B10,1),SourceEnergy!$B:$B,0),MATCH(S$6,SourceEnergy!$J$12:$K$12,0)))</f>
        <v/>
      </c>
      <c r="V10" s="128"/>
    </row>
    <row r="11" spans="2:22" x14ac:dyDescent="0.2">
      <c r="B11" s="125">
        <f t="shared" si="0"/>
        <v>5</v>
      </c>
      <c r="D11" s="126" t="s">
        <v>56</v>
      </c>
      <c r="E11" s="120"/>
      <c r="F11" s="127">
        <f>IF(DATE(IF(F$5="",E$5,F$5),$B11,1)&gt;SourceEnergy!$N$2,"",INDEX(SourceEnergy!$J:$K,MATCH(DATE(IF(F$5="",E$5,F$5),$B11,1),SourceEnergy!$B:$B,0),MATCH(F$6,SourceEnergy!$J$12:$K$12,0)))</f>
        <v>15.15</v>
      </c>
      <c r="G11" s="127">
        <f>IF(DATE(IF(G$5="",F$5,G$5),$B11,1)&gt;SourceEnergy!$N$2,"",INDEX(SourceEnergy!$J:$K,MATCH(DATE(IF(G$5="",F$5,G$5),$B11,1),SourceEnergy!$B:$B,0),MATCH(G$6,SourceEnergy!$J$12:$K$12,0)))</f>
        <v>12.69</v>
      </c>
      <c r="H11" s="120"/>
      <c r="I11" s="127" t="str">
        <f>IF(DATE(IF(I$5="",H$5,I$5),$B11,1)&gt;SourceEnergy!$N$2,"",INDEX(SourceEnergy!$J:$K,MATCH(DATE(IF(I$5="",H$5,I$5),$B11,1),SourceEnergy!$B:$B,0),MATCH(I$6,SourceEnergy!$J$12:$K$12,0)))</f>
        <v/>
      </c>
      <c r="J11" s="127" t="str">
        <f>IF(DATE(IF(J$5="",I$5,J$5),$B11,1)&gt;SourceEnergy!$N$2,"",INDEX(SourceEnergy!$J:$K,MATCH(DATE(IF(J$5="",I$5,J$5),$B11,1),SourceEnergy!$B:$B,0),MATCH(J$6,SourceEnergy!$J$12:$K$12,0)))</f>
        <v/>
      </c>
      <c r="K11" s="120"/>
      <c r="L11" s="127" t="str">
        <f>IF(DATE(IF(L$5="",K$5,L$5),$B11,1)&gt;SourceEnergy!$N$2,"",INDEX(SourceEnergy!$J:$K,MATCH(DATE(IF(L$5="",K$5,L$5),$B11,1),SourceEnergy!$B:$B,0),MATCH(L$6,SourceEnergy!$J$12:$K$12,0)))</f>
        <v/>
      </c>
      <c r="M11" s="127" t="str">
        <f>IF(DATE(IF(M$5="",L$5,M$5),$B11,1)&gt;SourceEnergy!$N$2,"",INDEX(SourceEnergy!$J:$K,MATCH(DATE(IF(M$5="",L$5,M$5),$B11,1),SourceEnergy!$B:$B,0),MATCH(M$6,SourceEnergy!$J$12:$K$12,0)))</f>
        <v/>
      </c>
      <c r="N11" s="120"/>
      <c r="O11" s="127" t="str">
        <f>IF(DATE(IF(O$5="",N$5,O$5),$B11,1)&gt;SourceEnergy!$N$2,"",INDEX(SourceEnergy!$J:$K,MATCH(DATE(IF(O$5="",N$5,O$5),$B11,1),SourceEnergy!$B:$B,0),MATCH(O$6,SourceEnergy!$J$12:$K$12,0)))</f>
        <v/>
      </c>
      <c r="P11" s="127" t="str">
        <f>IF(DATE(IF(P$5="",O$5,P$5),$B11,1)&gt;SourceEnergy!$N$2,"",INDEX(SourceEnergy!$J:$K,MATCH(DATE(IF(P$5="",O$5,P$5),$B11,1),SourceEnergy!$B:$B,0),MATCH(P$6,SourceEnergy!$J$12:$K$12,0)))</f>
        <v/>
      </c>
      <c r="Q11" s="120"/>
      <c r="R11" s="127" t="str">
        <f>IF(DATE(IF(R$5="",Q$5,R$5),$B11,1)&gt;SourceEnergy!$N$2,"",INDEX(SourceEnergy!$J:$K,MATCH(DATE(IF(R$5="",Q$5,R$5),$B11,1),SourceEnergy!$B:$B,0),MATCH(R$6,SourceEnergy!$J$12:$K$12,0)))</f>
        <v/>
      </c>
      <c r="S11" s="127" t="str">
        <f>IF(DATE(IF(S$5="",R$5,S$5),$B11,1)&gt;SourceEnergy!$N$2,"",INDEX(SourceEnergy!$J:$K,MATCH(DATE(IF(S$5="",R$5,S$5),$B11,1),SourceEnergy!$B:$B,0),MATCH(S$6,SourceEnergy!$J$12:$K$12,0)))</f>
        <v/>
      </c>
      <c r="V11" s="128"/>
    </row>
    <row r="12" spans="2:22" x14ac:dyDescent="0.2">
      <c r="B12" s="125">
        <f t="shared" si="0"/>
        <v>6</v>
      </c>
      <c r="D12" s="126" t="s">
        <v>60</v>
      </c>
      <c r="E12" s="120"/>
      <c r="F12" s="127">
        <f>IF(DATE(IF(F$5="",E$5,F$5),$B12,1)&gt;SourceEnergy!$N$2,"",INDEX(SourceEnergy!$J:$K,MATCH(DATE(IF(F$5="",E$5,F$5),$B12,1),SourceEnergy!$B:$B,0),MATCH(F$6,SourceEnergy!$J$12:$K$12,0)))</f>
        <v>16.829999999999998</v>
      </c>
      <c r="G12" s="127">
        <f>IF(DATE(IF(G$5="",F$5,G$5),$B12,1)&gt;SourceEnergy!$N$2,"",INDEX(SourceEnergy!$J:$K,MATCH(DATE(IF(G$5="",F$5,G$5),$B12,1),SourceEnergy!$B:$B,0),MATCH(G$6,SourceEnergy!$J$12:$K$12,0)))</f>
        <v>12.28</v>
      </c>
      <c r="H12" s="120"/>
      <c r="I12" s="127" t="str">
        <f>IF(DATE(IF(I$5="",H$5,I$5),$B12,1)&gt;SourceEnergy!$N$2,"",INDEX(SourceEnergy!$J:$K,MATCH(DATE(IF(I$5="",H$5,I$5),$B12,1),SourceEnergy!$B:$B,0),MATCH(I$6,SourceEnergy!$J$12:$K$12,0)))</f>
        <v/>
      </c>
      <c r="J12" s="127" t="str">
        <f>IF(DATE(IF(J$5="",I$5,J$5),$B12,1)&gt;SourceEnergy!$N$2,"",INDEX(SourceEnergy!$J:$K,MATCH(DATE(IF(J$5="",I$5,J$5),$B12,1),SourceEnergy!$B:$B,0),MATCH(J$6,SourceEnergy!$J$12:$K$12,0)))</f>
        <v/>
      </c>
      <c r="K12" s="120"/>
      <c r="L12" s="127" t="str">
        <f>IF(DATE(IF(L$5="",K$5,L$5),$B12,1)&gt;SourceEnergy!$N$2,"",INDEX(SourceEnergy!$J:$K,MATCH(DATE(IF(L$5="",K$5,L$5),$B12,1),SourceEnergy!$B:$B,0),MATCH(L$6,SourceEnergy!$J$12:$K$12,0)))</f>
        <v/>
      </c>
      <c r="M12" s="127" t="str">
        <f>IF(DATE(IF(M$5="",L$5,M$5),$B12,1)&gt;SourceEnergy!$N$2,"",INDEX(SourceEnergy!$J:$K,MATCH(DATE(IF(M$5="",L$5,M$5),$B12,1),SourceEnergy!$B:$B,0),MATCH(M$6,SourceEnergy!$J$12:$K$12,0)))</f>
        <v/>
      </c>
      <c r="N12" s="120"/>
      <c r="O12" s="127" t="str">
        <f>IF(DATE(IF(O$5="",N$5,O$5),$B12,1)&gt;SourceEnergy!$N$2,"",INDEX(SourceEnergy!$J:$K,MATCH(DATE(IF(O$5="",N$5,O$5),$B12,1),SourceEnergy!$B:$B,0),MATCH(O$6,SourceEnergy!$J$12:$K$12,0)))</f>
        <v/>
      </c>
      <c r="P12" s="127" t="str">
        <f>IF(DATE(IF(P$5="",O$5,P$5),$B12,1)&gt;SourceEnergy!$N$2,"",INDEX(SourceEnergy!$J:$K,MATCH(DATE(IF(P$5="",O$5,P$5),$B12,1),SourceEnergy!$B:$B,0),MATCH(P$6,SourceEnergy!$J$12:$K$12,0)))</f>
        <v/>
      </c>
      <c r="Q12" s="120"/>
      <c r="R12" s="127" t="str">
        <f>IF(DATE(IF(R$5="",Q$5,R$5),$B12,1)&gt;SourceEnergy!$N$2,"",INDEX(SourceEnergy!$J:$K,MATCH(DATE(IF(R$5="",Q$5,R$5),$B12,1),SourceEnergy!$B:$B,0),MATCH(R$6,SourceEnergy!$J$12:$K$12,0)))</f>
        <v/>
      </c>
      <c r="S12" s="127" t="str">
        <f>IF(DATE(IF(S$5="",R$5,S$5),$B12,1)&gt;SourceEnergy!$N$2,"",INDEX(SourceEnergy!$J:$K,MATCH(DATE(IF(S$5="",R$5,S$5),$B12,1),SourceEnergy!$B:$B,0),MATCH(S$6,SourceEnergy!$J$12:$K$12,0)))</f>
        <v/>
      </c>
    </row>
    <row r="13" spans="2:22" x14ac:dyDescent="0.2">
      <c r="B13" s="125">
        <f t="shared" si="0"/>
        <v>7</v>
      </c>
      <c r="D13" s="126" t="s">
        <v>61</v>
      </c>
      <c r="E13" s="120"/>
      <c r="F13" s="127">
        <f>IF(DATE(IF(F$5="",E$5,F$5),$B13,1)&gt;SourceEnergy!$N$2,"",INDEX(SourceEnergy!$J:$K,MATCH(DATE(IF(F$5="",E$5,F$5),$B13,1),SourceEnergy!$B:$B,0),MATCH(F$6,SourceEnergy!$J$12:$K$12,0)))</f>
        <v>29.26</v>
      </c>
      <c r="G13" s="127">
        <f>IF(DATE(IF(G$5="",F$5,G$5),$B13,1)&gt;SourceEnergy!$N$2,"",INDEX(SourceEnergy!$J:$K,MATCH(DATE(IF(G$5="",F$5,G$5),$B13,1),SourceEnergy!$B:$B,0),MATCH(G$6,SourceEnergy!$J$12:$K$12,0)))</f>
        <v>15.72</v>
      </c>
      <c r="H13" s="120"/>
      <c r="I13" s="127" t="str">
        <f>IF(DATE(IF(I$5="",H$5,I$5),$B13,1)&gt;SourceEnergy!$N$2,"",INDEX(SourceEnergy!$J:$K,MATCH(DATE(IF(I$5="",H$5,I$5),$B13,1),SourceEnergy!$B:$B,0),MATCH(I$6,SourceEnergy!$J$12:$K$12,0)))</f>
        <v/>
      </c>
      <c r="J13" s="127" t="str">
        <f>IF(DATE(IF(J$5="",I$5,J$5),$B13,1)&gt;SourceEnergy!$N$2,"",INDEX(SourceEnergy!$J:$K,MATCH(DATE(IF(J$5="",I$5,J$5),$B13,1),SourceEnergy!$B:$B,0),MATCH(J$6,SourceEnergy!$J$12:$K$12,0)))</f>
        <v/>
      </c>
      <c r="K13" s="120"/>
      <c r="L13" s="127" t="str">
        <f>IF(DATE(IF(L$5="",K$5,L$5),$B13,1)&gt;SourceEnergy!$N$2,"",INDEX(SourceEnergy!$J:$K,MATCH(DATE(IF(L$5="",K$5,L$5),$B13,1),SourceEnergy!$B:$B,0),MATCH(L$6,SourceEnergy!$J$12:$K$12,0)))</f>
        <v/>
      </c>
      <c r="M13" s="127" t="str">
        <f>IF(DATE(IF(M$5="",L$5,M$5),$B13,1)&gt;SourceEnergy!$N$2,"",INDEX(SourceEnergy!$J:$K,MATCH(DATE(IF(M$5="",L$5,M$5),$B13,1),SourceEnergy!$B:$B,0),MATCH(M$6,SourceEnergy!$J$12:$K$12,0)))</f>
        <v/>
      </c>
      <c r="N13" s="120"/>
      <c r="O13" s="127" t="str">
        <f>IF(DATE(IF(O$5="",N$5,O$5),$B13,1)&gt;SourceEnergy!$N$2,"",INDEX(SourceEnergy!$J:$K,MATCH(DATE(IF(O$5="",N$5,O$5),$B13,1),SourceEnergy!$B:$B,0),MATCH(O$6,SourceEnergy!$J$12:$K$12,0)))</f>
        <v/>
      </c>
      <c r="P13" s="127" t="str">
        <f>IF(DATE(IF(P$5="",O$5,P$5),$B13,1)&gt;SourceEnergy!$N$2,"",INDEX(SourceEnergy!$J:$K,MATCH(DATE(IF(P$5="",O$5,P$5),$B13,1),SourceEnergy!$B:$B,0),MATCH(P$6,SourceEnergy!$J$12:$K$12,0)))</f>
        <v/>
      </c>
      <c r="Q13" s="120"/>
      <c r="R13" s="127" t="str">
        <f>IF(DATE(IF(R$5="",Q$5,R$5),$B13,1)&gt;SourceEnergy!$N$2,"",INDEX(SourceEnergy!$J:$K,MATCH(DATE(IF(R$5="",Q$5,R$5),$B13,1),SourceEnergy!$B:$B,0),MATCH(R$6,SourceEnergy!$J$12:$K$12,0)))</f>
        <v/>
      </c>
      <c r="S13" s="127" t="str">
        <f>IF(DATE(IF(S$5="",R$5,S$5),$B13,1)&gt;SourceEnergy!$N$2,"",INDEX(SourceEnergy!$J:$K,MATCH(DATE(IF(S$5="",R$5,S$5),$B13,1),SourceEnergy!$B:$B,0),MATCH(S$6,SourceEnergy!$J$12:$K$12,0)))</f>
        <v/>
      </c>
    </row>
    <row r="14" spans="2:22" x14ac:dyDescent="0.2">
      <c r="B14" s="125">
        <f t="shared" si="0"/>
        <v>8</v>
      </c>
      <c r="D14" s="126" t="s">
        <v>62</v>
      </c>
      <c r="E14" s="120"/>
      <c r="F14" s="127">
        <f>IF(DATE(IF(F$5="",E$5,F$5),$B14,1)&gt;SourceEnergy!$N$2,"",INDEX(SourceEnergy!$J:$K,MATCH(DATE(IF(F$5="",E$5,F$5),$B14,1),SourceEnergy!$B:$B,0),MATCH(F$6,SourceEnergy!$J$12:$K$12,0)))</f>
        <v>31.79</v>
      </c>
      <c r="G14" s="127">
        <f>IF(DATE(IF(G$5="",F$5,G$5),$B14,1)&gt;SourceEnergy!$N$2,"",INDEX(SourceEnergy!$J:$K,MATCH(DATE(IF(G$5="",F$5,G$5),$B14,1),SourceEnergy!$B:$B,0),MATCH(G$6,SourceEnergy!$J$12:$K$12,0)))</f>
        <v>17.239999999999998</v>
      </c>
      <c r="H14" s="120"/>
      <c r="I14" s="127" t="str">
        <f>IF(DATE(IF(I$5="",H$5,I$5),$B14,1)&gt;SourceEnergy!$N$2,"",INDEX(SourceEnergy!$J:$K,MATCH(DATE(IF(I$5="",H$5,I$5),$B14,1),SourceEnergy!$B:$B,0),MATCH(I$6,SourceEnergy!$J$12:$K$12,0)))</f>
        <v/>
      </c>
      <c r="J14" s="127" t="str">
        <f>IF(DATE(IF(J$5="",I$5,J$5),$B14,1)&gt;SourceEnergy!$N$2,"",INDEX(SourceEnergy!$J:$K,MATCH(DATE(IF(J$5="",I$5,J$5),$B14,1),SourceEnergy!$B:$B,0),MATCH(J$6,SourceEnergy!$J$12:$K$12,0)))</f>
        <v/>
      </c>
      <c r="K14" s="120"/>
      <c r="L14" s="127" t="str">
        <f>IF(DATE(IF(L$5="",K$5,L$5),$B14,1)&gt;SourceEnergy!$N$2,"",INDEX(SourceEnergy!$J:$K,MATCH(DATE(IF(L$5="",K$5,L$5),$B14,1),SourceEnergy!$B:$B,0),MATCH(L$6,SourceEnergy!$J$12:$K$12,0)))</f>
        <v/>
      </c>
      <c r="M14" s="127" t="str">
        <f>IF(DATE(IF(M$5="",L$5,M$5),$B14,1)&gt;SourceEnergy!$N$2,"",INDEX(SourceEnergy!$J:$K,MATCH(DATE(IF(M$5="",L$5,M$5),$B14,1),SourceEnergy!$B:$B,0),MATCH(M$6,SourceEnergy!$J$12:$K$12,0)))</f>
        <v/>
      </c>
      <c r="N14" s="120"/>
      <c r="O14" s="127" t="str">
        <f>IF(DATE(IF(O$5="",N$5,O$5),$B14,1)&gt;SourceEnergy!$N$2,"",INDEX(SourceEnergy!$J:$K,MATCH(DATE(IF(O$5="",N$5,O$5),$B14,1),SourceEnergy!$B:$B,0),MATCH(O$6,SourceEnergy!$J$12:$K$12,0)))</f>
        <v/>
      </c>
      <c r="P14" s="127" t="str">
        <f>IF(DATE(IF(P$5="",O$5,P$5),$B14,1)&gt;SourceEnergy!$N$2,"",INDEX(SourceEnergy!$J:$K,MATCH(DATE(IF(P$5="",O$5,P$5),$B14,1),SourceEnergy!$B:$B,0),MATCH(P$6,SourceEnergy!$J$12:$K$12,0)))</f>
        <v/>
      </c>
      <c r="Q14" s="120"/>
      <c r="R14" s="127" t="str">
        <f>IF(DATE(IF(R$5="",Q$5,R$5),$B14,1)&gt;SourceEnergy!$N$2,"",INDEX(SourceEnergy!$J:$K,MATCH(DATE(IF(R$5="",Q$5,R$5),$B14,1),SourceEnergy!$B:$B,0),MATCH(R$6,SourceEnergy!$J$12:$K$12,0)))</f>
        <v/>
      </c>
      <c r="S14" s="127" t="str">
        <f>IF(DATE(IF(S$5="",R$5,S$5),$B14,1)&gt;SourceEnergy!$N$2,"",INDEX(SourceEnergy!$J:$K,MATCH(DATE(IF(S$5="",R$5,S$5),$B14,1),SourceEnergy!$B:$B,0),MATCH(S$6,SourceEnergy!$J$12:$K$12,0)))</f>
        <v/>
      </c>
    </row>
    <row r="15" spans="2:22" x14ac:dyDescent="0.2">
      <c r="B15" s="125">
        <f t="shared" si="0"/>
        <v>9</v>
      </c>
      <c r="D15" s="126" t="s">
        <v>63</v>
      </c>
      <c r="E15" s="120"/>
      <c r="F15" s="127">
        <f>IF(DATE(IF(F$5="",E$5,F$5),$B15,1)&gt;SourceEnergy!$N$2,"",INDEX(SourceEnergy!$J:$K,MATCH(DATE(IF(F$5="",E$5,F$5),$B15,1),SourceEnergy!$B:$B,0),MATCH(F$6,SourceEnergy!$J$12:$K$12,0)))</f>
        <v>24.6</v>
      </c>
      <c r="G15" s="127">
        <f>IF(DATE(IF(G$5="",F$5,G$5),$B15,1)&gt;SourceEnergy!$N$2,"",INDEX(SourceEnergy!$J:$K,MATCH(DATE(IF(G$5="",F$5,G$5),$B15,1),SourceEnergy!$B:$B,0),MATCH(G$6,SourceEnergy!$J$12:$K$12,0)))</f>
        <v>15.05</v>
      </c>
      <c r="H15" s="120"/>
      <c r="I15" s="127" t="str">
        <f>IF(DATE(IF(I$5="",H$5,I$5),$B15,1)&gt;SourceEnergy!$N$2,"",INDEX(SourceEnergy!$J:$K,MATCH(DATE(IF(I$5="",H$5,I$5),$B15,1),SourceEnergy!$B:$B,0),MATCH(I$6,SourceEnergy!$J$12:$K$12,0)))</f>
        <v/>
      </c>
      <c r="J15" s="127" t="str">
        <f>IF(DATE(IF(J$5="",I$5,J$5),$B15,1)&gt;SourceEnergy!$N$2,"",INDEX(SourceEnergy!$J:$K,MATCH(DATE(IF(J$5="",I$5,J$5),$B15,1),SourceEnergy!$B:$B,0),MATCH(J$6,SourceEnergy!$J$12:$K$12,0)))</f>
        <v/>
      </c>
      <c r="K15" s="120"/>
      <c r="L15" s="127" t="str">
        <f>IF(DATE(IF(L$5="",K$5,L$5),$B15,1)&gt;SourceEnergy!$N$2,"",INDEX(SourceEnergy!$J:$K,MATCH(DATE(IF(L$5="",K$5,L$5),$B15,1),SourceEnergy!$B:$B,0),MATCH(L$6,SourceEnergy!$J$12:$K$12,0)))</f>
        <v/>
      </c>
      <c r="M15" s="127" t="str">
        <f>IF(DATE(IF(M$5="",L$5,M$5),$B15,1)&gt;SourceEnergy!$N$2,"",INDEX(SourceEnergy!$J:$K,MATCH(DATE(IF(M$5="",L$5,M$5),$B15,1),SourceEnergy!$B:$B,0),MATCH(M$6,SourceEnergy!$J$12:$K$12,0)))</f>
        <v/>
      </c>
      <c r="N15" s="120"/>
      <c r="O15" s="127" t="str">
        <f>IF(DATE(IF(O$5="",N$5,O$5),$B15,1)&gt;SourceEnergy!$N$2,"",INDEX(SourceEnergy!$J:$K,MATCH(DATE(IF(O$5="",N$5,O$5),$B15,1),SourceEnergy!$B:$B,0),MATCH(O$6,SourceEnergy!$J$12:$K$12,0)))</f>
        <v/>
      </c>
      <c r="P15" s="127" t="str">
        <f>IF(DATE(IF(P$5="",O$5,P$5),$B15,1)&gt;SourceEnergy!$N$2,"",INDEX(SourceEnergy!$J:$K,MATCH(DATE(IF(P$5="",O$5,P$5),$B15,1),SourceEnergy!$B:$B,0),MATCH(P$6,SourceEnergy!$J$12:$K$12,0)))</f>
        <v/>
      </c>
      <c r="Q15" s="120"/>
      <c r="R15" s="127" t="str">
        <f>IF(DATE(IF(R$5="",Q$5,R$5),$B15,1)&gt;SourceEnergy!$N$2,"",INDEX(SourceEnergy!$J:$K,MATCH(DATE(IF(R$5="",Q$5,R$5),$B15,1),SourceEnergy!$B:$B,0),MATCH(R$6,SourceEnergy!$J$12:$K$12,0)))</f>
        <v/>
      </c>
      <c r="S15" s="127" t="str">
        <f>IF(DATE(IF(S$5="",R$5,S$5),$B15,1)&gt;SourceEnergy!$N$2,"",INDEX(SourceEnergy!$J:$K,MATCH(DATE(IF(S$5="",R$5,S$5),$B15,1),SourceEnergy!$B:$B,0),MATCH(S$6,SourceEnergy!$J$12:$K$12,0)))</f>
        <v/>
      </c>
    </row>
    <row r="16" spans="2:22" x14ac:dyDescent="0.2">
      <c r="B16" s="125">
        <f t="shared" si="0"/>
        <v>10</v>
      </c>
      <c r="D16" s="126" t="s">
        <v>64</v>
      </c>
      <c r="E16" s="120"/>
      <c r="F16" s="127">
        <f>IF(DATE(IF(F$5="",E$5,F$5),$B16,1)&gt;SourceEnergy!$N$2,"",INDEX(SourceEnergy!$J:$K,MATCH(DATE(IF(F$5="",E$5,F$5),$B16,1),SourceEnergy!$B:$B,0),MATCH(F$6,SourceEnergy!$J$12:$K$12,0)))</f>
        <v>16.809999999999999</v>
      </c>
      <c r="G16" s="127">
        <f>IF(DATE(IF(G$5="",F$5,G$5),$B16,1)&gt;SourceEnergy!$N$2,"",INDEX(SourceEnergy!$J:$K,MATCH(DATE(IF(G$5="",F$5,G$5),$B16,1),SourceEnergy!$B:$B,0),MATCH(G$6,SourceEnergy!$J$12:$K$12,0)))</f>
        <v>15.28</v>
      </c>
      <c r="H16" s="120"/>
      <c r="I16" s="127" t="str">
        <f>IF(DATE(IF(I$5="",H$5,I$5),$B16,1)&gt;SourceEnergy!$N$2,"",INDEX(SourceEnergy!$J:$K,MATCH(DATE(IF(I$5="",H$5,I$5),$B16,1),SourceEnergy!$B:$B,0),MATCH(I$6,SourceEnergy!$J$12:$K$12,0)))</f>
        <v/>
      </c>
      <c r="J16" s="127" t="str">
        <f>IF(DATE(IF(J$5="",I$5,J$5),$B16,1)&gt;SourceEnergy!$N$2,"",INDEX(SourceEnergy!$J:$K,MATCH(DATE(IF(J$5="",I$5,J$5),$B16,1),SourceEnergy!$B:$B,0),MATCH(J$6,SourceEnergy!$J$12:$K$12,0)))</f>
        <v/>
      </c>
      <c r="K16" s="120"/>
      <c r="L16" s="127" t="str">
        <f>IF(DATE(IF(L$5="",K$5,L$5),$B16,1)&gt;SourceEnergy!$N$2,"",INDEX(SourceEnergy!$J:$K,MATCH(DATE(IF(L$5="",K$5,L$5),$B16,1),SourceEnergy!$B:$B,0),MATCH(L$6,SourceEnergy!$J$12:$K$12,0)))</f>
        <v/>
      </c>
      <c r="M16" s="127" t="str">
        <f>IF(DATE(IF(M$5="",L$5,M$5),$B16,1)&gt;SourceEnergy!$N$2,"",INDEX(SourceEnergy!$J:$K,MATCH(DATE(IF(M$5="",L$5,M$5),$B16,1),SourceEnergy!$B:$B,0),MATCH(M$6,SourceEnergy!$J$12:$K$12,0)))</f>
        <v/>
      </c>
      <c r="N16" s="120"/>
      <c r="O16" s="127" t="str">
        <f>IF(DATE(IF(O$5="",N$5,O$5),$B16,1)&gt;SourceEnergy!$N$2,"",INDEX(SourceEnergy!$J:$K,MATCH(DATE(IF(O$5="",N$5,O$5),$B16,1),SourceEnergy!$B:$B,0),MATCH(O$6,SourceEnergy!$J$12:$K$12,0)))</f>
        <v/>
      </c>
      <c r="P16" s="127" t="str">
        <f>IF(DATE(IF(P$5="",O$5,P$5),$B16,1)&gt;SourceEnergy!$N$2,"",INDEX(SourceEnergy!$J:$K,MATCH(DATE(IF(P$5="",O$5,P$5),$B16,1),SourceEnergy!$B:$B,0),MATCH(P$6,SourceEnergy!$J$12:$K$12,0)))</f>
        <v/>
      </c>
      <c r="Q16" s="120"/>
      <c r="R16" s="127" t="str">
        <f>IF(DATE(IF(R$5="",Q$5,R$5),$B16,1)&gt;SourceEnergy!$N$2,"",INDEX(SourceEnergy!$J:$K,MATCH(DATE(IF(R$5="",Q$5,R$5),$B16,1),SourceEnergy!$B:$B,0),MATCH(R$6,SourceEnergy!$J$12:$K$12,0)))</f>
        <v/>
      </c>
      <c r="S16" s="127" t="str">
        <f>IF(DATE(IF(S$5="",R$5,S$5),$B16,1)&gt;SourceEnergy!$N$2,"",INDEX(SourceEnergy!$J:$K,MATCH(DATE(IF(S$5="",R$5,S$5),$B16,1),SourceEnergy!$B:$B,0),MATCH(S$6,SourceEnergy!$J$12:$K$12,0)))</f>
        <v/>
      </c>
    </row>
    <row r="17" spans="2:19" x14ac:dyDescent="0.2">
      <c r="B17" s="125">
        <f t="shared" si="0"/>
        <v>11</v>
      </c>
      <c r="D17" s="126" t="s">
        <v>65</v>
      </c>
      <c r="E17" s="120"/>
      <c r="F17" s="127">
        <f>IF(DATE(IF(F$5="",E$5,F$5),$B17,1)&gt;SourceEnergy!$N$2,"",INDEX(SourceEnergy!$J:$K,MATCH(DATE(IF(F$5="",E$5,F$5),$B17,1),SourceEnergy!$B:$B,0),MATCH(F$6,SourceEnergy!$J$12:$K$12,0)))</f>
        <v>16</v>
      </c>
      <c r="G17" s="127">
        <f>IF(DATE(IF(G$5="",F$5,G$5),$B17,1)&gt;SourceEnergy!$N$2,"",INDEX(SourceEnergy!$J:$K,MATCH(DATE(IF(G$5="",F$5,G$5),$B17,1),SourceEnergy!$B:$B,0),MATCH(G$6,SourceEnergy!$J$12:$K$12,0)))</f>
        <v>14.68</v>
      </c>
      <c r="H17" s="120"/>
      <c r="I17" s="127" t="str">
        <f>IF(DATE(IF(I$5="",H$5,I$5),$B17,1)&gt;SourceEnergy!$N$2,"",INDEX(SourceEnergy!$J:$K,MATCH(DATE(IF(I$5="",H$5,I$5),$B17,1),SourceEnergy!$B:$B,0),MATCH(I$6,SourceEnergy!$J$12:$K$12,0)))</f>
        <v/>
      </c>
      <c r="J17" s="127" t="str">
        <f>IF(DATE(IF(J$5="",I$5,J$5),$B17,1)&gt;SourceEnergy!$N$2,"",INDEX(SourceEnergy!$J:$K,MATCH(DATE(IF(J$5="",I$5,J$5),$B17,1),SourceEnergy!$B:$B,0),MATCH(J$6,SourceEnergy!$J$12:$K$12,0)))</f>
        <v/>
      </c>
      <c r="K17" s="120"/>
      <c r="L17" s="127" t="str">
        <f>IF(DATE(IF(L$5="",K$5,L$5),$B17,1)&gt;SourceEnergy!$N$2,"",INDEX(SourceEnergy!$J:$K,MATCH(DATE(IF(L$5="",K$5,L$5),$B17,1),SourceEnergy!$B:$B,0),MATCH(L$6,SourceEnergy!$J$12:$K$12,0)))</f>
        <v/>
      </c>
      <c r="M17" s="127" t="str">
        <f>IF(DATE(IF(M$5="",L$5,M$5),$B17,1)&gt;SourceEnergy!$N$2,"",INDEX(SourceEnergy!$J:$K,MATCH(DATE(IF(M$5="",L$5,M$5),$B17,1),SourceEnergy!$B:$B,0),MATCH(M$6,SourceEnergy!$J$12:$K$12,0)))</f>
        <v/>
      </c>
      <c r="N17" s="120"/>
      <c r="O17" s="127" t="str">
        <f>IF(DATE(IF(O$5="",N$5,O$5),$B17,1)&gt;SourceEnergy!$N$2,"",INDEX(SourceEnergy!$J:$K,MATCH(DATE(IF(O$5="",N$5,O$5),$B17,1),SourceEnergy!$B:$B,0),MATCH(O$6,SourceEnergy!$J$12:$K$12,0)))</f>
        <v/>
      </c>
      <c r="P17" s="127" t="str">
        <f>IF(DATE(IF(P$5="",O$5,P$5),$B17,1)&gt;SourceEnergy!$N$2,"",INDEX(SourceEnergy!$J:$K,MATCH(DATE(IF(P$5="",O$5,P$5),$B17,1),SourceEnergy!$B:$B,0),MATCH(P$6,SourceEnergy!$J$12:$K$12,0)))</f>
        <v/>
      </c>
      <c r="Q17" s="120"/>
      <c r="R17" s="127" t="str">
        <f>IF(DATE(IF(R$5="",Q$5,R$5),$B17,1)&gt;SourceEnergy!$N$2,"",INDEX(SourceEnergy!$J:$K,MATCH(DATE(IF(R$5="",Q$5,R$5),$B17,1),SourceEnergy!$B:$B,0),MATCH(R$6,SourceEnergy!$J$12:$K$12,0)))</f>
        <v/>
      </c>
      <c r="S17" s="127" t="str">
        <f>IF(DATE(IF(S$5="",R$5,S$5),$B17,1)&gt;SourceEnergy!$N$2,"",INDEX(SourceEnergy!$J:$K,MATCH(DATE(IF(S$5="",R$5,S$5),$B17,1),SourceEnergy!$B:$B,0),MATCH(S$6,SourceEnergy!$J$12:$K$12,0)))</f>
        <v/>
      </c>
    </row>
    <row r="18" spans="2:19" x14ac:dyDescent="0.2">
      <c r="B18" s="125">
        <f t="shared" si="0"/>
        <v>12</v>
      </c>
      <c r="D18" s="126" t="s">
        <v>66</v>
      </c>
      <c r="E18" s="120"/>
      <c r="F18" s="127">
        <f>IF(DATE(IF(F$5="",E$5,F$5),$B18,1)&gt;SourceEnergy!$N$2,"",INDEX(SourceEnergy!$J:$K,MATCH(DATE(IF(F$5="",E$5,F$5),$B18,1),SourceEnergy!$B:$B,0),MATCH(F$6,SourceEnergy!$J$12:$K$12,0)))</f>
        <v>12.33</v>
      </c>
      <c r="G18" s="127">
        <f>IF(DATE(IF(G$5="",F$5,G$5),$B18,1)&gt;SourceEnergy!$N$2,"",INDEX(SourceEnergy!$J:$K,MATCH(DATE(IF(G$5="",F$5,G$5),$B18,1),SourceEnergy!$B:$B,0),MATCH(G$6,SourceEnergy!$J$12:$K$12,0)))</f>
        <v>10.63</v>
      </c>
      <c r="H18" s="120"/>
      <c r="I18" s="127" t="str">
        <f>IF(DATE(IF(I$5="",H$5,I$5),$B18,1)&gt;SourceEnergy!$N$2,"",INDEX(SourceEnergy!$J:$K,MATCH(DATE(IF(I$5="",H$5,I$5),$B18,1),SourceEnergy!$B:$B,0),MATCH(I$6,SourceEnergy!$J$12:$K$12,0)))</f>
        <v/>
      </c>
      <c r="J18" s="127" t="str">
        <f>IF(DATE(IF(J$5="",I$5,J$5),$B18,1)&gt;SourceEnergy!$N$2,"",INDEX(SourceEnergy!$J:$K,MATCH(DATE(IF(J$5="",I$5,J$5),$B18,1),SourceEnergy!$B:$B,0),MATCH(J$6,SourceEnergy!$J$12:$K$12,0)))</f>
        <v/>
      </c>
      <c r="K18" s="120"/>
      <c r="L18" s="127" t="str">
        <f>IF(DATE(IF(L$5="",K$5,L$5),$B18,1)&gt;SourceEnergy!$N$2,"",INDEX(SourceEnergy!$J:$K,MATCH(DATE(IF(L$5="",K$5,L$5),$B18,1),SourceEnergy!$B:$B,0),MATCH(L$6,SourceEnergy!$J$12:$K$12,0)))</f>
        <v/>
      </c>
      <c r="M18" s="127" t="str">
        <f>IF(DATE(IF(M$5="",L$5,M$5),$B18,1)&gt;SourceEnergy!$N$2,"",INDEX(SourceEnergy!$J:$K,MATCH(DATE(IF(M$5="",L$5,M$5),$B18,1),SourceEnergy!$B:$B,0),MATCH(M$6,SourceEnergy!$J$12:$K$12,0)))</f>
        <v/>
      </c>
      <c r="N18" s="120"/>
      <c r="O18" s="127" t="str">
        <f>IF(DATE(IF(O$5="",N$5,O$5),$B18,1)&gt;SourceEnergy!$N$2,"",INDEX(SourceEnergy!$J:$K,MATCH(DATE(IF(O$5="",N$5,O$5),$B18,1),SourceEnergy!$B:$B,0),MATCH(O$6,SourceEnergy!$J$12:$K$12,0)))</f>
        <v/>
      </c>
      <c r="P18" s="127" t="str">
        <f>IF(DATE(IF(P$5="",O$5,P$5),$B18,1)&gt;SourceEnergy!$N$2,"",INDEX(SourceEnergy!$J:$K,MATCH(DATE(IF(P$5="",O$5,P$5),$B18,1),SourceEnergy!$B:$B,0),MATCH(P$6,SourceEnergy!$J$12:$K$12,0)))</f>
        <v/>
      </c>
      <c r="Q18" s="120"/>
      <c r="R18" s="127" t="str">
        <f>IF(DATE(IF(R$5="",Q$5,R$5),$B18,1)&gt;SourceEnergy!$N$2,"",INDEX(SourceEnergy!$J:$K,MATCH(DATE(IF(R$5="",Q$5,R$5),$B18,1),SourceEnergy!$B:$B,0),MATCH(R$6,SourceEnergy!$J$12:$K$12,0)))</f>
        <v/>
      </c>
      <c r="S18" s="127" t="str">
        <f>IF(DATE(IF(S$5="",R$5,S$5),$B18,1)&gt;SourceEnergy!$N$2,"",INDEX(SourceEnergy!$J:$K,MATCH(DATE(IF(S$5="",R$5,S$5),$B18,1),SourceEnergy!$B:$B,0),MATCH(S$6,SourceEnergy!$J$12:$K$12,0)))</f>
        <v/>
      </c>
    </row>
    <row r="19" spans="2:19" x14ac:dyDescent="0.2"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</row>
    <row r="20" spans="2:19" x14ac:dyDescent="0.2">
      <c r="B20" s="121"/>
      <c r="D20" s="122"/>
      <c r="E20" s="120"/>
      <c r="F20" s="85">
        <f>R5+1</f>
        <v>2024</v>
      </c>
      <c r="G20" s="86"/>
      <c r="H20" s="120"/>
      <c r="I20" s="85">
        <f>F20+1</f>
        <v>2025</v>
      </c>
      <c r="J20" s="86"/>
      <c r="K20" s="120"/>
      <c r="L20" s="85">
        <f>I20+1</f>
        <v>2026</v>
      </c>
      <c r="M20" s="86"/>
      <c r="N20" s="120"/>
      <c r="O20" s="85">
        <f>L20+1</f>
        <v>2027</v>
      </c>
      <c r="P20" s="86"/>
      <c r="Q20" s="120"/>
      <c r="R20" s="85">
        <f>O20+1</f>
        <v>2028</v>
      </c>
      <c r="S20" s="86"/>
    </row>
    <row r="21" spans="2:19" x14ac:dyDescent="0.2">
      <c r="B21" s="123" t="s">
        <v>2</v>
      </c>
      <c r="D21" s="124" t="s">
        <v>2</v>
      </c>
      <c r="E21" s="120"/>
      <c r="F21" s="87" t="s">
        <v>9</v>
      </c>
      <c r="G21" s="87" t="s">
        <v>10</v>
      </c>
      <c r="H21" s="120"/>
      <c r="I21" s="87" t="s">
        <v>9</v>
      </c>
      <c r="J21" s="87" t="s">
        <v>10</v>
      </c>
      <c r="K21" s="120"/>
      <c r="L21" s="87" t="s">
        <v>9</v>
      </c>
      <c r="M21" s="87" t="s">
        <v>10</v>
      </c>
      <c r="N21" s="120"/>
      <c r="O21" s="87" t="s">
        <v>9</v>
      </c>
      <c r="P21" s="87" t="s">
        <v>10</v>
      </c>
      <c r="Q21" s="120"/>
      <c r="R21" s="87" t="s">
        <v>9</v>
      </c>
      <c r="S21" s="87" t="s">
        <v>10</v>
      </c>
    </row>
    <row r="22" spans="2:19" x14ac:dyDescent="0.2">
      <c r="B22" s="125">
        <v>1</v>
      </c>
      <c r="D22" s="126" t="s">
        <v>55</v>
      </c>
      <c r="E22" s="120"/>
      <c r="F22" s="127" t="str">
        <f>IF(DATE(IF(F$20="",E$20,F$20),$B7,1)&gt;SourceEnergy!$N$2,"",INDEX(SourceEnergy!$J:$K,MATCH(DATE(IF(F$20="",E$20,F$20),$B7,1),SourceEnergy!$B:$B,0),MATCH(F$21,SourceEnergy!$J$12:$K$12,0)))</f>
        <v/>
      </c>
      <c r="G22" s="127" t="str">
        <f>IF(DATE(IF(G$20="",F$20,G$20),$B7,1)&gt;SourceEnergy!$N$2,"",INDEX(SourceEnergy!$J:$K,MATCH(DATE(IF(G$20="",F$20,G$20),$B7,1),SourceEnergy!$B:$B,0),MATCH(G$21,SourceEnergy!$J$12:$K$12,0)))</f>
        <v/>
      </c>
      <c r="H22" s="120"/>
      <c r="I22" s="127" t="str">
        <f>IF(DATE(IF(I$20="",H$20,I$20),$B7,1)&gt;SourceEnergy!$N$2,"",INDEX(SourceEnergy!$J:$K,MATCH(DATE(IF(I$20="",H$20,I$20),$B7,1),SourceEnergy!$B:$B,0),MATCH(I$21,SourceEnergy!$J$12:$K$12,0)))</f>
        <v/>
      </c>
      <c r="J22" s="127" t="str">
        <f>IF(DATE(IF(J$20="",I$20,J$20),$B7,1)&gt;SourceEnergy!$N$2,"",INDEX(SourceEnergy!$J:$K,MATCH(DATE(IF(J$20="",I$20,J$20),$B7,1),SourceEnergy!$B:$B,0),MATCH(J$21,SourceEnergy!$J$12:$K$12,0)))</f>
        <v/>
      </c>
      <c r="K22" s="120"/>
      <c r="L22" s="127" t="str">
        <f>IF(DATE(IF(L$20="",K$20,L$20),$B7,1)&gt;SourceEnergy!$N$2,"",INDEX(SourceEnergy!$J:$K,MATCH(DATE(IF(L$20="",K$20,L$20),$B7,1),SourceEnergy!$B:$B,0),MATCH(L$21,SourceEnergy!$J$12:$K$12,0)))</f>
        <v/>
      </c>
      <c r="M22" s="127" t="str">
        <f>IF(DATE(IF(M$20="",L$20,M$20),$B7,1)&gt;SourceEnergy!$N$2,"",INDEX(SourceEnergy!$J:$K,MATCH(DATE(IF(M$20="",L$20,M$20),$B7,1),SourceEnergy!$B:$B,0),MATCH(M$21,SourceEnergy!$J$12:$K$12,0)))</f>
        <v/>
      </c>
      <c r="N22" s="120"/>
      <c r="O22" s="127" t="str">
        <f>IF(DATE(IF(O$20="",N$20,O$20),$B7,1)&gt;SourceEnergy!$N$2,"",INDEX(SourceEnergy!$J:$K,MATCH(DATE(IF(O$20="",N$20,O$20),$B7,1),SourceEnergy!$B:$B,0),MATCH(O$21,SourceEnergy!$J$12:$K$12,0)))</f>
        <v/>
      </c>
      <c r="P22" s="127" t="str">
        <f>IF(DATE(IF(P$20="",O$20,P$20),$B7,1)&gt;SourceEnergy!$N$2,"",INDEX(SourceEnergy!$J:$K,MATCH(DATE(IF(P$20="",O$20,P$20),$B7,1),SourceEnergy!$B:$B,0),MATCH(P$21,SourceEnergy!$J$12:$K$12,0)))</f>
        <v/>
      </c>
      <c r="Q22" s="120"/>
      <c r="R22" s="127" t="str">
        <f>IF(DATE(IF(R$20="",Q$20,R$20),$B7,1)&gt;SourceEnergy!$N$2,"",INDEX(SourceEnergy!$J:$K,MATCH(DATE(IF(R$20="",Q$20,R$20),$B7,1),SourceEnergy!$B:$B,0),MATCH(R$21,SourceEnergy!$J$12:$K$12,0)))</f>
        <v/>
      </c>
      <c r="S22" s="127" t="str">
        <f>IF(DATE(IF(S$20="",R$20,S$20),$B7,1)&gt;SourceEnergy!$N$2,"",INDEX(SourceEnergy!$J:$K,MATCH(DATE(IF(S$20="",R$20,S$20),$B7,1),SourceEnergy!$B:$B,0),MATCH(S$21,SourceEnergy!$J$12:$K$12,0)))</f>
        <v/>
      </c>
    </row>
    <row r="23" spans="2:19" x14ac:dyDescent="0.2">
      <c r="B23" s="125">
        <f t="shared" ref="B23:B33" si="1">B22+1</f>
        <v>2</v>
      </c>
      <c r="D23" s="126" t="s">
        <v>57</v>
      </c>
      <c r="E23" s="120"/>
      <c r="F23" s="127" t="str">
        <f>IF(DATE(IF(F$20="",E$20,F$20),$B8,1)&gt;SourceEnergy!$N$2,"",INDEX(SourceEnergy!$J:$K,MATCH(DATE(IF(F$20="",E$20,F$20),$B8,1),SourceEnergy!$B:$B,0),MATCH(F$21,SourceEnergy!$J$12:$K$12,0)))</f>
        <v/>
      </c>
      <c r="G23" s="127" t="str">
        <f>IF(DATE(IF(G$20="",F$20,G$20),$B8,1)&gt;SourceEnergy!$N$2,"",INDEX(SourceEnergy!$J:$K,MATCH(DATE(IF(G$20="",F$20,G$20),$B8,1),SourceEnergy!$B:$B,0),MATCH(G$21,SourceEnergy!$J$12:$K$12,0)))</f>
        <v/>
      </c>
      <c r="H23" s="120"/>
      <c r="I23" s="127" t="str">
        <f>IF(DATE(IF(I$20="",H$20,I$20),$B8,1)&gt;SourceEnergy!$N$2,"",INDEX(SourceEnergy!$J:$K,MATCH(DATE(IF(I$20="",H$20,I$20),$B8,1),SourceEnergy!$B:$B,0),MATCH(I$21,SourceEnergy!$J$12:$K$12,0)))</f>
        <v/>
      </c>
      <c r="J23" s="127" t="str">
        <f>IF(DATE(IF(J$20="",I$20,J$20),$B8,1)&gt;SourceEnergy!$N$2,"",INDEX(SourceEnergy!$J:$K,MATCH(DATE(IF(J$20="",I$20,J$20),$B8,1),SourceEnergy!$B:$B,0),MATCH(J$21,SourceEnergy!$J$12:$K$12,0)))</f>
        <v/>
      </c>
      <c r="K23" s="120"/>
      <c r="L23" s="127" t="str">
        <f>IF(DATE(IF(L$20="",K$20,L$20),$B8,1)&gt;SourceEnergy!$N$2,"",INDEX(SourceEnergy!$J:$K,MATCH(DATE(IF(L$20="",K$20,L$20),$B8,1),SourceEnergy!$B:$B,0),MATCH(L$21,SourceEnergy!$J$12:$K$12,0)))</f>
        <v/>
      </c>
      <c r="M23" s="127" t="str">
        <f>IF(DATE(IF(M$20="",L$20,M$20),$B8,1)&gt;SourceEnergy!$N$2,"",INDEX(SourceEnergy!$J:$K,MATCH(DATE(IF(M$20="",L$20,M$20),$B8,1),SourceEnergy!$B:$B,0),MATCH(M$21,SourceEnergy!$J$12:$K$12,0)))</f>
        <v/>
      </c>
      <c r="N23" s="120"/>
      <c r="O23" s="127" t="str">
        <f>IF(DATE(IF(O$20="",N$20,O$20),$B8,1)&gt;SourceEnergy!$N$2,"",INDEX(SourceEnergy!$J:$K,MATCH(DATE(IF(O$20="",N$20,O$20),$B8,1),SourceEnergy!$B:$B,0),MATCH(O$21,SourceEnergy!$J$12:$K$12,0)))</f>
        <v/>
      </c>
      <c r="P23" s="127" t="str">
        <f>IF(DATE(IF(P$20="",O$20,P$20),$B8,1)&gt;SourceEnergy!$N$2,"",INDEX(SourceEnergy!$J:$K,MATCH(DATE(IF(P$20="",O$20,P$20),$B8,1),SourceEnergy!$B:$B,0),MATCH(P$21,SourceEnergy!$J$12:$K$12,0)))</f>
        <v/>
      </c>
      <c r="Q23" s="120"/>
      <c r="R23" s="127" t="str">
        <f>IF(DATE(IF(R$20="",Q$20,R$20),$B8,1)&gt;SourceEnergy!$N$2,"",INDEX(SourceEnergy!$J:$K,MATCH(DATE(IF(R$20="",Q$20,R$20),$B8,1),SourceEnergy!$B:$B,0),MATCH(R$21,SourceEnergy!$J$12:$K$12,0)))</f>
        <v/>
      </c>
      <c r="S23" s="127" t="str">
        <f>IF(DATE(IF(S$20="",R$20,S$20),$B8,1)&gt;SourceEnergy!$N$2,"",INDEX(SourceEnergy!$J:$K,MATCH(DATE(IF(S$20="",R$20,S$20),$B8,1),SourceEnergy!$B:$B,0),MATCH(S$21,SourceEnergy!$J$12:$K$12,0)))</f>
        <v/>
      </c>
    </row>
    <row r="24" spans="2:19" x14ac:dyDescent="0.2">
      <c r="B24" s="125">
        <f t="shared" si="1"/>
        <v>3</v>
      </c>
      <c r="D24" s="126" t="s">
        <v>58</v>
      </c>
      <c r="E24" s="120"/>
      <c r="F24" s="127" t="str">
        <f>IF(DATE(IF(F$20="",E$20,F$20),$B9,1)&gt;SourceEnergy!$N$2,"",INDEX(SourceEnergy!$J:$K,MATCH(DATE(IF(F$20="",E$20,F$20),$B9,1),SourceEnergy!$B:$B,0),MATCH(F$21,SourceEnergy!$J$12:$K$12,0)))</f>
        <v/>
      </c>
      <c r="G24" s="127" t="str">
        <f>IF(DATE(IF(G$20="",F$20,G$20),$B9,1)&gt;SourceEnergy!$N$2,"",INDEX(SourceEnergy!$J:$K,MATCH(DATE(IF(G$20="",F$20,G$20),$B9,1),SourceEnergy!$B:$B,0),MATCH(G$21,SourceEnergy!$J$12:$K$12,0)))</f>
        <v/>
      </c>
      <c r="H24" s="120"/>
      <c r="I24" s="127" t="str">
        <f>IF(DATE(IF(I$20="",H$20,I$20),$B9,1)&gt;SourceEnergy!$N$2,"",INDEX(SourceEnergy!$J:$K,MATCH(DATE(IF(I$20="",H$20,I$20),$B9,1),SourceEnergy!$B:$B,0),MATCH(I$21,SourceEnergy!$J$12:$K$12,0)))</f>
        <v/>
      </c>
      <c r="J24" s="127" t="str">
        <f>IF(DATE(IF(J$20="",I$20,J$20),$B9,1)&gt;SourceEnergy!$N$2,"",INDEX(SourceEnergy!$J:$K,MATCH(DATE(IF(J$20="",I$20,J$20),$B9,1),SourceEnergy!$B:$B,0),MATCH(J$21,SourceEnergy!$J$12:$K$12,0)))</f>
        <v/>
      </c>
      <c r="K24" s="120"/>
      <c r="L24" s="127" t="str">
        <f>IF(DATE(IF(L$20="",K$20,L$20),$B9,1)&gt;SourceEnergy!$N$2,"",INDEX(SourceEnergy!$J:$K,MATCH(DATE(IF(L$20="",K$20,L$20),$B9,1),SourceEnergy!$B:$B,0),MATCH(L$21,SourceEnergy!$J$12:$K$12,0)))</f>
        <v/>
      </c>
      <c r="M24" s="127" t="str">
        <f>IF(DATE(IF(M$20="",L$20,M$20),$B9,1)&gt;SourceEnergy!$N$2,"",INDEX(SourceEnergy!$J:$K,MATCH(DATE(IF(M$20="",L$20,M$20),$B9,1),SourceEnergy!$B:$B,0),MATCH(M$21,SourceEnergy!$J$12:$K$12,0)))</f>
        <v/>
      </c>
      <c r="N24" s="120"/>
      <c r="O24" s="127" t="str">
        <f>IF(DATE(IF(O$20="",N$20,O$20),$B9,1)&gt;SourceEnergy!$N$2,"",INDEX(SourceEnergy!$J:$K,MATCH(DATE(IF(O$20="",N$20,O$20),$B9,1),SourceEnergy!$B:$B,0),MATCH(O$21,SourceEnergy!$J$12:$K$12,0)))</f>
        <v/>
      </c>
      <c r="P24" s="127" t="str">
        <f>IF(DATE(IF(P$20="",O$20,P$20),$B9,1)&gt;SourceEnergy!$N$2,"",INDEX(SourceEnergy!$J:$K,MATCH(DATE(IF(P$20="",O$20,P$20),$B9,1),SourceEnergy!$B:$B,0),MATCH(P$21,SourceEnergy!$J$12:$K$12,0)))</f>
        <v/>
      </c>
      <c r="Q24" s="120"/>
      <c r="R24" s="127" t="str">
        <f>IF(DATE(IF(R$20="",Q$20,R$20),$B9,1)&gt;SourceEnergy!$N$2,"",INDEX(SourceEnergy!$J:$K,MATCH(DATE(IF(R$20="",Q$20,R$20),$B9,1),SourceEnergy!$B:$B,0),MATCH(R$21,SourceEnergy!$J$12:$K$12,0)))</f>
        <v/>
      </c>
      <c r="S24" s="127" t="str">
        <f>IF(DATE(IF(S$20="",R$20,S$20),$B9,1)&gt;SourceEnergy!$N$2,"",INDEX(SourceEnergy!$J:$K,MATCH(DATE(IF(S$20="",R$20,S$20),$B9,1),SourceEnergy!$B:$B,0),MATCH(S$21,SourceEnergy!$J$12:$K$12,0)))</f>
        <v/>
      </c>
    </row>
    <row r="25" spans="2:19" x14ac:dyDescent="0.2">
      <c r="B25" s="125">
        <f t="shared" si="1"/>
        <v>4</v>
      </c>
      <c r="D25" s="126" t="s">
        <v>59</v>
      </c>
      <c r="E25" s="120"/>
      <c r="F25" s="127" t="str">
        <f>IF(DATE(IF(F$20="",E$20,F$20),$B10,1)&gt;SourceEnergy!$N$2,"",INDEX(SourceEnergy!$J:$K,MATCH(DATE(IF(F$20="",E$20,F$20),$B10,1),SourceEnergy!$B:$B,0),MATCH(F$21,SourceEnergy!$J$12:$K$12,0)))</f>
        <v/>
      </c>
      <c r="G25" s="127" t="str">
        <f>IF(DATE(IF(G$20="",F$20,G$20),$B10,1)&gt;SourceEnergy!$N$2,"",INDEX(SourceEnergy!$J:$K,MATCH(DATE(IF(G$20="",F$20,G$20),$B10,1),SourceEnergy!$B:$B,0),MATCH(G$21,SourceEnergy!$J$12:$K$12,0)))</f>
        <v/>
      </c>
      <c r="H25" s="120"/>
      <c r="I25" s="127" t="str">
        <f>IF(DATE(IF(I$20="",H$20,I$20),$B10,1)&gt;SourceEnergy!$N$2,"",INDEX(SourceEnergy!$J:$K,MATCH(DATE(IF(I$20="",H$20,I$20),$B10,1),SourceEnergy!$B:$B,0),MATCH(I$21,SourceEnergy!$J$12:$K$12,0)))</f>
        <v/>
      </c>
      <c r="J25" s="127" t="str">
        <f>IF(DATE(IF(J$20="",I$20,J$20),$B10,1)&gt;SourceEnergy!$N$2,"",INDEX(SourceEnergy!$J:$K,MATCH(DATE(IF(J$20="",I$20,J$20),$B10,1),SourceEnergy!$B:$B,0),MATCH(J$21,SourceEnergy!$J$12:$K$12,0)))</f>
        <v/>
      </c>
      <c r="K25" s="120"/>
      <c r="L25" s="127" t="str">
        <f>IF(DATE(IF(L$20="",K$20,L$20),$B10,1)&gt;SourceEnergy!$N$2,"",INDEX(SourceEnergy!$J:$K,MATCH(DATE(IF(L$20="",K$20,L$20),$B10,1),SourceEnergy!$B:$B,0),MATCH(L$21,SourceEnergy!$J$12:$K$12,0)))</f>
        <v/>
      </c>
      <c r="M25" s="127" t="str">
        <f>IF(DATE(IF(M$20="",L$20,M$20),$B10,1)&gt;SourceEnergy!$N$2,"",INDEX(SourceEnergy!$J:$K,MATCH(DATE(IF(M$20="",L$20,M$20),$B10,1),SourceEnergy!$B:$B,0),MATCH(M$21,SourceEnergy!$J$12:$K$12,0)))</f>
        <v/>
      </c>
      <c r="N25" s="120"/>
      <c r="O25" s="127" t="str">
        <f>IF(DATE(IF(O$20="",N$20,O$20),$B10,1)&gt;SourceEnergy!$N$2,"",INDEX(SourceEnergy!$J:$K,MATCH(DATE(IF(O$20="",N$20,O$20),$B10,1),SourceEnergy!$B:$B,0),MATCH(O$21,SourceEnergy!$J$12:$K$12,0)))</f>
        <v/>
      </c>
      <c r="P25" s="127" t="str">
        <f>IF(DATE(IF(P$20="",O$20,P$20),$B10,1)&gt;SourceEnergy!$N$2,"",INDEX(SourceEnergy!$J:$K,MATCH(DATE(IF(P$20="",O$20,P$20),$B10,1),SourceEnergy!$B:$B,0),MATCH(P$21,SourceEnergy!$J$12:$K$12,0)))</f>
        <v/>
      </c>
      <c r="Q25" s="120"/>
      <c r="R25" s="127" t="str">
        <f>IF(DATE(IF(R$20="",Q$20,R$20),$B10,1)&gt;SourceEnergy!$N$2,"",INDEX(SourceEnergy!$J:$K,MATCH(DATE(IF(R$20="",Q$20,R$20),$B10,1),SourceEnergy!$B:$B,0),MATCH(R$21,SourceEnergy!$J$12:$K$12,0)))</f>
        <v/>
      </c>
      <c r="S25" s="127" t="str">
        <f>IF(DATE(IF(S$20="",R$20,S$20),$B10,1)&gt;SourceEnergy!$N$2,"",INDEX(SourceEnergy!$J:$K,MATCH(DATE(IF(S$20="",R$20,S$20),$B10,1),SourceEnergy!$B:$B,0),MATCH(S$21,SourceEnergy!$J$12:$K$12,0)))</f>
        <v/>
      </c>
    </row>
    <row r="26" spans="2:19" x14ac:dyDescent="0.2">
      <c r="B26" s="125">
        <f t="shared" si="1"/>
        <v>5</v>
      </c>
      <c r="D26" s="126" t="s">
        <v>56</v>
      </c>
      <c r="E26" s="120"/>
      <c r="F26" s="127" t="str">
        <f>IF(DATE(IF(F$20="",E$20,F$20),$B11,1)&gt;SourceEnergy!$N$2,"",INDEX(SourceEnergy!$J:$K,MATCH(DATE(IF(F$20="",E$20,F$20),$B11,1),SourceEnergy!$B:$B,0),MATCH(F$21,SourceEnergy!$J$12:$K$12,0)))</f>
        <v/>
      </c>
      <c r="G26" s="127" t="str">
        <f>IF(DATE(IF(G$20="",F$20,G$20),$B11,1)&gt;SourceEnergy!$N$2,"",INDEX(SourceEnergy!$J:$K,MATCH(DATE(IF(G$20="",F$20,G$20),$B11,1),SourceEnergy!$B:$B,0),MATCH(G$21,SourceEnergy!$J$12:$K$12,0)))</f>
        <v/>
      </c>
      <c r="H26" s="120"/>
      <c r="I26" s="127" t="str">
        <f>IF(DATE(IF(I$20="",H$20,I$20),$B11,1)&gt;SourceEnergy!$N$2,"",INDEX(SourceEnergy!$J:$K,MATCH(DATE(IF(I$20="",H$20,I$20),$B11,1),SourceEnergy!$B:$B,0),MATCH(I$21,SourceEnergy!$J$12:$K$12,0)))</f>
        <v/>
      </c>
      <c r="J26" s="127" t="str">
        <f>IF(DATE(IF(J$20="",I$20,J$20),$B11,1)&gt;SourceEnergy!$N$2,"",INDEX(SourceEnergy!$J:$K,MATCH(DATE(IF(J$20="",I$20,J$20),$B11,1),SourceEnergy!$B:$B,0),MATCH(J$21,SourceEnergy!$J$12:$K$12,0)))</f>
        <v/>
      </c>
      <c r="K26" s="120"/>
      <c r="L26" s="127" t="str">
        <f>IF(DATE(IF(L$20="",K$20,L$20),$B11,1)&gt;SourceEnergy!$N$2,"",INDEX(SourceEnergy!$J:$K,MATCH(DATE(IF(L$20="",K$20,L$20),$B11,1),SourceEnergy!$B:$B,0),MATCH(L$21,SourceEnergy!$J$12:$K$12,0)))</f>
        <v/>
      </c>
      <c r="M26" s="127" t="str">
        <f>IF(DATE(IF(M$20="",L$20,M$20),$B11,1)&gt;SourceEnergy!$N$2,"",INDEX(SourceEnergy!$J:$K,MATCH(DATE(IF(M$20="",L$20,M$20),$B11,1),SourceEnergy!$B:$B,0),MATCH(M$21,SourceEnergy!$J$12:$K$12,0)))</f>
        <v/>
      </c>
      <c r="N26" s="120"/>
      <c r="O26" s="127" t="str">
        <f>IF(DATE(IF(O$20="",N$20,O$20),$B11,1)&gt;SourceEnergy!$N$2,"",INDEX(SourceEnergy!$J:$K,MATCH(DATE(IF(O$20="",N$20,O$20),$B11,1),SourceEnergy!$B:$B,0),MATCH(O$21,SourceEnergy!$J$12:$K$12,0)))</f>
        <v/>
      </c>
      <c r="P26" s="127" t="str">
        <f>IF(DATE(IF(P$20="",O$20,P$20),$B11,1)&gt;SourceEnergy!$N$2,"",INDEX(SourceEnergy!$J:$K,MATCH(DATE(IF(P$20="",O$20,P$20),$B11,1),SourceEnergy!$B:$B,0),MATCH(P$21,SourceEnergy!$J$12:$K$12,0)))</f>
        <v/>
      </c>
      <c r="Q26" s="120"/>
      <c r="R26" s="127" t="str">
        <f>IF(DATE(IF(R$20="",Q$20,R$20),$B11,1)&gt;SourceEnergy!$N$2,"",INDEX(SourceEnergy!$J:$K,MATCH(DATE(IF(R$20="",Q$20,R$20),$B11,1),SourceEnergy!$B:$B,0),MATCH(R$21,SourceEnergy!$J$12:$K$12,0)))</f>
        <v/>
      </c>
      <c r="S26" s="127" t="str">
        <f>IF(DATE(IF(S$20="",R$20,S$20),$B11,1)&gt;SourceEnergy!$N$2,"",INDEX(SourceEnergy!$J:$K,MATCH(DATE(IF(S$20="",R$20,S$20),$B11,1),SourceEnergy!$B:$B,0),MATCH(S$21,SourceEnergy!$J$12:$K$12,0)))</f>
        <v/>
      </c>
    </row>
    <row r="27" spans="2:19" x14ac:dyDescent="0.2">
      <c r="B27" s="125">
        <f t="shared" si="1"/>
        <v>6</v>
      </c>
      <c r="D27" s="126" t="s">
        <v>60</v>
      </c>
      <c r="E27" s="120"/>
      <c r="F27" s="127" t="str">
        <f>IF(DATE(IF(F$20="",E$20,F$20),$B12,1)&gt;SourceEnergy!$N$2,"",INDEX(SourceEnergy!$J:$K,MATCH(DATE(IF(F$20="",E$20,F$20),$B12,1),SourceEnergy!$B:$B,0),MATCH(F$21,SourceEnergy!$J$12:$K$12,0)))</f>
        <v/>
      </c>
      <c r="G27" s="127" t="str">
        <f>IF(DATE(IF(G$20="",F$20,G$20),$B12,1)&gt;SourceEnergy!$N$2,"",INDEX(SourceEnergy!$J:$K,MATCH(DATE(IF(G$20="",F$20,G$20),$B12,1),SourceEnergy!$B:$B,0),MATCH(G$21,SourceEnergy!$J$12:$K$12,0)))</f>
        <v/>
      </c>
      <c r="H27" s="120"/>
      <c r="I27" s="127" t="str">
        <f>IF(DATE(IF(I$20="",H$20,I$20),$B12,1)&gt;SourceEnergy!$N$2,"",INDEX(SourceEnergy!$J:$K,MATCH(DATE(IF(I$20="",H$20,I$20),$B12,1),SourceEnergy!$B:$B,0),MATCH(I$21,SourceEnergy!$J$12:$K$12,0)))</f>
        <v/>
      </c>
      <c r="J27" s="127" t="str">
        <f>IF(DATE(IF(J$20="",I$20,J$20),$B12,1)&gt;SourceEnergy!$N$2,"",INDEX(SourceEnergy!$J:$K,MATCH(DATE(IF(J$20="",I$20,J$20),$B12,1),SourceEnergy!$B:$B,0),MATCH(J$21,SourceEnergy!$J$12:$K$12,0)))</f>
        <v/>
      </c>
      <c r="K27" s="120"/>
      <c r="L27" s="127" t="str">
        <f>IF(DATE(IF(L$20="",K$20,L$20),$B12,1)&gt;SourceEnergy!$N$2,"",INDEX(SourceEnergy!$J:$K,MATCH(DATE(IF(L$20="",K$20,L$20),$B12,1),SourceEnergy!$B:$B,0),MATCH(L$21,SourceEnergy!$J$12:$K$12,0)))</f>
        <v/>
      </c>
      <c r="M27" s="127" t="str">
        <f>IF(DATE(IF(M$20="",L$20,M$20),$B12,1)&gt;SourceEnergy!$N$2,"",INDEX(SourceEnergy!$J:$K,MATCH(DATE(IF(M$20="",L$20,M$20),$B12,1),SourceEnergy!$B:$B,0),MATCH(M$21,SourceEnergy!$J$12:$K$12,0)))</f>
        <v/>
      </c>
      <c r="N27" s="120"/>
      <c r="O27" s="127" t="str">
        <f>IF(DATE(IF(O$20="",N$20,O$20),$B12,1)&gt;SourceEnergy!$N$2,"",INDEX(SourceEnergy!$J:$K,MATCH(DATE(IF(O$20="",N$20,O$20),$B12,1),SourceEnergy!$B:$B,0),MATCH(O$21,SourceEnergy!$J$12:$K$12,0)))</f>
        <v/>
      </c>
      <c r="P27" s="127" t="str">
        <f>IF(DATE(IF(P$20="",O$20,P$20),$B12,1)&gt;SourceEnergy!$N$2,"",INDEX(SourceEnergy!$J:$K,MATCH(DATE(IF(P$20="",O$20,P$20),$B12,1),SourceEnergy!$B:$B,0),MATCH(P$21,SourceEnergy!$J$12:$K$12,0)))</f>
        <v/>
      </c>
      <c r="Q27" s="120"/>
      <c r="R27" s="127" t="str">
        <f>IF(DATE(IF(R$20="",Q$20,R$20),$B12,1)&gt;SourceEnergy!$N$2,"",INDEX(SourceEnergy!$J:$K,MATCH(DATE(IF(R$20="",Q$20,R$20),$B12,1),SourceEnergy!$B:$B,0),MATCH(R$21,SourceEnergy!$J$12:$K$12,0)))</f>
        <v/>
      </c>
      <c r="S27" s="127" t="str">
        <f>IF(DATE(IF(S$20="",R$20,S$20),$B12,1)&gt;SourceEnergy!$N$2,"",INDEX(SourceEnergy!$J:$K,MATCH(DATE(IF(S$20="",R$20,S$20),$B12,1),SourceEnergy!$B:$B,0),MATCH(S$21,SourceEnergy!$J$12:$K$12,0)))</f>
        <v/>
      </c>
    </row>
    <row r="28" spans="2:19" x14ac:dyDescent="0.2">
      <c r="B28" s="125">
        <f t="shared" si="1"/>
        <v>7</v>
      </c>
      <c r="D28" s="126" t="s">
        <v>61</v>
      </c>
      <c r="E28" s="120"/>
      <c r="F28" s="127" t="str">
        <f>IF(DATE(IF(F$20="",E$20,F$20),$B13,1)&gt;SourceEnergy!$N$2,"",INDEX(SourceEnergy!$J:$K,MATCH(DATE(IF(F$20="",E$20,F$20),$B13,1),SourceEnergy!$B:$B,0),MATCH(F$21,SourceEnergy!$J$12:$K$12,0)))</f>
        <v/>
      </c>
      <c r="G28" s="127" t="str">
        <f>IF(DATE(IF(G$20="",F$20,G$20),$B13,1)&gt;SourceEnergy!$N$2,"",INDEX(SourceEnergy!$J:$K,MATCH(DATE(IF(G$20="",F$20,G$20),$B13,1),SourceEnergy!$B:$B,0),MATCH(G$21,SourceEnergy!$J$12:$K$12,0)))</f>
        <v/>
      </c>
      <c r="H28" s="120"/>
      <c r="I28" s="127" t="str">
        <f>IF(DATE(IF(I$20="",H$20,I$20),$B13,1)&gt;SourceEnergy!$N$2,"",INDEX(SourceEnergy!$J:$K,MATCH(DATE(IF(I$20="",H$20,I$20),$B13,1),SourceEnergy!$B:$B,0),MATCH(I$21,SourceEnergy!$J$12:$K$12,0)))</f>
        <v/>
      </c>
      <c r="J28" s="127" t="str">
        <f>IF(DATE(IF(J$20="",I$20,J$20),$B13,1)&gt;SourceEnergy!$N$2,"",INDEX(SourceEnergy!$J:$K,MATCH(DATE(IF(J$20="",I$20,J$20),$B13,1),SourceEnergy!$B:$B,0),MATCH(J$21,SourceEnergy!$J$12:$K$12,0)))</f>
        <v/>
      </c>
      <c r="K28" s="120"/>
      <c r="L28" s="127" t="str">
        <f>IF(DATE(IF(L$20="",K$20,L$20),$B13,1)&gt;SourceEnergy!$N$2,"",INDEX(SourceEnergy!$J:$K,MATCH(DATE(IF(L$20="",K$20,L$20),$B13,1),SourceEnergy!$B:$B,0),MATCH(L$21,SourceEnergy!$J$12:$K$12,0)))</f>
        <v/>
      </c>
      <c r="M28" s="127" t="str">
        <f>IF(DATE(IF(M$20="",L$20,M$20),$B13,1)&gt;SourceEnergy!$N$2,"",INDEX(SourceEnergy!$J:$K,MATCH(DATE(IF(M$20="",L$20,M$20),$B13,1),SourceEnergy!$B:$B,0),MATCH(M$21,SourceEnergy!$J$12:$K$12,0)))</f>
        <v/>
      </c>
      <c r="N28" s="120"/>
      <c r="O28" s="127" t="str">
        <f>IF(DATE(IF(O$20="",N$20,O$20),$B13,1)&gt;SourceEnergy!$N$2,"",INDEX(SourceEnergy!$J:$K,MATCH(DATE(IF(O$20="",N$20,O$20),$B13,1),SourceEnergy!$B:$B,0),MATCH(O$21,SourceEnergy!$J$12:$K$12,0)))</f>
        <v/>
      </c>
      <c r="P28" s="127" t="str">
        <f>IF(DATE(IF(P$20="",O$20,P$20),$B13,1)&gt;SourceEnergy!$N$2,"",INDEX(SourceEnergy!$J:$K,MATCH(DATE(IF(P$20="",O$20,P$20),$B13,1),SourceEnergy!$B:$B,0),MATCH(P$21,SourceEnergy!$J$12:$K$12,0)))</f>
        <v/>
      </c>
      <c r="Q28" s="120"/>
      <c r="R28" s="127" t="str">
        <f>IF(DATE(IF(R$20="",Q$20,R$20),$B13,1)&gt;SourceEnergy!$N$2,"",INDEX(SourceEnergy!$J:$K,MATCH(DATE(IF(R$20="",Q$20,R$20),$B13,1),SourceEnergy!$B:$B,0),MATCH(R$21,SourceEnergy!$J$12:$K$12,0)))</f>
        <v/>
      </c>
      <c r="S28" s="127" t="str">
        <f>IF(DATE(IF(S$20="",R$20,S$20),$B13,1)&gt;SourceEnergy!$N$2,"",INDEX(SourceEnergy!$J:$K,MATCH(DATE(IF(S$20="",R$20,S$20),$B13,1),SourceEnergy!$B:$B,0),MATCH(S$21,SourceEnergy!$J$12:$K$12,0)))</f>
        <v/>
      </c>
    </row>
    <row r="29" spans="2:19" x14ac:dyDescent="0.2">
      <c r="B29" s="125">
        <f t="shared" si="1"/>
        <v>8</v>
      </c>
      <c r="D29" s="126" t="s">
        <v>62</v>
      </c>
      <c r="E29" s="120"/>
      <c r="F29" s="127" t="str">
        <f>IF(DATE(IF(F$20="",E$20,F$20),$B14,1)&gt;SourceEnergy!$N$2,"",INDEX(SourceEnergy!$J:$K,MATCH(DATE(IF(F$20="",E$20,F$20),$B14,1),SourceEnergy!$B:$B,0),MATCH(F$21,SourceEnergy!$J$12:$K$12,0)))</f>
        <v/>
      </c>
      <c r="G29" s="127" t="str">
        <f>IF(DATE(IF(G$20="",F$20,G$20),$B14,1)&gt;SourceEnergy!$N$2,"",INDEX(SourceEnergy!$J:$K,MATCH(DATE(IF(G$20="",F$20,G$20),$B14,1),SourceEnergy!$B:$B,0),MATCH(G$21,SourceEnergy!$J$12:$K$12,0)))</f>
        <v/>
      </c>
      <c r="H29" s="120"/>
      <c r="I29" s="127" t="str">
        <f>IF(DATE(IF(I$20="",H$20,I$20),$B14,1)&gt;SourceEnergy!$N$2,"",INDEX(SourceEnergy!$J:$K,MATCH(DATE(IF(I$20="",H$20,I$20),$B14,1),SourceEnergy!$B:$B,0),MATCH(I$21,SourceEnergy!$J$12:$K$12,0)))</f>
        <v/>
      </c>
      <c r="J29" s="127" t="str">
        <f>IF(DATE(IF(J$20="",I$20,J$20),$B14,1)&gt;SourceEnergy!$N$2,"",INDEX(SourceEnergy!$J:$K,MATCH(DATE(IF(J$20="",I$20,J$20),$B14,1),SourceEnergy!$B:$B,0),MATCH(J$21,SourceEnergy!$J$12:$K$12,0)))</f>
        <v/>
      </c>
      <c r="K29" s="120"/>
      <c r="L29" s="127" t="str">
        <f>IF(DATE(IF(L$20="",K$20,L$20),$B14,1)&gt;SourceEnergy!$N$2,"",INDEX(SourceEnergy!$J:$K,MATCH(DATE(IF(L$20="",K$20,L$20),$B14,1),SourceEnergy!$B:$B,0),MATCH(L$21,SourceEnergy!$J$12:$K$12,0)))</f>
        <v/>
      </c>
      <c r="M29" s="127" t="str">
        <f>IF(DATE(IF(M$20="",L$20,M$20),$B14,1)&gt;SourceEnergy!$N$2,"",INDEX(SourceEnergy!$J:$K,MATCH(DATE(IF(M$20="",L$20,M$20),$B14,1),SourceEnergy!$B:$B,0),MATCH(M$21,SourceEnergy!$J$12:$K$12,0)))</f>
        <v/>
      </c>
      <c r="N29" s="120"/>
      <c r="O29" s="127" t="str">
        <f>IF(DATE(IF(O$20="",N$20,O$20),$B14,1)&gt;SourceEnergy!$N$2,"",INDEX(SourceEnergy!$J:$K,MATCH(DATE(IF(O$20="",N$20,O$20),$B14,1),SourceEnergy!$B:$B,0),MATCH(O$21,SourceEnergy!$J$12:$K$12,0)))</f>
        <v/>
      </c>
      <c r="P29" s="127" t="str">
        <f>IF(DATE(IF(P$20="",O$20,P$20),$B14,1)&gt;SourceEnergy!$N$2,"",INDEX(SourceEnergy!$J:$K,MATCH(DATE(IF(P$20="",O$20,P$20),$B14,1),SourceEnergy!$B:$B,0),MATCH(P$21,SourceEnergy!$J$12:$K$12,0)))</f>
        <v/>
      </c>
      <c r="Q29" s="120"/>
      <c r="R29" s="127" t="str">
        <f>IF(DATE(IF(R$20="",Q$20,R$20),$B14,1)&gt;SourceEnergy!$N$2,"",INDEX(SourceEnergy!$J:$K,MATCH(DATE(IF(R$20="",Q$20,R$20),$B14,1),SourceEnergy!$B:$B,0),MATCH(R$21,SourceEnergy!$J$12:$K$12,0)))</f>
        <v/>
      </c>
      <c r="S29" s="127" t="str">
        <f>IF(DATE(IF(S$20="",R$20,S$20),$B14,1)&gt;SourceEnergy!$N$2,"",INDEX(SourceEnergy!$J:$K,MATCH(DATE(IF(S$20="",R$20,S$20),$B14,1),SourceEnergy!$B:$B,0),MATCH(S$21,SourceEnergy!$J$12:$K$12,0)))</f>
        <v/>
      </c>
    </row>
    <row r="30" spans="2:19" x14ac:dyDescent="0.2">
      <c r="B30" s="125">
        <f t="shared" si="1"/>
        <v>9</v>
      </c>
      <c r="D30" s="126" t="s">
        <v>63</v>
      </c>
      <c r="E30" s="120"/>
      <c r="F30" s="127" t="str">
        <f>IF(DATE(IF(F$20="",E$20,F$20),$B15,1)&gt;SourceEnergy!$N$2,"",INDEX(SourceEnergy!$J:$K,MATCH(DATE(IF(F$20="",E$20,F$20),$B15,1),SourceEnergy!$B:$B,0),MATCH(F$21,SourceEnergy!$J$12:$K$12,0)))</f>
        <v/>
      </c>
      <c r="G30" s="127" t="str">
        <f>IF(DATE(IF(G$20="",F$20,G$20),$B15,1)&gt;SourceEnergy!$N$2,"",INDEX(SourceEnergy!$J:$K,MATCH(DATE(IF(G$20="",F$20,G$20),$B15,1),SourceEnergy!$B:$B,0),MATCH(G$21,SourceEnergy!$J$12:$K$12,0)))</f>
        <v/>
      </c>
      <c r="H30" s="120"/>
      <c r="I30" s="127" t="str">
        <f>IF(DATE(IF(I$20="",H$20,I$20),$B15,1)&gt;SourceEnergy!$N$2,"",INDEX(SourceEnergy!$J:$K,MATCH(DATE(IF(I$20="",H$20,I$20),$B15,1),SourceEnergy!$B:$B,0),MATCH(I$21,SourceEnergy!$J$12:$K$12,0)))</f>
        <v/>
      </c>
      <c r="J30" s="127" t="str">
        <f>IF(DATE(IF(J$20="",I$20,J$20),$B15,1)&gt;SourceEnergy!$N$2,"",INDEX(SourceEnergy!$J:$K,MATCH(DATE(IF(J$20="",I$20,J$20),$B15,1),SourceEnergy!$B:$B,0),MATCH(J$21,SourceEnergy!$J$12:$K$12,0)))</f>
        <v/>
      </c>
      <c r="K30" s="120"/>
      <c r="L30" s="127" t="str">
        <f>IF(DATE(IF(L$20="",K$20,L$20),$B15,1)&gt;SourceEnergy!$N$2,"",INDEX(SourceEnergy!$J:$K,MATCH(DATE(IF(L$20="",K$20,L$20),$B15,1),SourceEnergy!$B:$B,0),MATCH(L$21,SourceEnergy!$J$12:$K$12,0)))</f>
        <v/>
      </c>
      <c r="M30" s="127" t="str">
        <f>IF(DATE(IF(M$20="",L$20,M$20),$B15,1)&gt;SourceEnergy!$N$2,"",INDEX(SourceEnergy!$J:$K,MATCH(DATE(IF(M$20="",L$20,M$20),$B15,1),SourceEnergy!$B:$B,0),MATCH(M$21,SourceEnergy!$J$12:$K$12,0)))</f>
        <v/>
      </c>
      <c r="N30" s="120"/>
      <c r="O30" s="127" t="str">
        <f>IF(DATE(IF(O$20="",N$20,O$20),$B15,1)&gt;SourceEnergy!$N$2,"",INDEX(SourceEnergy!$J:$K,MATCH(DATE(IF(O$20="",N$20,O$20),$B15,1),SourceEnergy!$B:$B,0),MATCH(O$21,SourceEnergy!$J$12:$K$12,0)))</f>
        <v/>
      </c>
      <c r="P30" s="127" t="str">
        <f>IF(DATE(IF(P$20="",O$20,P$20),$B15,1)&gt;SourceEnergy!$N$2,"",INDEX(SourceEnergy!$J:$K,MATCH(DATE(IF(P$20="",O$20,P$20),$B15,1),SourceEnergy!$B:$B,0),MATCH(P$21,SourceEnergy!$J$12:$K$12,0)))</f>
        <v/>
      </c>
      <c r="Q30" s="120"/>
      <c r="R30" s="127" t="str">
        <f>IF(DATE(IF(R$20="",Q$20,R$20),$B15,1)&gt;SourceEnergy!$N$2,"",INDEX(SourceEnergy!$J:$K,MATCH(DATE(IF(R$20="",Q$20,R$20),$B15,1),SourceEnergy!$B:$B,0),MATCH(R$21,SourceEnergy!$J$12:$K$12,0)))</f>
        <v/>
      </c>
      <c r="S30" s="127" t="str">
        <f>IF(DATE(IF(S$20="",R$20,S$20),$B15,1)&gt;SourceEnergy!$N$2,"",INDEX(SourceEnergy!$J:$K,MATCH(DATE(IF(S$20="",R$20,S$20),$B15,1),SourceEnergy!$B:$B,0),MATCH(S$21,SourceEnergy!$J$12:$K$12,0)))</f>
        <v/>
      </c>
    </row>
    <row r="31" spans="2:19" x14ac:dyDescent="0.2">
      <c r="B31" s="125">
        <f t="shared" si="1"/>
        <v>10</v>
      </c>
      <c r="D31" s="126" t="s">
        <v>64</v>
      </c>
      <c r="E31" s="120"/>
      <c r="F31" s="127" t="str">
        <f>IF(DATE(IF(F$20="",E$20,F$20),$B16,1)&gt;SourceEnergy!$N$2,"",INDEX(SourceEnergy!$J:$K,MATCH(DATE(IF(F$20="",E$20,F$20),$B16,1),SourceEnergy!$B:$B,0),MATCH(F$21,SourceEnergy!$J$12:$K$12,0)))</f>
        <v/>
      </c>
      <c r="G31" s="127" t="str">
        <f>IF(DATE(IF(G$20="",F$20,G$20),$B16,1)&gt;SourceEnergy!$N$2,"",INDEX(SourceEnergy!$J:$K,MATCH(DATE(IF(G$20="",F$20,G$20),$B16,1),SourceEnergy!$B:$B,0),MATCH(G$21,SourceEnergy!$J$12:$K$12,0)))</f>
        <v/>
      </c>
      <c r="H31" s="120"/>
      <c r="I31" s="127" t="str">
        <f>IF(DATE(IF(I$20="",H$20,I$20),$B16,1)&gt;SourceEnergy!$N$2,"",INDEX(SourceEnergy!$J:$K,MATCH(DATE(IF(I$20="",H$20,I$20),$B16,1),SourceEnergy!$B:$B,0),MATCH(I$21,SourceEnergy!$J$12:$K$12,0)))</f>
        <v/>
      </c>
      <c r="J31" s="127" t="str">
        <f>IF(DATE(IF(J$20="",I$20,J$20),$B16,1)&gt;SourceEnergy!$N$2,"",INDEX(SourceEnergy!$J:$K,MATCH(DATE(IF(J$20="",I$20,J$20),$B16,1),SourceEnergy!$B:$B,0),MATCH(J$21,SourceEnergy!$J$12:$K$12,0)))</f>
        <v/>
      </c>
      <c r="K31" s="120"/>
      <c r="L31" s="127" t="str">
        <f>IF(DATE(IF(L$20="",K$20,L$20),$B16,1)&gt;SourceEnergy!$N$2,"",INDEX(SourceEnergy!$J:$K,MATCH(DATE(IF(L$20="",K$20,L$20),$B16,1),SourceEnergy!$B:$B,0),MATCH(L$21,SourceEnergy!$J$12:$K$12,0)))</f>
        <v/>
      </c>
      <c r="M31" s="127" t="str">
        <f>IF(DATE(IF(M$20="",L$20,M$20),$B16,1)&gt;SourceEnergy!$N$2,"",INDEX(SourceEnergy!$J:$K,MATCH(DATE(IF(M$20="",L$20,M$20),$B16,1),SourceEnergy!$B:$B,0),MATCH(M$21,SourceEnergy!$J$12:$K$12,0)))</f>
        <v/>
      </c>
      <c r="N31" s="120"/>
      <c r="O31" s="127" t="str">
        <f>IF(DATE(IF(O$20="",N$20,O$20),$B16,1)&gt;SourceEnergy!$N$2,"",INDEX(SourceEnergy!$J:$K,MATCH(DATE(IF(O$20="",N$20,O$20),$B16,1),SourceEnergy!$B:$B,0),MATCH(O$21,SourceEnergy!$J$12:$K$12,0)))</f>
        <v/>
      </c>
      <c r="P31" s="127" t="str">
        <f>IF(DATE(IF(P$20="",O$20,P$20),$B16,1)&gt;SourceEnergy!$N$2,"",INDEX(SourceEnergy!$J:$K,MATCH(DATE(IF(P$20="",O$20,P$20),$B16,1),SourceEnergy!$B:$B,0),MATCH(P$21,SourceEnergy!$J$12:$K$12,0)))</f>
        <v/>
      </c>
      <c r="Q31" s="120"/>
      <c r="R31" s="127" t="str">
        <f>IF(DATE(IF(R$20="",Q$20,R$20),$B16,1)&gt;SourceEnergy!$N$2,"",INDEX(SourceEnergy!$J:$K,MATCH(DATE(IF(R$20="",Q$20,R$20),$B16,1),SourceEnergy!$B:$B,0),MATCH(R$21,SourceEnergy!$J$12:$K$12,0)))</f>
        <v/>
      </c>
      <c r="S31" s="127" t="str">
        <f>IF(DATE(IF(S$20="",R$20,S$20),$B16,1)&gt;SourceEnergy!$N$2,"",INDEX(SourceEnergy!$J:$K,MATCH(DATE(IF(S$20="",R$20,S$20),$B16,1),SourceEnergy!$B:$B,0),MATCH(S$21,SourceEnergy!$J$12:$K$12,0)))</f>
        <v/>
      </c>
    </row>
    <row r="32" spans="2:19" x14ac:dyDescent="0.2">
      <c r="B32" s="125">
        <f t="shared" si="1"/>
        <v>11</v>
      </c>
      <c r="D32" s="126" t="s">
        <v>65</v>
      </c>
      <c r="E32" s="120"/>
      <c r="F32" s="127" t="str">
        <f>IF(DATE(IF(F$20="",E$20,F$20),$B17,1)&gt;SourceEnergy!$N$2,"",INDEX(SourceEnergy!$J:$K,MATCH(DATE(IF(F$20="",E$20,F$20),$B17,1),SourceEnergy!$B:$B,0),MATCH(F$21,SourceEnergy!$J$12:$K$12,0)))</f>
        <v/>
      </c>
      <c r="G32" s="127" t="str">
        <f>IF(DATE(IF(G$20="",F$20,G$20),$B17,1)&gt;SourceEnergy!$N$2,"",INDEX(SourceEnergy!$J:$K,MATCH(DATE(IF(G$20="",F$20,G$20),$B17,1),SourceEnergy!$B:$B,0),MATCH(G$21,SourceEnergy!$J$12:$K$12,0)))</f>
        <v/>
      </c>
      <c r="H32" s="120"/>
      <c r="I32" s="127" t="str">
        <f>IF(DATE(IF(I$20="",H$20,I$20),$B17,1)&gt;SourceEnergy!$N$2,"",INDEX(SourceEnergy!$J:$K,MATCH(DATE(IF(I$20="",H$20,I$20),$B17,1),SourceEnergy!$B:$B,0),MATCH(I$21,SourceEnergy!$J$12:$K$12,0)))</f>
        <v/>
      </c>
      <c r="J32" s="127" t="str">
        <f>IF(DATE(IF(J$20="",I$20,J$20),$B17,1)&gt;SourceEnergy!$N$2,"",INDEX(SourceEnergy!$J:$K,MATCH(DATE(IF(J$20="",I$20,J$20),$B17,1),SourceEnergy!$B:$B,0),MATCH(J$21,SourceEnergy!$J$12:$K$12,0)))</f>
        <v/>
      </c>
      <c r="K32" s="120"/>
      <c r="L32" s="127" t="str">
        <f>IF(DATE(IF(L$20="",K$20,L$20),$B17,1)&gt;SourceEnergy!$N$2,"",INDEX(SourceEnergy!$J:$K,MATCH(DATE(IF(L$20="",K$20,L$20),$B17,1),SourceEnergy!$B:$B,0),MATCH(L$21,SourceEnergy!$J$12:$K$12,0)))</f>
        <v/>
      </c>
      <c r="M32" s="127" t="str">
        <f>IF(DATE(IF(M$20="",L$20,M$20),$B17,1)&gt;SourceEnergy!$N$2,"",INDEX(SourceEnergy!$J:$K,MATCH(DATE(IF(M$20="",L$20,M$20),$B17,1),SourceEnergy!$B:$B,0),MATCH(M$21,SourceEnergy!$J$12:$K$12,0)))</f>
        <v/>
      </c>
      <c r="N32" s="120"/>
      <c r="O32" s="127" t="str">
        <f>IF(DATE(IF(O$20="",N$20,O$20),$B17,1)&gt;SourceEnergy!$N$2,"",INDEX(SourceEnergy!$J:$K,MATCH(DATE(IF(O$20="",N$20,O$20),$B17,1),SourceEnergy!$B:$B,0),MATCH(O$21,SourceEnergy!$J$12:$K$12,0)))</f>
        <v/>
      </c>
      <c r="P32" s="127" t="str">
        <f>IF(DATE(IF(P$20="",O$20,P$20),$B17,1)&gt;SourceEnergy!$N$2,"",INDEX(SourceEnergy!$J:$K,MATCH(DATE(IF(P$20="",O$20,P$20),$B17,1),SourceEnergy!$B:$B,0),MATCH(P$21,SourceEnergy!$J$12:$K$12,0)))</f>
        <v/>
      </c>
      <c r="Q32" s="120"/>
      <c r="R32" s="127" t="str">
        <f>IF(DATE(IF(R$20="",Q$20,R$20),$B17,1)&gt;SourceEnergy!$N$2,"",INDEX(SourceEnergy!$J:$K,MATCH(DATE(IF(R$20="",Q$20,R$20),$B17,1),SourceEnergy!$B:$B,0),MATCH(R$21,SourceEnergy!$J$12:$K$12,0)))</f>
        <v/>
      </c>
      <c r="S32" s="127" t="str">
        <f>IF(DATE(IF(S$20="",R$20,S$20),$B17,1)&gt;SourceEnergy!$N$2,"",INDEX(SourceEnergy!$J:$K,MATCH(DATE(IF(S$20="",R$20,S$20),$B17,1),SourceEnergy!$B:$B,0),MATCH(S$21,SourceEnergy!$J$12:$K$12,0)))</f>
        <v/>
      </c>
    </row>
    <row r="33" spans="2:19" x14ac:dyDescent="0.2">
      <c r="B33" s="125">
        <f t="shared" si="1"/>
        <v>12</v>
      </c>
      <c r="D33" s="126" t="s">
        <v>66</v>
      </c>
      <c r="E33" s="120"/>
      <c r="F33" s="127" t="str">
        <f>IF(DATE(IF(F$20="",E$20,F$20),$B18,1)&gt;SourceEnergy!$N$2,"",INDEX(SourceEnergy!$J:$K,MATCH(DATE(IF(F$20="",E$20,F$20),$B18,1),SourceEnergy!$B:$B,0),MATCH(F$21,SourceEnergy!$J$12:$K$12,0)))</f>
        <v/>
      </c>
      <c r="G33" s="127" t="str">
        <f>IF(DATE(IF(G$20="",F$20,G$20),$B18,1)&gt;SourceEnergy!$N$2,"",INDEX(SourceEnergy!$J:$K,MATCH(DATE(IF(G$20="",F$20,G$20),$B18,1),SourceEnergy!$B:$B,0),MATCH(G$21,SourceEnergy!$J$12:$K$12,0)))</f>
        <v/>
      </c>
      <c r="H33" s="120"/>
      <c r="I33" s="127" t="str">
        <f>IF(DATE(IF(I$20="",H$20,I$20),$B18,1)&gt;SourceEnergy!$N$2,"",INDEX(SourceEnergy!$J:$K,MATCH(DATE(IF(I$20="",H$20,I$20),$B18,1),SourceEnergy!$B:$B,0),MATCH(I$21,SourceEnergy!$J$12:$K$12,0)))</f>
        <v/>
      </c>
      <c r="J33" s="127" t="str">
        <f>IF(DATE(IF(J$20="",I$20,J$20),$B18,1)&gt;SourceEnergy!$N$2,"",INDEX(SourceEnergy!$J:$K,MATCH(DATE(IF(J$20="",I$20,J$20),$B18,1),SourceEnergy!$B:$B,0),MATCH(J$21,SourceEnergy!$J$12:$K$12,0)))</f>
        <v/>
      </c>
      <c r="K33" s="120"/>
      <c r="L33" s="127" t="str">
        <f>IF(DATE(IF(L$20="",K$20,L$20),$B18,1)&gt;SourceEnergy!$N$2,"",INDEX(SourceEnergy!$J:$K,MATCH(DATE(IF(L$20="",K$20,L$20),$B18,1),SourceEnergy!$B:$B,0),MATCH(L$21,SourceEnergy!$J$12:$K$12,0)))</f>
        <v/>
      </c>
      <c r="M33" s="127" t="str">
        <f>IF(DATE(IF(M$20="",L$20,M$20),$B18,1)&gt;SourceEnergy!$N$2,"",INDEX(SourceEnergy!$J:$K,MATCH(DATE(IF(M$20="",L$20,M$20),$B18,1),SourceEnergy!$B:$B,0),MATCH(M$21,SourceEnergy!$J$12:$K$12,0)))</f>
        <v/>
      </c>
      <c r="N33" s="120"/>
      <c r="O33" s="127" t="str">
        <f>IF(DATE(IF(O$20="",N$20,O$20),$B18,1)&gt;SourceEnergy!$N$2,"",INDEX(SourceEnergy!$J:$K,MATCH(DATE(IF(O$20="",N$20,O$20),$B18,1),SourceEnergy!$B:$B,0),MATCH(O$21,SourceEnergy!$J$12:$K$12,0)))</f>
        <v/>
      </c>
      <c r="P33" s="127" t="str">
        <f>IF(DATE(IF(P$20="",O$20,P$20),$B18,1)&gt;SourceEnergy!$N$2,"",INDEX(SourceEnergy!$J:$K,MATCH(DATE(IF(P$20="",O$20,P$20),$B18,1),SourceEnergy!$B:$B,0),MATCH(P$21,SourceEnergy!$J$12:$K$12,0)))</f>
        <v/>
      </c>
      <c r="Q33" s="120"/>
      <c r="R33" s="127" t="str">
        <f>IF(DATE(IF(R$20="",Q$20,R$20),$B18,1)&gt;SourceEnergy!$N$2,"",INDEX(SourceEnergy!$J:$K,MATCH(DATE(IF(R$20="",Q$20,R$20),$B18,1),SourceEnergy!$B:$B,0),MATCH(R$21,SourceEnergy!$J$12:$K$12,0)))</f>
        <v/>
      </c>
      <c r="S33" s="127" t="str">
        <f>IF(DATE(IF(S$20="",R$20,S$20),$B18,1)&gt;SourceEnergy!$N$2,"",INDEX(SourceEnergy!$J:$K,MATCH(DATE(IF(S$20="",R$20,S$20),$B18,1),SourceEnergy!$B:$B,0),MATCH(S$21,SourceEnergy!$J$12:$K$12,0)))</f>
        <v/>
      </c>
    </row>
    <row r="34" spans="2:19" x14ac:dyDescent="0.2"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</row>
    <row r="35" spans="2:19" x14ac:dyDescent="0.2">
      <c r="B35" s="121"/>
      <c r="D35" s="122"/>
      <c r="E35" s="120"/>
      <c r="F35" s="85">
        <f>R20+1</f>
        <v>2029</v>
      </c>
      <c r="G35" s="86"/>
      <c r="H35" s="120"/>
      <c r="I35" s="85">
        <f>F35+1</f>
        <v>2030</v>
      </c>
      <c r="J35" s="86"/>
      <c r="K35" s="120"/>
      <c r="L35" s="85">
        <f>I35+1</f>
        <v>2031</v>
      </c>
      <c r="M35" s="86"/>
      <c r="N35" s="120"/>
      <c r="O35" s="85">
        <f>L35+1</f>
        <v>2032</v>
      </c>
      <c r="P35" s="86"/>
      <c r="Q35" s="120"/>
      <c r="R35" s="85">
        <f>O35+1</f>
        <v>2033</v>
      </c>
      <c r="S35" s="86"/>
    </row>
    <row r="36" spans="2:19" x14ac:dyDescent="0.2">
      <c r="B36" s="123" t="s">
        <v>2</v>
      </c>
      <c r="D36" s="124" t="s">
        <v>2</v>
      </c>
      <c r="E36" s="120"/>
      <c r="F36" s="87" t="s">
        <v>9</v>
      </c>
      <c r="G36" s="87" t="s">
        <v>10</v>
      </c>
      <c r="H36" s="120"/>
      <c r="I36" s="87" t="s">
        <v>9</v>
      </c>
      <c r="J36" s="87" t="s">
        <v>10</v>
      </c>
      <c r="K36" s="120"/>
      <c r="L36" s="87" t="s">
        <v>9</v>
      </c>
      <c r="M36" s="87" t="s">
        <v>10</v>
      </c>
      <c r="N36" s="120"/>
      <c r="O36" s="87" t="s">
        <v>9</v>
      </c>
      <c r="P36" s="87" t="s">
        <v>10</v>
      </c>
      <c r="Q36" s="120"/>
      <c r="R36" s="87" t="s">
        <v>9</v>
      </c>
      <c r="S36" s="87" t="s">
        <v>10</v>
      </c>
    </row>
    <row r="37" spans="2:19" x14ac:dyDescent="0.2">
      <c r="B37" s="125">
        <v>1</v>
      </c>
      <c r="D37" s="126" t="s">
        <v>55</v>
      </c>
      <c r="E37" s="120"/>
      <c r="F37" s="127" t="str">
        <f>IF(DATE(IF(F$35="",E$35,F$35),$B7,1)&gt;SourceEnergy!$N$2,"",INDEX(SourceEnergy!$J:$K,MATCH(DATE(IF(F$35="",E$35,F$35),$B7,1),SourceEnergy!$B:$B,0),MATCH(F$36,SourceEnergy!$J$12:$K$12,0)))</f>
        <v/>
      </c>
      <c r="G37" s="127" t="str">
        <f>IF(DATE(IF(G$35="",F$35,G$35),$B7,1)&gt;SourceEnergy!$N$2,"",INDEX(SourceEnergy!$J:$K,MATCH(DATE(IF(G$35="",F$35,G$35),$B7,1),SourceEnergy!$B:$B,0),MATCH(G$36,SourceEnergy!$J$12:$K$12,0)))</f>
        <v/>
      </c>
      <c r="H37" s="120"/>
      <c r="I37" s="127" t="str">
        <f>IF(DATE(IF(I$35="",H$35,I$35),$B7,1)&gt;SourceEnergy!$N$2,"",INDEX(SourceEnergy!$J:$K,MATCH(DATE(IF(I$35="",H$35,I$35),$B7,1),SourceEnergy!$B:$B,0),MATCH(I$36,SourceEnergy!$J$12:$K$12,0)))</f>
        <v/>
      </c>
      <c r="J37" s="127" t="str">
        <f>IF(DATE(IF(J$35="",I$35,J$35),$B7,1)&gt;SourceEnergy!$N$2,"",INDEX(SourceEnergy!$J:$K,MATCH(DATE(IF(J$35="",I$35,J$35),$B7,1),SourceEnergy!$B:$B,0),MATCH(J$36,SourceEnergy!$J$12:$K$12,0)))</f>
        <v/>
      </c>
      <c r="K37" s="120"/>
      <c r="L37" s="127" t="str">
        <f>IF(DATE(IF(L$35="",K$35,L$35),$B7,1)&gt;SourceEnergy!$N$2,"",INDEX(SourceEnergy!$J:$K,MATCH(DATE(IF(L$35="",K$35,L$35),$B7,1),SourceEnergy!$B:$B,0),MATCH(L$36,SourceEnergy!$J$12:$K$12,0)))</f>
        <v/>
      </c>
      <c r="M37" s="127" t="str">
        <f>IF(DATE(IF(M$35="",L$35,M$35),$B7,1)&gt;SourceEnergy!$N$2,"",INDEX(SourceEnergy!$J:$K,MATCH(DATE(IF(M$35="",L$35,M$35),$B7,1),SourceEnergy!$B:$B,0),MATCH(M$36,SourceEnergy!$J$12:$K$12,0)))</f>
        <v/>
      </c>
      <c r="N37" s="120"/>
      <c r="O37" s="127" t="str">
        <f>IF(DATE(IF(O$35="",N$35,O$35),$B7,1)&gt;SourceEnergy!$N$2,"",INDEX(SourceEnergy!$J:$K,MATCH(DATE(IF(O$35="",N$35,O$35),$B7,1),SourceEnergy!$B:$B,0),MATCH(O$36,SourceEnergy!$J$12:$K$12,0)))</f>
        <v/>
      </c>
      <c r="P37" s="127" t="str">
        <f>IF(DATE(IF(P$35="",O$35,P$35),$B7,1)&gt;SourceEnergy!$N$2,"",INDEX(SourceEnergy!$J:$K,MATCH(DATE(IF(P$35="",O$35,P$35),$B7,1),SourceEnergy!$B:$B,0),MATCH(P$36,SourceEnergy!$J$12:$K$12,0)))</f>
        <v/>
      </c>
      <c r="Q37" s="120"/>
      <c r="R37" s="127" t="str">
        <f>IF(DATE(IF(R$35="",Q$35,R$35),$B7,1)&gt;SourceEnergy!$N$2,"",INDEX(SourceEnergy!$J:$K,MATCH(DATE(IF(R$35="",Q$35,R$35),$B7,1),SourceEnergy!$B:$B,0),MATCH(R$36,SourceEnergy!$J$12:$K$12,0)))</f>
        <v/>
      </c>
      <c r="S37" s="127" t="str">
        <f>IF(DATE(IF(S$35="",R$35,S$35),$B7,1)&gt;SourceEnergy!$N$2,"",INDEX(SourceEnergy!$J:$K,MATCH(DATE(IF(S$35="",R$35,S$35),$B7,1),SourceEnergy!$B:$B,0),MATCH(S$36,SourceEnergy!$J$12:$K$12,0)))</f>
        <v/>
      </c>
    </row>
    <row r="38" spans="2:19" x14ac:dyDescent="0.2">
      <c r="B38" s="125">
        <f t="shared" ref="B38:B48" si="2">B37+1</f>
        <v>2</v>
      </c>
      <c r="D38" s="126" t="s">
        <v>57</v>
      </c>
      <c r="E38" s="120"/>
      <c r="F38" s="127" t="str">
        <f>IF(DATE(IF(F$35="",E$35,F$35),$B8,1)&gt;SourceEnergy!$N$2,"",INDEX(SourceEnergy!$J:$K,MATCH(DATE(IF(F$35="",E$35,F$35),$B8,1),SourceEnergy!$B:$B,0),MATCH(F$36,SourceEnergy!$J$12:$K$12,0)))</f>
        <v/>
      </c>
      <c r="G38" s="127" t="str">
        <f>IF(DATE(IF(G$35="",F$35,G$35),$B8,1)&gt;SourceEnergy!$N$2,"",INDEX(SourceEnergy!$J:$K,MATCH(DATE(IF(G$35="",F$35,G$35),$B8,1),SourceEnergy!$B:$B,0),MATCH(G$36,SourceEnergy!$J$12:$K$12,0)))</f>
        <v/>
      </c>
      <c r="H38" s="120"/>
      <c r="I38" s="127" t="str">
        <f>IF(DATE(IF(I$35="",H$35,I$35),$B8,1)&gt;SourceEnergy!$N$2,"",INDEX(SourceEnergy!$J:$K,MATCH(DATE(IF(I$35="",H$35,I$35),$B8,1),SourceEnergy!$B:$B,0),MATCH(I$36,SourceEnergy!$J$12:$K$12,0)))</f>
        <v/>
      </c>
      <c r="J38" s="127" t="str">
        <f>IF(DATE(IF(J$35="",I$35,J$35),$B8,1)&gt;SourceEnergy!$N$2,"",INDEX(SourceEnergy!$J:$K,MATCH(DATE(IF(J$35="",I$35,J$35),$B8,1),SourceEnergy!$B:$B,0),MATCH(J$36,SourceEnergy!$J$12:$K$12,0)))</f>
        <v/>
      </c>
      <c r="K38" s="120"/>
      <c r="L38" s="127" t="str">
        <f>IF(DATE(IF(L$35="",K$35,L$35),$B8,1)&gt;SourceEnergy!$N$2,"",INDEX(SourceEnergy!$J:$K,MATCH(DATE(IF(L$35="",K$35,L$35),$B8,1),SourceEnergy!$B:$B,0),MATCH(L$36,SourceEnergy!$J$12:$K$12,0)))</f>
        <v/>
      </c>
      <c r="M38" s="127" t="str">
        <f>IF(DATE(IF(M$35="",L$35,M$35),$B8,1)&gt;SourceEnergy!$N$2,"",INDEX(SourceEnergy!$J:$K,MATCH(DATE(IF(M$35="",L$35,M$35),$B8,1),SourceEnergy!$B:$B,0),MATCH(M$36,SourceEnergy!$J$12:$K$12,0)))</f>
        <v/>
      </c>
      <c r="N38" s="120"/>
      <c r="O38" s="127" t="str">
        <f>IF(DATE(IF(O$35="",N$35,O$35),$B8,1)&gt;SourceEnergy!$N$2,"",INDEX(SourceEnergy!$J:$K,MATCH(DATE(IF(O$35="",N$35,O$35),$B8,1),SourceEnergy!$B:$B,0),MATCH(O$36,SourceEnergy!$J$12:$K$12,0)))</f>
        <v/>
      </c>
      <c r="P38" s="127" t="str">
        <f>IF(DATE(IF(P$35="",O$35,P$35),$B8,1)&gt;SourceEnergy!$N$2,"",INDEX(SourceEnergy!$J:$K,MATCH(DATE(IF(P$35="",O$35,P$35),$B8,1),SourceEnergy!$B:$B,0),MATCH(P$36,SourceEnergy!$J$12:$K$12,0)))</f>
        <v/>
      </c>
      <c r="Q38" s="120"/>
      <c r="R38" s="127" t="str">
        <f>IF(DATE(IF(R$35="",Q$35,R$35),$B8,1)&gt;SourceEnergy!$N$2,"",INDEX(SourceEnergy!$J:$K,MATCH(DATE(IF(R$35="",Q$35,R$35),$B8,1),SourceEnergy!$B:$B,0),MATCH(R$36,SourceEnergy!$J$12:$K$12,0)))</f>
        <v/>
      </c>
      <c r="S38" s="127" t="str">
        <f>IF(DATE(IF(S$35="",R$35,S$35),$B8,1)&gt;SourceEnergy!$N$2,"",INDEX(SourceEnergy!$J:$K,MATCH(DATE(IF(S$35="",R$35,S$35),$B8,1),SourceEnergy!$B:$B,0),MATCH(S$36,SourceEnergy!$J$12:$K$12,0)))</f>
        <v/>
      </c>
    </row>
    <row r="39" spans="2:19" x14ac:dyDescent="0.2">
      <c r="B39" s="125">
        <f t="shared" si="2"/>
        <v>3</v>
      </c>
      <c r="D39" s="126" t="s">
        <v>58</v>
      </c>
      <c r="E39" s="120"/>
      <c r="F39" s="127" t="str">
        <f>IF(DATE(IF(F$35="",E$35,F$35),$B9,1)&gt;SourceEnergy!$N$2,"",INDEX(SourceEnergy!$J:$K,MATCH(DATE(IF(F$35="",E$35,F$35),$B9,1),SourceEnergy!$B:$B,0),MATCH(F$36,SourceEnergy!$J$12:$K$12,0)))</f>
        <v/>
      </c>
      <c r="G39" s="127" t="str">
        <f>IF(DATE(IF(G$35="",F$35,G$35),$B9,1)&gt;SourceEnergy!$N$2,"",INDEX(SourceEnergy!$J:$K,MATCH(DATE(IF(G$35="",F$35,G$35),$B9,1),SourceEnergy!$B:$B,0),MATCH(G$36,SourceEnergy!$J$12:$K$12,0)))</f>
        <v/>
      </c>
      <c r="H39" s="120"/>
      <c r="I39" s="127" t="str">
        <f>IF(DATE(IF(I$35="",H$35,I$35),$B9,1)&gt;SourceEnergy!$N$2,"",INDEX(SourceEnergy!$J:$K,MATCH(DATE(IF(I$35="",H$35,I$35),$B9,1),SourceEnergy!$B:$B,0),MATCH(I$36,SourceEnergy!$J$12:$K$12,0)))</f>
        <v/>
      </c>
      <c r="J39" s="127" t="str">
        <f>IF(DATE(IF(J$35="",I$35,J$35),$B9,1)&gt;SourceEnergy!$N$2,"",INDEX(SourceEnergy!$J:$K,MATCH(DATE(IF(J$35="",I$35,J$35),$B9,1),SourceEnergy!$B:$B,0),MATCH(J$36,SourceEnergy!$J$12:$K$12,0)))</f>
        <v/>
      </c>
      <c r="K39" s="120"/>
      <c r="L39" s="127" t="str">
        <f>IF(DATE(IF(L$35="",K$35,L$35),$B9,1)&gt;SourceEnergy!$N$2,"",INDEX(SourceEnergy!$J:$K,MATCH(DATE(IF(L$35="",K$35,L$35),$B9,1),SourceEnergy!$B:$B,0),MATCH(L$36,SourceEnergy!$J$12:$K$12,0)))</f>
        <v/>
      </c>
      <c r="M39" s="127" t="str">
        <f>IF(DATE(IF(M$35="",L$35,M$35),$B9,1)&gt;SourceEnergy!$N$2,"",INDEX(SourceEnergy!$J:$K,MATCH(DATE(IF(M$35="",L$35,M$35),$B9,1),SourceEnergy!$B:$B,0),MATCH(M$36,SourceEnergy!$J$12:$K$12,0)))</f>
        <v/>
      </c>
      <c r="N39" s="120"/>
      <c r="O39" s="127" t="str">
        <f>IF(DATE(IF(O$35="",N$35,O$35),$B9,1)&gt;SourceEnergy!$N$2,"",INDEX(SourceEnergy!$J:$K,MATCH(DATE(IF(O$35="",N$35,O$35),$B9,1),SourceEnergy!$B:$B,0),MATCH(O$36,SourceEnergy!$J$12:$K$12,0)))</f>
        <v/>
      </c>
      <c r="P39" s="127" t="str">
        <f>IF(DATE(IF(P$35="",O$35,P$35),$B9,1)&gt;SourceEnergy!$N$2,"",INDEX(SourceEnergy!$J:$K,MATCH(DATE(IF(P$35="",O$35,P$35),$B9,1),SourceEnergy!$B:$B,0),MATCH(P$36,SourceEnergy!$J$12:$K$12,0)))</f>
        <v/>
      </c>
      <c r="Q39" s="120"/>
      <c r="R39" s="127" t="str">
        <f>IF(DATE(IF(R$35="",Q$35,R$35),$B9,1)&gt;SourceEnergy!$N$2,"",INDEX(SourceEnergy!$J:$K,MATCH(DATE(IF(R$35="",Q$35,R$35),$B9,1),SourceEnergy!$B:$B,0),MATCH(R$36,SourceEnergy!$J$12:$K$12,0)))</f>
        <v/>
      </c>
      <c r="S39" s="127" t="str">
        <f>IF(DATE(IF(S$35="",R$35,S$35),$B9,1)&gt;SourceEnergy!$N$2,"",INDEX(SourceEnergy!$J:$K,MATCH(DATE(IF(S$35="",R$35,S$35),$B9,1),SourceEnergy!$B:$B,0),MATCH(S$36,SourceEnergy!$J$12:$K$12,0)))</f>
        <v/>
      </c>
    </row>
    <row r="40" spans="2:19" x14ac:dyDescent="0.2">
      <c r="B40" s="125">
        <f t="shared" si="2"/>
        <v>4</v>
      </c>
      <c r="D40" s="126" t="s">
        <v>59</v>
      </c>
      <c r="E40" s="120"/>
      <c r="F40" s="127" t="str">
        <f>IF(DATE(IF(F$35="",E$35,F$35),$B10,1)&gt;SourceEnergy!$N$2,"",INDEX(SourceEnergy!$J:$K,MATCH(DATE(IF(F$35="",E$35,F$35),$B10,1),SourceEnergy!$B:$B,0),MATCH(F$36,SourceEnergy!$J$12:$K$12,0)))</f>
        <v/>
      </c>
      <c r="G40" s="127" t="str">
        <f>IF(DATE(IF(G$35="",F$35,G$35),$B10,1)&gt;SourceEnergy!$N$2,"",INDEX(SourceEnergy!$J:$K,MATCH(DATE(IF(G$35="",F$35,G$35),$B10,1),SourceEnergy!$B:$B,0),MATCH(G$36,SourceEnergy!$J$12:$K$12,0)))</f>
        <v/>
      </c>
      <c r="H40" s="120"/>
      <c r="I40" s="127" t="str">
        <f>IF(DATE(IF(I$35="",H$35,I$35),$B10,1)&gt;SourceEnergy!$N$2,"",INDEX(SourceEnergy!$J:$K,MATCH(DATE(IF(I$35="",H$35,I$35),$B10,1),SourceEnergy!$B:$B,0),MATCH(I$36,SourceEnergy!$J$12:$K$12,0)))</f>
        <v/>
      </c>
      <c r="J40" s="127" t="str">
        <f>IF(DATE(IF(J$35="",I$35,J$35),$B10,1)&gt;SourceEnergy!$N$2,"",INDEX(SourceEnergy!$J:$K,MATCH(DATE(IF(J$35="",I$35,J$35),$B10,1),SourceEnergy!$B:$B,0),MATCH(J$36,SourceEnergy!$J$12:$K$12,0)))</f>
        <v/>
      </c>
      <c r="K40" s="120"/>
      <c r="L40" s="127" t="str">
        <f>IF(DATE(IF(L$35="",K$35,L$35),$B10,1)&gt;SourceEnergy!$N$2,"",INDEX(SourceEnergy!$J:$K,MATCH(DATE(IF(L$35="",K$35,L$35),$B10,1),SourceEnergy!$B:$B,0),MATCH(L$36,SourceEnergy!$J$12:$K$12,0)))</f>
        <v/>
      </c>
      <c r="M40" s="127" t="str">
        <f>IF(DATE(IF(M$35="",L$35,M$35),$B10,1)&gt;SourceEnergy!$N$2,"",INDEX(SourceEnergy!$J:$K,MATCH(DATE(IF(M$35="",L$35,M$35),$B10,1),SourceEnergy!$B:$B,0),MATCH(M$36,SourceEnergy!$J$12:$K$12,0)))</f>
        <v/>
      </c>
      <c r="N40" s="120"/>
      <c r="O40" s="127" t="str">
        <f>IF(DATE(IF(O$35="",N$35,O$35),$B10,1)&gt;SourceEnergy!$N$2,"",INDEX(SourceEnergy!$J:$K,MATCH(DATE(IF(O$35="",N$35,O$35),$B10,1),SourceEnergy!$B:$B,0),MATCH(O$36,SourceEnergy!$J$12:$K$12,0)))</f>
        <v/>
      </c>
      <c r="P40" s="127" t="str">
        <f>IF(DATE(IF(P$35="",O$35,P$35),$B10,1)&gt;SourceEnergy!$N$2,"",INDEX(SourceEnergy!$J:$K,MATCH(DATE(IF(P$35="",O$35,P$35),$B10,1),SourceEnergy!$B:$B,0),MATCH(P$36,SourceEnergy!$J$12:$K$12,0)))</f>
        <v/>
      </c>
      <c r="Q40" s="120"/>
      <c r="R40" s="127" t="str">
        <f>IF(DATE(IF(R$35="",Q$35,R$35),$B10,1)&gt;SourceEnergy!$N$2,"",INDEX(SourceEnergy!$J:$K,MATCH(DATE(IF(R$35="",Q$35,R$35),$B10,1),SourceEnergy!$B:$B,0),MATCH(R$36,SourceEnergy!$J$12:$K$12,0)))</f>
        <v/>
      </c>
      <c r="S40" s="127" t="str">
        <f>IF(DATE(IF(S$35="",R$35,S$35),$B10,1)&gt;SourceEnergy!$N$2,"",INDEX(SourceEnergy!$J:$K,MATCH(DATE(IF(S$35="",R$35,S$35),$B10,1),SourceEnergy!$B:$B,0),MATCH(S$36,SourceEnergy!$J$12:$K$12,0)))</f>
        <v/>
      </c>
    </row>
    <row r="41" spans="2:19" x14ac:dyDescent="0.2">
      <c r="B41" s="125">
        <f t="shared" si="2"/>
        <v>5</v>
      </c>
      <c r="D41" s="126" t="s">
        <v>56</v>
      </c>
      <c r="E41" s="120"/>
      <c r="F41" s="127" t="str">
        <f>IF(DATE(IF(F$35="",E$35,F$35),$B11,1)&gt;SourceEnergy!$N$2,"",INDEX(SourceEnergy!$J:$K,MATCH(DATE(IF(F$35="",E$35,F$35),$B11,1),SourceEnergy!$B:$B,0),MATCH(F$36,SourceEnergy!$J$12:$K$12,0)))</f>
        <v/>
      </c>
      <c r="G41" s="127" t="str">
        <f>IF(DATE(IF(G$35="",F$35,G$35),$B11,1)&gt;SourceEnergy!$N$2,"",INDEX(SourceEnergy!$J:$K,MATCH(DATE(IF(G$35="",F$35,G$35),$B11,1),SourceEnergy!$B:$B,0),MATCH(G$36,SourceEnergy!$J$12:$K$12,0)))</f>
        <v/>
      </c>
      <c r="H41" s="120"/>
      <c r="I41" s="127" t="str">
        <f>IF(DATE(IF(I$35="",H$35,I$35),$B11,1)&gt;SourceEnergy!$N$2,"",INDEX(SourceEnergy!$J:$K,MATCH(DATE(IF(I$35="",H$35,I$35),$B11,1),SourceEnergy!$B:$B,0),MATCH(I$36,SourceEnergy!$J$12:$K$12,0)))</f>
        <v/>
      </c>
      <c r="J41" s="127" t="str">
        <f>IF(DATE(IF(J$35="",I$35,J$35),$B11,1)&gt;SourceEnergy!$N$2,"",INDEX(SourceEnergy!$J:$K,MATCH(DATE(IF(J$35="",I$35,J$35),$B11,1),SourceEnergy!$B:$B,0),MATCH(J$36,SourceEnergy!$J$12:$K$12,0)))</f>
        <v/>
      </c>
      <c r="K41" s="120"/>
      <c r="L41" s="127" t="str">
        <f>IF(DATE(IF(L$35="",K$35,L$35),$B11,1)&gt;SourceEnergy!$N$2,"",INDEX(SourceEnergy!$J:$K,MATCH(DATE(IF(L$35="",K$35,L$35),$B11,1),SourceEnergy!$B:$B,0),MATCH(L$36,SourceEnergy!$J$12:$K$12,0)))</f>
        <v/>
      </c>
      <c r="M41" s="127" t="str">
        <f>IF(DATE(IF(M$35="",L$35,M$35),$B11,1)&gt;SourceEnergy!$N$2,"",INDEX(SourceEnergy!$J:$K,MATCH(DATE(IF(M$35="",L$35,M$35),$B11,1),SourceEnergy!$B:$B,0),MATCH(M$36,SourceEnergy!$J$12:$K$12,0)))</f>
        <v/>
      </c>
      <c r="N41" s="120"/>
      <c r="O41" s="127" t="str">
        <f>IF(DATE(IF(O$35="",N$35,O$35),$B11,1)&gt;SourceEnergy!$N$2,"",INDEX(SourceEnergy!$J:$K,MATCH(DATE(IF(O$35="",N$35,O$35),$B11,1),SourceEnergy!$B:$B,0),MATCH(O$36,SourceEnergy!$J$12:$K$12,0)))</f>
        <v/>
      </c>
      <c r="P41" s="127" t="str">
        <f>IF(DATE(IF(P$35="",O$35,P$35),$B11,1)&gt;SourceEnergy!$N$2,"",INDEX(SourceEnergy!$J:$K,MATCH(DATE(IF(P$35="",O$35,P$35),$B11,1),SourceEnergy!$B:$B,0),MATCH(P$36,SourceEnergy!$J$12:$K$12,0)))</f>
        <v/>
      </c>
      <c r="Q41" s="120"/>
      <c r="R41" s="127" t="str">
        <f>IF(DATE(IF(R$35="",Q$35,R$35),$B11,1)&gt;SourceEnergy!$N$2,"",INDEX(SourceEnergy!$J:$K,MATCH(DATE(IF(R$35="",Q$35,R$35),$B11,1),SourceEnergy!$B:$B,0),MATCH(R$36,SourceEnergy!$J$12:$K$12,0)))</f>
        <v/>
      </c>
      <c r="S41" s="127" t="str">
        <f>IF(DATE(IF(S$35="",R$35,S$35),$B11,1)&gt;SourceEnergy!$N$2,"",INDEX(SourceEnergy!$J:$K,MATCH(DATE(IF(S$35="",R$35,S$35),$B11,1),SourceEnergy!$B:$B,0),MATCH(S$36,SourceEnergy!$J$12:$K$12,0)))</f>
        <v/>
      </c>
    </row>
    <row r="42" spans="2:19" x14ac:dyDescent="0.2">
      <c r="B42" s="125">
        <f t="shared" si="2"/>
        <v>6</v>
      </c>
      <c r="D42" s="126" t="s">
        <v>60</v>
      </c>
      <c r="E42" s="120"/>
      <c r="F42" s="127" t="str">
        <f>IF(DATE(IF(F$35="",E$35,F$35),$B12,1)&gt;SourceEnergy!$N$2,"",INDEX(SourceEnergy!$J:$K,MATCH(DATE(IF(F$35="",E$35,F$35),$B12,1),SourceEnergy!$B:$B,0),MATCH(F$36,SourceEnergy!$J$12:$K$12,0)))</f>
        <v/>
      </c>
      <c r="G42" s="127" t="str">
        <f>IF(DATE(IF(G$35="",F$35,G$35),$B12,1)&gt;SourceEnergy!$N$2,"",INDEX(SourceEnergy!$J:$K,MATCH(DATE(IF(G$35="",F$35,G$35),$B12,1),SourceEnergy!$B:$B,0),MATCH(G$36,SourceEnergy!$J$12:$K$12,0)))</f>
        <v/>
      </c>
      <c r="H42" s="120"/>
      <c r="I42" s="127" t="str">
        <f>IF(DATE(IF(I$35="",H$35,I$35),$B12,1)&gt;SourceEnergy!$N$2,"",INDEX(SourceEnergy!$J:$K,MATCH(DATE(IF(I$35="",H$35,I$35),$B12,1),SourceEnergy!$B:$B,0),MATCH(I$36,SourceEnergy!$J$12:$K$12,0)))</f>
        <v/>
      </c>
      <c r="J42" s="127" t="str">
        <f>IF(DATE(IF(J$35="",I$35,J$35),$B12,1)&gt;SourceEnergy!$N$2,"",INDEX(SourceEnergy!$J:$K,MATCH(DATE(IF(J$35="",I$35,J$35),$B12,1),SourceEnergy!$B:$B,0),MATCH(J$36,SourceEnergy!$J$12:$K$12,0)))</f>
        <v/>
      </c>
      <c r="K42" s="120"/>
      <c r="L42" s="127" t="str">
        <f>IF(DATE(IF(L$35="",K$35,L$35),$B12,1)&gt;SourceEnergy!$N$2,"",INDEX(SourceEnergy!$J:$K,MATCH(DATE(IF(L$35="",K$35,L$35),$B12,1),SourceEnergy!$B:$B,0),MATCH(L$36,SourceEnergy!$J$12:$K$12,0)))</f>
        <v/>
      </c>
      <c r="M42" s="127" t="str">
        <f>IF(DATE(IF(M$35="",L$35,M$35),$B12,1)&gt;SourceEnergy!$N$2,"",INDEX(SourceEnergy!$J:$K,MATCH(DATE(IF(M$35="",L$35,M$35),$B12,1),SourceEnergy!$B:$B,0),MATCH(M$36,SourceEnergy!$J$12:$K$12,0)))</f>
        <v/>
      </c>
      <c r="N42" s="120"/>
      <c r="O42" s="127" t="str">
        <f>IF(DATE(IF(O$35="",N$35,O$35),$B12,1)&gt;SourceEnergy!$N$2,"",INDEX(SourceEnergy!$J:$K,MATCH(DATE(IF(O$35="",N$35,O$35),$B12,1),SourceEnergy!$B:$B,0),MATCH(O$36,SourceEnergy!$J$12:$K$12,0)))</f>
        <v/>
      </c>
      <c r="P42" s="127" t="str">
        <f>IF(DATE(IF(P$35="",O$35,P$35),$B12,1)&gt;SourceEnergy!$N$2,"",INDEX(SourceEnergy!$J:$K,MATCH(DATE(IF(P$35="",O$35,P$35),$B12,1),SourceEnergy!$B:$B,0),MATCH(P$36,SourceEnergy!$J$12:$K$12,0)))</f>
        <v/>
      </c>
      <c r="Q42" s="120"/>
      <c r="R42" s="127" t="str">
        <f>IF(DATE(IF(R$35="",Q$35,R$35),$B12,1)&gt;SourceEnergy!$N$2,"",INDEX(SourceEnergy!$J:$K,MATCH(DATE(IF(R$35="",Q$35,R$35),$B12,1),SourceEnergy!$B:$B,0),MATCH(R$36,SourceEnergy!$J$12:$K$12,0)))</f>
        <v/>
      </c>
      <c r="S42" s="127" t="str">
        <f>IF(DATE(IF(S$35="",R$35,S$35),$B12,1)&gt;SourceEnergy!$N$2,"",INDEX(SourceEnergy!$J:$K,MATCH(DATE(IF(S$35="",R$35,S$35),$B12,1),SourceEnergy!$B:$B,0),MATCH(S$36,SourceEnergy!$J$12:$K$12,0)))</f>
        <v/>
      </c>
    </row>
    <row r="43" spans="2:19" x14ac:dyDescent="0.2">
      <c r="B43" s="125">
        <f t="shared" si="2"/>
        <v>7</v>
      </c>
      <c r="D43" s="126" t="s">
        <v>61</v>
      </c>
      <c r="E43" s="120"/>
      <c r="F43" s="127" t="str">
        <f>IF(DATE(IF(F$35="",E$35,F$35),$B13,1)&gt;SourceEnergy!$N$2,"",INDEX(SourceEnergy!$J:$K,MATCH(DATE(IF(F$35="",E$35,F$35),$B13,1),SourceEnergy!$B:$B,0),MATCH(F$36,SourceEnergy!$J$12:$K$12,0)))</f>
        <v/>
      </c>
      <c r="G43" s="127" t="str">
        <f>IF(DATE(IF(G$35="",F$35,G$35),$B13,1)&gt;SourceEnergy!$N$2,"",INDEX(SourceEnergy!$J:$K,MATCH(DATE(IF(G$35="",F$35,G$35),$B13,1),SourceEnergy!$B:$B,0),MATCH(G$36,SourceEnergy!$J$12:$K$12,0)))</f>
        <v/>
      </c>
      <c r="H43" s="120"/>
      <c r="I43" s="127" t="str">
        <f>IF(DATE(IF(I$35="",H$35,I$35),$B13,1)&gt;SourceEnergy!$N$2,"",INDEX(SourceEnergy!$J:$K,MATCH(DATE(IF(I$35="",H$35,I$35),$B13,1),SourceEnergy!$B:$B,0),MATCH(I$36,SourceEnergy!$J$12:$K$12,0)))</f>
        <v/>
      </c>
      <c r="J43" s="127" t="str">
        <f>IF(DATE(IF(J$35="",I$35,J$35),$B13,1)&gt;SourceEnergy!$N$2,"",INDEX(SourceEnergy!$J:$K,MATCH(DATE(IF(J$35="",I$35,J$35),$B13,1),SourceEnergy!$B:$B,0),MATCH(J$36,SourceEnergy!$J$12:$K$12,0)))</f>
        <v/>
      </c>
      <c r="K43" s="120"/>
      <c r="L43" s="127" t="str">
        <f>IF(DATE(IF(L$35="",K$35,L$35),$B13,1)&gt;SourceEnergy!$N$2,"",INDEX(SourceEnergy!$J:$K,MATCH(DATE(IF(L$35="",K$35,L$35),$B13,1),SourceEnergy!$B:$B,0),MATCH(L$36,SourceEnergy!$J$12:$K$12,0)))</f>
        <v/>
      </c>
      <c r="M43" s="127" t="str">
        <f>IF(DATE(IF(M$35="",L$35,M$35),$B13,1)&gt;SourceEnergy!$N$2,"",INDEX(SourceEnergy!$J:$K,MATCH(DATE(IF(M$35="",L$35,M$35),$B13,1),SourceEnergy!$B:$B,0),MATCH(M$36,SourceEnergy!$J$12:$K$12,0)))</f>
        <v/>
      </c>
      <c r="N43" s="120"/>
      <c r="O43" s="127" t="str">
        <f>IF(DATE(IF(O$35="",N$35,O$35),$B13,1)&gt;SourceEnergy!$N$2,"",INDEX(SourceEnergy!$J:$K,MATCH(DATE(IF(O$35="",N$35,O$35),$B13,1),SourceEnergy!$B:$B,0),MATCH(O$36,SourceEnergy!$J$12:$K$12,0)))</f>
        <v/>
      </c>
      <c r="P43" s="127" t="str">
        <f>IF(DATE(IF(P$35="",O$35,P$35),$B13,1)&gt;SourceEnergy!$N$2,"",INDEX(SourceEnergy!$J:$K,MATCH(DATE(IF(P$35="",O$35,P$35),$B13,1),SourceEnergy!$B:$B,0),MATCH(P$36,SourceEnergy!$J$12:$K$12,0)))</f>
        <v/>
      </c>
      <c r="Q43" s="120"/>
      <c r="R43" s="127" t="str">
        <f>IF(DATE(IF(R$35="",Q$35,R$35),$B13,1)&gt;SourceEnergy!$N$2,"",INDEX(SourceEnergy!$J:$K,MATCH(DATE(IF(R$35="",Q$35,R$35),$B13,1),SourceEnergy!$B:$B,0),MATCH(R$36,SourceEnergy!$J$12:$K$12,0)))</f>
        <v/>
      </c>
      <c r="S43" s="127" t="str">
        <f>IF(DATE(IF(S$35="",R$35,S$35),$B13,1)&gt;SourceEnergy!$N$2,"",INDEX(SourceEnergy!$J:$K,MATCH(DATE(IF(S$35="",R$35,S$35),$B13,1),SourceEnergy!$B:$B,0),MATCH(S$36,SourceEnergy!$J$12:$K$12,0)))</f>
        <v/>
      </c>
    </row>
    <row r="44" spans="2:19" x14ac:dyDescent="0.2">
      <c r="B44" s="125">
        <f t="shared" si="2"/>
        <v>8</v>
      </c>
      <c r="D44" s="126" t="s">
        <v>62</v>
      </c>
      <c r="E44" s="120"/>
      <c r="F44" s="127" t="str">
        <f>IF(DATE(IF(F$35="",E$35,F$35),$B14,1)&gt;SourceEnergy!$N$2,"",INDEX(SourceEnergy!$J:$K,MATCH(DATE(IF(F$35="",E$35,F$35),$B14,1),SourceEnergy!$B:$B,0),MATCH(F$36,SourceEnergy!$J$12:$K$12,0)))</f>
        <v/>
      </c>
      <c r="G44" s="127" t="str">
        <f>IF(DATE(IF(G$35="",F$35,G$35),$B14,1)&gt;SourceEnergy!$N$2,"",INDEX(SourceEnergy!$J:$K,MATCH(DATE(IF(G$35="",F$35,G$35),$B14,1),SourceEnergy!$B:$B,0),MATCH(G$36,SourceEnergy!$J$12:$K$12,0)))</f>
        <v/>
      </c>
      <c r="H44" s="120"/>
      <c r="I44" s="127" t="str">
        <f>IF(DATE(IF(I$35="",H$35,I$35),$B14,1)&gt;SourceEnergy!$N$2,"",INDEX(SourceEnergy!$J:$K,MATCH(DATE(IF(I$35="",H$35,I$35),$B14,1),SourceEnergy!$B:$B,0),MATCH(I$36,SourceEnergy!$J$12:$K$12,0)))</f>
        <v/>
      </c>
      <c r="J44" s="127" t="str">
        <f>IF(DATE(IF(J$35="",I$35,J$35),$B14,1)&gt;SourceEnergy!$N$2,"",INDEX(SourceEnergy!$J:$K,MATCH(DATE(IF(J$35="",I$35,J$35),$B14,1),SourceEnergy!$B:$B,0),MATCH(J$36,SourceEnergy!$J$12:$K$12,0)))</f>
        <v/>
      </c>
      <c r="K44" s="120"/>
      <c r="L44" s="127" t="str">
        <f>IF(DATE(IF(L$35="",K$35,L$35),$B14,1)&gt;SourceEnergy!$N$2,"",INDEX(SourceEnergy!$J:$K,MATCH(DATE(IF(L$35="",K$35,L$35),$B14,1),SourceEnergy!$B:$B,0),MATCH(L$36,SourceEnergy!$J$12:$K$12,0)))</f>
        <v/>
      </c>
      <c r="M44" s="127" t="str">
        <f>IF(DATE(IF(M$35="",L$35,M$35),$B14,1)&gt;SourceEnergy!$N$2,"",INDEX(SourceEnergy!$J:$K,MATCH(DATE(IF(M$35="",L$35,M$35),$B14,1),SourceEnergy!$B:$B,0),MATCH(M$36,SourceEnergy!$J$12:$K$12,0)))</f>
        <v/>
      </c>
      <c r="N44" s="120"/>
      <c r="O44" s="127" t="str">
        <f>IF(DATE(IF(O$35="",N$35,O$35),$B14,1)&gt;SourceEnergy!$N$2,"",INDEX(SourceEnergy!$J:$K,MATCH(DATE(IF(O$35="",N$35,O$35),$B14,1),SourceEnergy!$B:$B,0),MATCH(O$36,SourceEnergy!$J$12:$K$12,0)))</f>
        <v/>
      </c>
      <c r="P44" s="127" t="str">
        <f>IF(DATE(IF(P$35="",O$35,P$35),$B14,1)&gt;SourceEnergy!$N$2,"",INDEX(SourceEnergy!$J:$K,MATCH(DATE(IF(P$35="",O$35,P$35),$B14,1),SourceEnergy!$B:$B,0),MATCH(P$36,SourceEnergy!$J$12:$K$12,0)))</f>
        <v/>
      </c>
      <c r="Q44" s="120"/>
      <c r="R44" s="127" t="str">
        <f>IF(DATE(IF(R$35="",Q$35,R$35),$B14,1)&gt;SourceEnergy!$N$2,"",INDEX(SourceEnergy!$J:$K,MATCH(DATE(IF(R$35="",Q$35,R$35),$B14,1),SourceEnergy!$B:$B,0),MATCH(R$36,SourceEnergy!$J$12:$K$12,0)))</f>
        <v/>
      </c>
      <c r="S44" s="127" t="str">
        <f>IF(DATE(IF(S$35="",R$35,S$35),$B14,1)&gt;SourceEnergy!$N$2,"",INDEX(SourceEnergy!$J:$K,MATCH(DATE(IF(S$35="",R$35,S$35),$B14,1),SourceEnergy!$B:$B,0),MATCH(S$36,SourceEnergy!$J$12:$K$12,0)))</f>
        <v/>
      </c>
    </row>
    <row r="45" spans="2:19" x14ac:dyDescent="0.2">
      <c r="B45" s="125">
        <f t="shared" si="2"/>
        <v>9</v>
      </c>
      <c r="D45" s="126" t="s">
        <v>63</v>
      </c>
      <c r="E45" s="120"/>
      <c r="F45" s="127" t="str">
        <f>IF(DATE(IF(F$35="",E$35,F$35),$B15,1)&gt;SourceEnergy!$N$2,"",INDEX(SourceEnergy!$J:$K,MATCH(DATE(IF(F$35="",E$35,F$35),$B15,1),SourceEnergy!$B:$B,0),MATCH(F$36,SourceEnergy!$J$12:$K$12,0)))</f>
        <v/>
      </c>
      <c r="G45" s="127" t="str">
        <f>IF(DATE(IF(G$35="",F$35,G$35),$B15,1)&gt;SourceEnergy!$N$2,"",INDEX(SourceEnergy!$J:$K,MATCH(DATE(IF(G$35="",F$35,G$35),$B15,1),SourceEnergy!$B:$B,0),MATCH(G$36,SourceEnergy!$J$12:$K$12,0)))</f>
        <v/>
      </c>
      <c r="H45" s="120"/>
      <c r="I45" s="127" t="str">
        <f>IF(DATE(IF(I$35="",H$35,I$35),$B15,1)&gt;SourceEnergy!$N$2,"",INDEX(SourceEnergy!$J:$K,MATCH(DATE(IF(I$35="",H$35,I$35),$B15,1),SourceEnergy!$B:$B,0),MATCH(I$36,SourceEnergy!$J$12:$K$12,0)))</f>
        <v/>
      </c>
      <c r="J45" s="127" t="str">
        <f>IF(DATE(IF(J$35="",I$35,J$35),$B15,1)&gt;SourceEnergy!$N$2,"",INDEX(SourceEnergy!$J:$K,MATCH(DATE(IF(J$35="",I$35,J$35),$B15,1),SourceEnergy!$B:$B,0),MATCH(J$36,SourceEnergy!$J$12:$K$12,0)))</f>
        <v/>
      </c>
      <c r="K45" s="120"/>
      <c r="L45" s="127" t="str">
        <f>IF(DATE(IF(L$35="",K$35,L$35),$B15,1)&gt;SourceEnergy!$N$2,"",INDEX(SourceEnergy!$J:$K,MATCH(DATE(IF(L$35="",K$35,L$35),$B15,1),SourceEnergy!$B:$B,0),MATCH(L$36,SourceEnergy!$J$12:$K$12,0)))</f>
        <v/>
      </c>
      <c r="M45" s="127" t="str">
        <f>IF(DATE(IF(M$35="",L$35,M$35),$B15,1)&gt;SourceEnergy!$N$2,"",INDEX(SourceEnergy!$J:$K,MATCH(DATE(IF(M$35="",L$35,M$35),$B15,1),SourceEnergy!$B:$B,0),MATCH(M$36,SourceEnergy!$J$12:$K$12,0)))</f>
        <v/>
      </c>
      <c r="N45" s="120"/>
      <c r="O45" s="127" t="str">
        <f>IF(DATE(IF(O$35="",N$35,O$35),$B15,1)&gt;SourceEnergy!$N$2,"",INDEX(SourceEnergy!$J:$K,MATCH(DATE(IF(O$35="",N$35,O$35),$B15,1),SourceEnergy!$B:$B,0),MATCH(O$36,SourceEnergy!$J$12:$K$12,0)))</f>
        <v/>
      </c>
      <c r="P45" s="127" t="str">
        <f>IF(DATE(IF(P$35="",O$35,P$35),$B15,1)&gt;SourceEnergy!$N$2,"",INDEX(SourceEnergy!$J:$K,MATCH(DATE(IF(P$35="",O$35,P$35),$B15,1),SourceEnergy!$B:$B,0),MATCH(P$36,SourceEnergy!$J$12:$K$12,0)))</f>
        <v/>
      </c>
      <c r="Q45" s="120"/>
      <c r="R45" s="127" t="str">
        <f>IF(DATE(IF(R$35="",Q$35,R$35),$B15,1)&gt;SourceEnergy!$N$2,"",INDEX(SourceEnergy!$J:$K,MATCH(DATE(IF(R$35="",Q$35,R$35),$B15,1),SourceEnergy!$B:$B,0),MATCH(R$36,SourceEnergy!$J$12:$K$12,0)))</f>
        <v/>
      </c>
      <c r="S45" s="127" t="str">
        <f>IF(DATE(IF(S$35="",R$35,S$35),$B15,1)&gt;SourceEnergy!$N$2,"",INDEX(SourceEnergy!$J:$K,MATCH(DATE(IF(S$35="",R$35,S$35),$B15,1),SourceEnergy!$B:$B,0),MATCH(S$36,SourceEnergy!$J$12:$K$12,0)))</f>
        <v/>
      </c>
    </row>
    <row r="46" spans="2:19" x14ac:dyDescent="0.2">
      <c r="B46" s="125">
        <f t="shared" si="2"/>
        <v>10</v>
      </c>
      <c r="D46" s="126" t="s">
        <v>64</v>
      </c>
      <c r="E46" s="120"/>
      <c r="F46" s="127" t="str">
        <f>IF(DATE(IF(F$35="",E$35,F$35),$B16,1)&gt;SourceEnergy!$N$2,"",INDEX(SourceEnergy!$J:$K,MATCH(DATE(IF(F$35="",E$35,F$35),$B16,1),SourceEnergy!$B:$B,0),MATCH(F$36,SourceEnergy!$J$12:$K$12,0)))</f>
        <v/>
      </c>
      <c r="G46" s="127" t="str">
        <f>IF(DATE(IF(G$35="",F$35,G$35),$B16,1)&gt;SourceEnergy!$N$2,"",INDEX(SourceEnergy!$J:$K,MATCH(DATE(IF(G$35="",F$35,G$35),$B16,1),SourceEnergy!$B:$B,0),MATCH(G$36,SourceEnergy!$J$12:$K$12,0)))</f>
        <v/>
      </c>
      <c r="H46" s="120"/>
      <c r="I46" s="127" t="str">
        <f>IF(DATE(IF(I$35="",H$35,I$35),$B16,1)&gt;SourceEnergy!$N$2,"",INDEX(SourceEnergy!$J:$K,MATCH(DATE(IF(I$35="",H$35,I$35),$B16,1),SourceEnergy!$B:$B,0),MATCH(I$36,SourceEnergy!$J$12:$K$12,0)))</f>
        <v/>
      </c>
      <c r="J46" s="127" t="str">
        <f>IF(DATE(IF(J$35="",I$35,J$35),$B16,1)&gt;SourceEnergy!$N$2,"",INDEX(SourceEnergy!$J:$K,MATCH(DATE(IF(J$35="",I$35,J$35),$B16,1),SourceEnergy!$B:$B,0),MATCH(J$36,SourceEnergy!$J$12:$K$12,0)))</f>
        <v/>
      </c>
      <c r="K46" s="120"/>
      <c r="L46" s="127" t="str">
        <f>IF(DATE(IF(L$35="",K$35,L$35),$B16,1)&gt;SourceEnergy!$N$2,"",INDEX(SourceEnergy!$J:$K,MATCH(DATE(IF(L$35="",K$35,L$35),$B16,1),SourceEnergy!$B:$B,0),MATCH(L$36,SourceEnergy!$J$12:$K$12,0)))</f>
        <v/>
      </c>
      <c r="M46" s="127" t="str">
        <f>IF(DATE(IF(M$35="",L$35,M$35),$B16,1)&gt;SourceEnergy!$N$2,"",INDEX(SourceEnergy!$J:$K,MATCH(DATE(IF(M$35="",L$35,M$35),$B16,1),SourceEnergy!$B:$B,0),MATCH(M$36,SourceEnergy!$J$12:$K$12,0)))</f>
        <v/>
      </c>
      <c r="N46" s="120"/>
      <c r="O46" s="127" t="str">
        <f>IF(DATE(IF(O$35="",N$35,O$35),$B16,1)&gt;SourceEnergy!$N$2,"",INDEX(SourceEnergy!$J:$K,MATCH(DATE(IF(O$35="",N$35,O$35),$B16,1),SourceEnergy!$B:$B,0),MATCH(O$36,SourceEnergy!$J$12:$K$12,0)))</f>
        <v/>
      </c>
      <c r="P46" s="127" t="str">
        <f>IF(DATE(IF(P$35="",O$35,P$35),$B16,1)&gt;SourceEnergy!$N$2,"",INDEX(SourceEnergy!$J:$K,MATCH(DATE(IF(P$35="",O$35,P$35),$B16,1),SourceEnergy!$B:$B,0),MATCH(P$36,SourceEnergy!$J$12:$K$12,0)))</f>
        <v/>
      </c>
      <c r="Q46" s="120"/>
      <c r="R46" s="127" t="str">
        <f>IF(DATE(IF(R$35="",Q$35,R$35),$B16,1)&gt;SourceEnergy!$N$2,"",INDEX(SourceEnergy!$J:$K,MATCH(DATE(IF(R$35="",Q$35,R$35),$B16,1),SourceEnergy!$B:$B,0),MATCH(R$36,SourceEnergy!$J$12:$K$12,0)))</f>
        <v/>
      </c>
      <c r="S46" s="127" t="str">
        <f>IF(DATE(IF(S$35="",R$35,S$35),$B16,1)&gt;SourceEnergy!$N$2,"",INDEX(SourceEnergy!$J:$K,MATCH(DATE(IF(S$35="",R$35,S$35),$B16,1),SourceEnergy!$B:$B,0),MATCH(S$36,SourceEnergy!$J$12:$K$12,0)))</f>
        <v/>
      </c>
    </row>
    <row r="47" spans="2:19" x14ac:dyDescent="0.2">
      <c r="B47" s="125">
        <f t="shared" si="2"/>
        <v>11</v>
      </c>
      <c r="D47" s="126" t="s">
        <v>65</v>
      </c>
      <c r="E47" s="120"/>
      <c r="F47" s="127" t="str">
        <f>IF(DATE(IF(F$35="",E$35,F$35),$B17,1)&gt;SourceEnergy!$N$2,"",INDEX(SourceEnergy!$J:$K,MATCH(DATE(IF(F$35="",E$35,F$35),$B17,1),SourceEnergy!$B:$B,0),MATCH(F$36,SourceEnergy!$J$12:$K$12,0)))</f>
        <v/>
      </c>
      <c r="G47" s="127" t="str">
        <f>IF(DATE(IF(G$35="",F$35,G$35),$B17,1)&gt;SourceEnergy!$N$2,"",INDEX(SourceEnergy!$J:$K,MATCH(DATE(IF(G$35="",F$35,G$35),$B17,1),SourceEnergy!$B:$B,0),MATCH(G$36,SourceEnergy!$J$12:$K$12,0)))</f>
        <v/>
      </c>
      <c r="H47" s="120"/>
      <c r="I47" s="127" t="str">
        <f>IF(DATE(IF(I$35="",H$35,I$35),$B17,1)&gt;SourceEnergy!$N$2,"",INDEX(SourceEnergy!$J:$K,MATCH(DATE(IF(I$35="",H$35,I$35),$B17,1),SourceEnergy!$B:$B,0),MATCH(I$36,SourceEnergy!$J$12:$K$12,0)))</f>
        <v/>
      </c>
      <c r="J47" s="127" t="str">
        <f>IF(DATE(IF(J$35="",I$35,J$35),$B17,1)&gt;SourceEnergy!$N$2,"",INDEX(SourceEnergy!$J:$K,MATCH(DATE(IF(J$35="",I$35,J$35),$B17,1),SourceEnergy!$B:$B,0),MATCH(J$36,SourceEnergy!$J$12:$K$12,0)))</f>
        <v/>
      </c>
      <c r="K47" s="120"/>
      <c r="L47" s="127" t="str">
        <f>IF(DATE(IF(L$35="",K$35,L$35),$B17,1)&gt;SourceEnergy!$N$2,"",INDEX(SourceEnergy!$J:$K,MATCH(DATE(IF(L$35="",K$35,L$35),$B17,1),SourceEnergy!$B:$B,0),MATCH(L$36,SourceEnergy!$J$12:$K$12,0)))</f>
        <v/>
      </c>
      <c r="M47" s="127" t="str">
        <f>IF(DATE(IF(M$35="",L$35,M$35),$B17,1)&gt;SourceEnergy!$N$2,"",INDEX(SourceEnergy!$J:$K,MATCH(DATE(IF(M$35="",L$35,M$35),$B17,1),SourceEnergy!$B:$B,0),MATCH(M$36,SourceEnergy!$J$12:$K$12,0)))</f>
        <v/>
      </c>
      <c r="N47" s="120"/>
      <c r="O47" s="127" t="str">
        <f>IF(DATE(IF(O$35="",N$35,O$35),$B17,1)&gt;SourceEnergy!$N$2,"",INDEX(SourceEnergy!$J:$K,MATCH(DATE(IF(O$35="",N$35,O$35),$B17,1),SourceEnergy!$B:$B,0),MATCH(O$36,SourceEnergy!$J$12:$K$12,0)))</f>
        <v/>
      </c>
      <c r="P47" s="127" t="str">
        <f>IF(DATE(IF(P$35="",O$35,P$35),$B17,1)&gt;SourceEnergy!$N$2,"",INDEX(SourceEnergy!$J:$K,MATCH(DATE(IF(P$35="",O$35,P$35),$B17,1),SourceEnergy!$B:$B,0),MATCH(P$36,SourceEnergy!$J$12:$K$12,0)))</f>
        <v/>
      </c>
      <c r="Q47" s="120"/>
      <c r="R47" s="127" t="str">
        <f>IF(DATE(IF(R$35="",Q$35,R$35),$B17,1)&gt;SourceEnergy!$N$2,"",INDEX(SourceEnergy!$J:$K,MATCH(DATE(IF(R$35="",Q$35,R$35),$B17,1),SourceEnergy!$B:$B,0),MATCH(R$36,SourceEnergy!$J$12:$K$12,0)))</f>
        <v/>
      </c>
      <c r="S47" s="127" t="str">
        <f>IF(DATE(IF(S$35="",R$35,S$35),$B17,1)&gt;SourceEnergy!$N$2,"",INDEX(SourceEnergy!$J:$K,MATCH(DATE(IF(S$35="",R$35,S$35),$B17,1),SourceEnergy!$B:$B,0),MATCH(S$36,SourceEnergy!$J$12:$K$12,0)))</f>
        <v/>
      </c>
    </row>
    <row r="48" spans="2:19" x14ac:dyDescent="0.2">
      <c r="B48" s="125">
        <f t="shared" si="2"/>
        <v>12</v>
      </c>
      <c r="D48" s="126" t="s">
        <v>66</v>
      </c>
      <c r="E48" s="120"/>
      <c r="F48" s="127" t="str">
        <f>IF(DATE(IF(F$35="",E$35,F$35),$B18,1)&gt;SourceEnergy!$N$2,"",INDEX(SourceEnergy!$J:$K,MATCH(DATE(IF(F$35="",E$35,F$35),$B18,1),SourceEnergy!$B:$B,0),MATCH(F$36,SourceEnergy!$J$12:$K$12,0)))</f>
        <v/>
      </c>
      <c r="G48" s="127" t="str">
        <f>IF(DATE(IF(G$35="",F$35,G$35),$B18,1)&gt;SourceEnergy!$N$2,"",INDEX(SourceEnergy!$J:$K,MATCH(DATE(IF(G$35="",F$35,G$35),$B18,1),SourceEnergy!$B:$B,0),MATCH(G$36,SourceEnergy!$J$12:$K$12,0)))</f>
        <v/>
      </c>
      <c r="H48" s="120"/>
      <c r="I48" s="127" t="str">
        <f>IF(DATE(IF(I$35="",H$35,I$35),$B18,1)&gt;SourceEnergy!$N$2,"",INDEX(SourceEnergy!$J:$K,MATCH(DATE(IF(I$35="",H$35,I$35),$B18,1),SourceEnergy!$B:$B,0),MATCH(I$36,SourceEnergy!$J$12:$K$12,0)))</f>
        <v/>
      </c>
      <c r="J48" s="127" t="str">
        <f>IF(DATE(IF(J$35="",I$35,J$35),$B18,1)&gt;SourceEnergy!$N$2,"",INDEX(SourceEnergy!$J:$K,MATCH(DATE(IF(J$35="",I$35,J$35),$B18,1),SourceEnergy!$B:$B,0),MATCH(J$36,SourceEnergy!$J$12:$K$12,0)))</f>
        <v/>
      </c>
      <c r="K48" s="120"/>
      <c r="L48" s="127" t="str">
        <f>IF(DATE(IF(L$35="",K$35,L$35),$B18,1)&gt;SourceEnergy!$N$2,"",INDEX(SourceEnergy!$J:$K,MATCH(DATE(IF(L$35="",K$35,L$35),$B18,1),SourceEnergy!$B:$B,0),MATCH(L$36,SourceEnergy!$J$12:$K$12,0)))</f>
        <v/>
      </c>
      <c r="M48" s="127" t="str">
        <f>IF(DATE(IF(M$35="",L$35,M$35),$B18,1)&gt;SourceEnergy!$N$2,"",INDEX(SourceEnergy!$J:$K,MATCH(DATE(IF(M$35="",L$35,M$35),$B18,1),SourceEnergy!$B:$B,0),MATCH(M$36,SourceEnergy!$J$12:$K$12,0)))</f>
        <v/>
      </c>
      <c r="N48" s="120"/>
      <c r="O48" s="127" t="str">
        <f>IF(DATE(IF(O$35="",N$35,O$35),$B18,1)&gt;SourceEnergy!$N$2,"",INDEX(SourceEnergy!$J:$K,MATCH(DATE(IF(O$35="",N$35,O$35),$B18,1),SourceEnergy!$B:$B,0),MATCH(O$36,SourceEnergy!$J$12:$K$12,0)))</f>
        <v/>
      </c>
      <c r="P48" s="127" t="str">
        <f>IF(DATE(IF(P$35="",O$35,P$35),$B18,1)&gt;SourceEnergy!$N$2,"",INDEX(SourceEnergy!$J:$K,MATCH(DATE(IF(P$35="",O$35,P$35),$B18,1),SourceEnergy!$B:$B,0),MATCH(P$36,SourceEnergy!$J$12:$K$12,0)))</f>
        <v/>
      </c>
      <c r="Q48" s="120"/>
      <c r="R48" s="127" t="str">
        <f>IF(DATE(IF(R$35="",Q$35,R$35),$B18,1)&gt;SourceEnergy!$N$2,"",INDEX(SourceEnergy!$J:$K,MATCH(DATE(IF(R$35="",Q$35,R$35),$B18,1),SourceEnergy!$B:$B,0),MATCH(R$36,SourceEnergy!$J$12:$K$12,0)))</f>
        <v/>
      </c>
      <c r="S48" s="127" t="str">
        <f>IF(DATE(IF(S$35="",R$35,S$35),$B18,1)&gt;SourceEnergy!$N$2,"",INDEX(SourceEnergy!$J:$K,MATCH(DATE(IF(S$35="",R$35,S$35),$B18,1),SourceEnergy!$B:$B,0),MATCH(S$36,SourceEnergy!$J$12:$K$12,0)))</f>
        <v/>
      </c>
    </row>
    <row r="49" spans="2:20" x14ac:dyDescent="0.2">
      <c r="D49" s="120"/>
      <c r="E49" s="120"/>
      <c r="F49" s="120"/>
      <c r="G49" s="120"/>
      <c r="H49" s="120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2:20" x14ac:dyDescent="0.2">
      <c r="B50" s="121"/>
      <c r="D50" s="122"/>
      <c r="E50" s="120"/>
      <c r="F50" s="85">
        <f>R35+1</f>
        <v>2034</v>
      </c>
      <c r="G50" s="86"/>
      <c r="H50" s="120"/>
      <c r="I50" s="85">
        <f>F50+1</f>
        <v>2035</v>
      </c>
      <c r="J50" s="86"/>
      <c r="K50" s="120"/>
      <c r="L50" s="85">
        <f>I50+1</f>
        <v>2036</v>
      </c>
      <c r="M50" s="86"/>
      <c r="N50" s="120"/>
      <c r="O50" s="85">
        <f>L50+1</f>
        <v>2037</v>
      </c>
      <c r="P50" s="86"/>
      <c r="Q50" s="120"/>
      <c r="R50" s="85">
        <f>O50+1</f>
        <v>2038</v>
      </c>
      <c r="S50" s="86"/>
      <c r="T50" s="130"/>
    </row>
    <row r="51" spans="2:20" x14ac:dyDescent="0.2">
      <c r="B51" s="123" t="s">
        <v>2</v>
      </c>
      <c r="D51" s="124" t="s">
        <v>2</v>
      </c>
      <c r="E51" s="120"/>
      <c r="F51" s="87" t="s">
        <v>9</v>
      </c>
      <c r="G51" s="87" t="s">
        <v>10</v>
      </c>
      <c r="H51" s="120"/>
      <c r="I51" s="87" t="s">
        <v>9</v>
      </c>
      <c r="J51" s="87" t="s">
        <v>10</v>
      </c>
      <c r="K51" s="120"/>
      <c r="L51" s="87" t="s">
        <v>9</v>
      </c>
      <c r="M51" s="87" t="s">
        <v>10</v>
      </c>
      <c r="N51" s="120"/>
      <c r="O51" s="87" t="s">
        <v>9</v>
      </c>
      <c r="P51" s="87" t="s">
        <v>10</v>
      </c>
      <c r="Q51" s="120"/>
      <c r="R51" s="87" t="s">
        <v>9</v>
      </c>
      <c r="S51" s="87" t="s">
        <v>10</v>
      </c>
      <c r="T51" s="130"/>
    </row>
    <row r="52" spans="2:20" x14ac:dyDescent="0.2">
      <c r="B52" s="125">
        <v>1</v>
      </c>
      <c r="D52" s="126" t="s">
        <v>55</v>
      </c>
      <c r="E52" s="120"/>
      <c r="F52" s="127" t="str">
        <f>IF(DATE(IF(F$50="",E$50,F$50),$B7,1)&gt;SourceEnergy!$N$2,"",INDEX(SourceEnergy!$J:$K,MATCH(DATE(IF(F$50="",E$50,F$50),$B7,1),SourceEnergy!$B:$B,0),MATCH(F$51,SourceEnergy!$J$12:$K$12,0)))</f>
        <v/>
      </c>
      <c r="G52" s="127" t="str">
        <f>IF(DATE(IF(G$50="",F$50,G$50),$B7,1)&gt;SourceEnergy!$N$2,"",INDEX(SourceEnergy!$J:$K,MATCH(DATE(IF(G$50="",F$50,G$50),$B7,1),SourceEnergy!$B:$B,0),MATCH(G$51,SourceEnergy!$J$12:$K$12,0)))</f>
        <v/>
      </c>
      <c r="H52" s="120"/>
      <c r="I52" s="127" t="str">
        <f>IF(DATE(IF(I$50="",H$50,I$50),$B7,1)&gt;SourceEnergy!$N$2,"",INDEX(SourceEnergy!$J:$K,MATCH(DATE(IF(I$50="",H$50,I$50),$B7,1),SourceEnergy!$B:$B,0),MATCH(I$51,SourceEnergy!$J$12:$K$12,0)))</f>
        <v/>
      </c>
      <c r="J52" s="127" t="str">
        <f>IF(DATE(IF(J$50="",I$50,J$50),$B7,1)&gt;SourceEnergy!$N$2,"",INDEX(SourceEnergy!$J:$K,MATCH(DATE(IF(J$50="",I$50,J$50),$B7,1),SourceEnergy!$B:$B,0),MATCH(J$51,SourceEnergy!$J$12:$K$12,0)))</f>
        <v/>
      </c>
      <c r="K52" s="120"/>
      <c r="L52" s="127" t="str">
        <f>IF(DATE(IF(L$50="",K$50,L$50),$B7,1)&gt;SourceEnergy!$N$2,"",INDEX(SourceEnergy!$J:$K,MATCH(DATE(IF(L$50="",K$50,L$50),$B7,1),SourceEnergy!$B:$B,0),MATCH(L$51,SourceEnergy!$J$12:$K$12,0)))</f>
        <v/>
      </c>
      <c r="M52" s="127" t="str">
        <f>IF(DATE(IF(M$50="",L$50,M$50),$B7,1)&gt;SourceEnergy!$N$2,"",INDEX(SourceEnergy!$J:$K,MATCH(DATE(IF(M$50="",L$50,M$50),$B7,1),SourceEnergy!$B:$B,0),MATCH(M$51,SourceEnergy!$J$12:$K$12,0)))</f>
        <v/>
      </c>
      <c r="N52" s="120"/>
      <c r="O52" s="127" t="str">
        <f>IF(DATE(IF(O$50="",N$50,O$50),$B7,1)&gt;SourceEnergy!$N$2,"",INDEX(SourceEnergy!$J:$K,MATCH(DATE(IF(O$50="",N$50,O$50),$B7,1),SourceEnergy!$B:$B,0),MATCH(O$51,SourceEnergy!$J$12:$K$12,0)))</f>
        <v/>
      </c>
      <c r="P52" s="127" t="str">
        <f>IF(DATE(IF(P$50="",O$50,P$50),$B7,1)&gt;SourceEnergy!$N$2,"",INDEX(SourceEnergy!$J:$K,MATCH(DATE(IF(P$50="",O$50,P$50),$B7,1),SourceEnergy!$B:$B,0),MATCH(P$51,SourceEnergy!$J$12:$K$12,0)))</f>
        <v/>
      </c>
      <c r="Q52" s="120"/>
      <c r="R52" s="127" t="str">
        <f>IF(DATE(IF(R$50="",Q$50,R$50),$B7,1)&gt;SourceEnergy!$N$2,"",INDEX(SourceEnergy!$J:$K,MATCH(DATE(IF(R$50="",Q$50,R$50),$B7,1),SourceEnergy!$B:$B,0),MATCH(R$51,SourceEnergy!$J$12:$K$12,0)))</f>
        <v/>
      </c>
      <c r="S52" s="127" t="str">
        <f>IF(DATE(IF(S$50="",R$50,S$50),$B7,1)&gt;SourceEnergy!$N$2,"",INDEX(SourceEnergy!$J:$K,MATCH(DATE(IF(S$50="",R$50,S$50),$B7,1),SourceEnergy!$B:$B,0),MATCH(S$51,SourceEnergy!$J$12:$K$12,0)))</f>
        <v/>
      </c>
      <c r="T52" s="130"/>
    </row>
    <row r="53" spans="2:20" x14ac:dyDescent="0.2">
      <c r="B53" s="125">
        <f t="shared" ref="B53:B63" si="3">B52+1</f>
        <v>2</v>
      </c>
      <c r="D53" s="126" t="s">
        <v>57</v>
      </c>
      <c r="E53" s="120"/>
      <c r="F53" s="127" t="str">
        <f>IF(DATE(IF(F$50="",E$50,F$50),$B8,1)&gt;SourceEnergy!$N$2,"",INDEX(SourceEnergy!$J:$K,MATCH(DATE(IF(F$50="",E$50,F$50),$B8,1),SourceEnergy!$B:$B,0),MATCH(F$51,SourceEnergy!$J$12:$K$12,0)))</f>
        <v/>
      </c>
      <c r="G53" s="127" t="str">
        <f>IF(DATE(IF(G$50="",F$50,G$50),$B8,1)&gt;SourceEnergy!$N$2,"",INDEX(SourceEnergy!$J:$K,MATCH(DATE(IF(G$50="",F$50,G$50),$B8,1),SourceEnergy!$B:$B,0),MATCH(G$51,SourceEnergy!$J$12:$K$12,0)))</f>
        <v/>
      </c>
      <c r="H53" s="120"/>
      <c r="I53" s="127" t="str">
        <f>IF(DATE(IF(I$50="",H$50,I$50),$B8,1)&gt;SourceEnergy!$N$2,"",INDEX(SourceEnergy!$J:$K,MATCH(DATE(IF(I$50="",H$50,I$50),$B8,1),SourceEnergy!$B:$B,0),MATCH(I$51,SourceEnergy!$J$12:$K$12,0)))</f>
        <v/>
      </c>
      <c r="J53" s="127" t="str">
        <f>IF(DATE(IF(J$50="",I$50,J$50),$B8,1)&gt;SourceEnergy!$N$2,"",INDEX(SourceEnergy!$J:$K,MATCH(DATE(IF(J$50="",I$50,J$50),$B8,1),SourceEnergy!$B:$B,0),MATCH(J$51,SourceEnergy!$J$12:$K$12,0)))</f>
        <v/>
      </c>
      <c r="K53" s="120"/>
      <c r="L53" s="127" t="str">
        <f>IF(DATE(IF(L$50="",K$50,L$50),$B8,1)&gt;SourceEnergy!$N$2,"",INDEX(SourceEnergy!$J:$K,MATCH(DATE(IF(L$50="",K$50,L$50),$B8,1),SourceEnergy!$B:$B,0),MATCH(L$51,SourceEnergy!$J$12:$K$12,0)))</f>
        <v/>
      </c>
      <c r="M53" s="127" t="str">
        <f>IF(DATE(IF(M$50="",L$50,M$50),$B8,1)&gt;SourceEnergy!$N$2,"",INDEX(SourceEnergy!$J:$K,MATCH(DATE(IF(M$50="",L$50,M$50),$B8,1),SourceEnergy!$B:$B,0),MATCH(M$51,SourceEnergy!$J$12:$K$12,0)))</f>
        <v/>
      </c>
      <c r="N53" s="120"/>
      <c r="O53" s="127" t="str">
        <f>IF(DATE(IF(O$50="",N$50,O$50),$B8,1)&gt;SourceEnergy!$N$2,"",INDEX(SourceEnergy!$J:$K,MATCH(DATE(IF(O$50="",N$50,O$50),$B8,1),SourceEnergy!$B:$B,0),MATCH(O$51,SourceEnergy!$J$12:$K$12,0)))</f>
        <v/>
      </c>
      <c r="P53" s="127" t="str">
        <f>IF(DATE(IF(P$50="",O$50,P$50),$B8,1)&gt;SourceEnergy!$N$2,"",INDEX(SourceEnergy!$J:$K,MATCH(DATE(IF(P$50="",O$50,P$50),$B8,1),SourceEnergy!$B:$B,0),MATCH(P$51,SourceEnergy!$J$12:$K$12,0)))</f>
        <v/>
      </c>
      <c r="Q53" s="120"/>
      <c r="R53" s="127" t="str">
        <f>IF(DATE(IF(R$50="",Q$50,R$50),$B8,1)&gt;SourceEnergy!$N$2,"",INDEX(SourceEnergy!$J:$K,MATCH(DATE(IF(R$50="",Q$50,R$50),$B8,1),SourceEnergy!$B:$B,0),MATCH(R$51,SourceEnergy!$J$12:$K$12,0)))</f>
        <v/>
      </c>
      <c r="S53" s="127" t="str">
        <f>IF(DATE(IF(S$50="",R$50,S$50),$B8,1)&gt;SourceEnergy!$N$2,"",INDEX(SourceEnergy!$J:$K,MATCH(DATE(IF(S$50="",R$50,S$50),$B8,1),SourceEnergy!$B:$B,0),MATCH(S$51,SourceEnergy!$J$12:$K$12,0)))</f>
        <v/>
      </c>
      <c r="T53" s="130"/>
    </row>
    <row r="54" spans="2:20" x14ac:dyDescent="0.2">
      <c r="B54" s="125">
        <f t="shared" si="3"/>
        <v>3</v>
      </c>
      <c r="D54" s="126" t="s">
        <v>58</v>
      </c>
      <c r="E54" s="120"/>
      <c r="F54" s="127" t="str">
        <f>IF(DATE(IF(F$50="",E$50,F$50),$B9,1)&gt;SourceEnergy!$N$2,"",INDEX(SourceEnergy!$J:$K,MATCH(DATE(IF(F$50="",E$50,F$50),$B9,1),SourceEnergy!$B:$B,0),MATCH(F$51,SourceEnergy!$J$12:$K$12,0)))</f>
        <v/>
      </c>
      <c r="G54" s="127" t="str">
        <f>IF(DATE(IF(G$50="",F$50,G$50),$B9,1)&gt;SourceEnergy!$N$2,"",INDEX(SourceEnergy!$J:$K,MATCH(DATE(IF(G$50="",F$50,G$50),$B9,1),SourceEnergy!$B:$B,0),MATCH(G$51,SourceEnergy!$J$12:$K$12,0)))</f>
        <v/>
      </c>
      <c r="H54" s="120"/>
      <c r="I54" s="127" t="str">
        <f>IF(DATE(IF(I$50="",H$50,I$50),$B9,1)&gt;SourceEnergy!$N$2,"",INDEX(SourceEnergy!$J:$K,MATCH(DATE(IF(I$50="",H$50,I$50),$B9,1),SourceEnergy!$B:$B,0),MATCH(I$51,SourceEnergy!$J$12:$K$12,0)))</f>
        <v/>
      </c>
      <c r="J54" s="127" t="str">
        <f>IF(DATE(IF(J$50="",I$50,J$50),$B9,1)&gt;SourceEnergy!$N$2,"",INDEX(SourceEnergy!$J:$K,MATCH(DATE(IF(J$50="",I$50,J$50),$B9,1),SourceEnergy!$B:$B,0),MATCH(J$51,SourceEnergy!$J$12:$K$12,0)))</f>
        <v/>
      </c>
      <c r="K54" s="120"/>
      <c r="L54" s="127" t="str">
        <f>IF(DATE(IF(L$50="",K$50,L$50),$B9,1)&gt;SourceEnergy!$N$2,"",INDEX(SourceEnergy!$J:$K,MATCH(DATE(IF(L$50="",K$50,L$50),$B9,1),SourceEnergy!$B:$B,0),MATCH(L$51,SourceEnergy!$J$12:$K$12,0)))</f>
        <v/>
      </c>
      <c r="M54" s="127" t="str">
        <f>IF(DATE(IF(M$50="",L$50,M$50),$B9,1)&gt;SourceEnergy!$N$2,"",INDEX(SourceEnergy!$J:$K,MATCH(DATE(IF(M$50="",L$50,M$50),$B9,1),SourceEnergy!$B:$B,0),MATCH(M$51,SourceEnergy!$J$12:$K$12,0)))</f>
        <v/>
      </c>
      <c r="N54" s="120"/>
      <c r="O54" s="127" t="str">
        <f>IF(DATE(IF(O$50="",N$50,O$50),$B9,1)&gt;SourceEnergy!$N$2,"",INDEX(SourceEnergy!$J:$K,MATCH(DATE(IF(O$50="",N$50,O$50),$B9,1),SourceEnergy!$B:$B,0),MATCH(O$51,SourceEnergy!$J$12:$K$12,0)))</f>
        <v/>
      </c>
      <c r="P54" s="127" t="str">
        <f>IF(DATE(IF(P$50="",O$50,P$50),$B9,1)&gt;SourceEnergy!$N$2,"",INDEX(SourceEnergy!$J:$K,MATCH(DATE(IF(P$50="",O$50,P$50),$B9,1),SourceEnergy!$B:$B,0),MATCH(P$51,SourceEnergy!$J$12:$K$12,0)))</f>
        <v/>
      </c>
      <c r="Q54" s="120"/>
      <c r="R54" s="127" t="str">
        <f>IF(DATE(IF(R$50="",Q$50,R$50),$B9,1)&gt;SourceEnergy!$N$2,"",INDEX(SourceEnergy!$J:$K,MATCH(DATE(IF(R$50="",Q$50,R$50),$B9,1),SourceEnergy!$B:$B,0),MATCH(R$51,SourceEnergy!$J$12:$K$12,0)))</f>
        <v/>
      </c>
      <c r="S54" s="127" t="str">
        <f>IF(DATE(IF(S$50="",R$50,S$50),$B9,1)&gt;SourceEnergy!$N$2,"",INDEX(SourceEnergy!$J:$K,MATCH(DATE(IF(S$50="",R$50,S$50),$B9,1),SourceEnergy!$B:$B,0),MATCH(S$51,SourceEnergy!$J$12:$K$12,0)))</f>
        <v/>
      </c>
      <c r="T54" s="130"/>
    </row>
    <row r="55" spans="2:20" x14ac:dyDescent="0.2">
      <c r="B55" s="125">
        <f t="shared" si="3"/>
        <v>4</v>
      </c>
      <c r="D55" s="126" t="s">
        <v>59</v>
      </c>
      <c r="E55" s="120"/>
      <c r="F55" s="127" t="str">
        <f>IF(DATE(IF(F$50="",E$50,F$50),$B10,1)&gt;SourceEnergy!$N$2,"",INDEX(SourceEnergy!$J:$K,MATCH(DATE(IF(F$50="",E$50,F$50),$B10,1),SourceEnergy!$B:$B,0),MATCH(F$51,SourceEnergy!$J$12:$K$12,0)))</f>
        <v/>
      </c>
      <c r="G55" s="127" t="str">
        <f>IF(DATE(IF(G$50="",F$50,G$50),$B10,1)&gt;SourceEnergy!$N$2,"",INDEX(SourceEnergy!$J:$K,MATCH(DATE(IF(G$50="",F$50,G$50),$B10,1),SourceEnergy!$B:$B,0),MATCH(G$51,SourceEnergy!$J$12:$K$12,0)))</f>
        <v/>
      </c>
      <c r="H55" s="120"/>
      <c r="I55" s="127" t="str">
        <f>IF(DATE(IF(I$50="",H$50,I$50),$B10,1)&gt;SourceEnergy!$N$2,"",INDEX(SourceEnergy!$J:$K,MATCH(DATE(IF(I$50="",H$50,I$50),$B10,1),SourceEnergy!$B:$B,0),MATCH(I$51,SourceEnergy!$J$12:$K$12,0)))</f>
        <v/>
      </c>
      <c r="J55" s="127" t="str">
        <f>IF(DATE(IF(J$50="",I$50,J$50),$B10,1)&gt;SourceEnergy!$N$2,"",INDEX(SourceEnergy!$J:$K,MATCH(DATE(IF(J$50="",I$50,J$50),$B10,1),SourceEnergy!$B:$B,0),MATCH(J$51,SourceEnergy!$J$12:$K$12,0)))</f>
        <v/>
      </c>
      <c r="K55" s="120"/>
      <c r="L55" s="127" t="str">
        <f>IF(DATE(IF(L$50="",K$50,L$50),$B10,1)&gt;SourceEnergy!$N$2,"",INDEX(SourceEnergy!$J:$K,MATCH(DATE(IF(L$50="",K$50,L$50),$B10,1),SourceEnergy!$B:$B,0),MATCH(L$51,SourceEnergy!$J$12:$K$12,0)))</f>
        <v/>
      </c>
      <c r="M55" s="127" t="str">
        <f>IF(DATE(IF(M$50="",L$50,M$50),$B10,1)&gt;SourceEnergy!$N$2,"",INDEX(SourceEnergy!$J:$K,MATCH(DATE(IF(M$50="",L$50,M$50),$B10,1),SourceEnergy!$B:$B,0),MATCH(M$51,SourceEnergy!$J$12:$K$12,0)))</f>
        <v/>
      </c>
      <c r="N55" s="120"/>
      <c r="O55" s="127" t="str">
        <f>IF(DATE(IF(O$50="",N$50,O$50),$B10,1)&gt;SourceEnergy!$N$2,"",INDEX(SourceEnergy!$J:$K,MATCH(DATE(IF(O$50="",N$50,O$50),$B10,1),SourceEnergy!$B:$B,0),MATCH(O$51,SourceEnergy!$J$12:$K$12,0)))</f>
        <v/>
      </c>
      <c r="P55" s="127" t="str">
        <f>IF(DATE(IF(P$50="",O$50,P$50),$B10,1)&gt;SourceEnergy!$N$2,"",INDEX(SourceEnergy!$J:$K,MATCH(DATE(IF(P$50="",O$50,P$50),$B10,1),SourceEnergy!$B:$B,0),MATCH(P$51,SourceEnergy!$J$12:$K$12,0)))</f>
        <v/>
      </c>
      <c r="Q55" s="120"/>
      <c r="R55" s="127" t="str">
        <f>IF(DATE(IF(R$50="",Q$50,R$50),$B10,1)&gt;SourceEnergy!$N$2,"",INDEX(SourceEnergy!$J:$K,MATCH(DATE(IF(R$50="",Q$50,R$50),$B10,1),SourceEnergy!$B:$B,0),MATCH(R$51,SourceEnergy!$J$12:$K$12,0)))</f>
        <v/>
      </c>
      <c r="S55" s="127" t="str">
        <f>IF(DATE(IF(S$50="",R$50,S$50),$B10,1)&gt;SourceEnergy!$N$2,"",INDEX(SourceEnergy!$J:$K,MATCH(DATE(IF(S$50="",R$50,S$50),$B10,1),SourceEnergy!$B:$B,0),MATCH(S$51,SourceEnergy!$J$12:$K$12,0)))</f>
        <v/>
      </c>
      <c r="T55" s="130"/>
    </row>
    <row r="56" spans="2:20" x14ac:dyDescent="0.2">
      <c r="B56" s="125">
        <f t="shared" si="3"/>
        <v>5</v>
      </c>
      <c r="D56" s="126" t="s">
        <v>56</v>
      </c>
      <c r="E56" s="120"/>
      <c r="F56" s="127" t="str">
        <f>IF(DATE(IF(F$50="",E$50,F$50),$B11,1)&gt;SourceEnergy!$N$2,"",INDEX(SourceEnergy!$J:$K,MATCH(DATE(IF(F$50="",E$50,F$50),$B11,1),SourceEnergy!$B:$B,0),MATCH(F$51,SourceEnergy!$J$12:$K$12,0)))</f>
        <v/>
      </c>
      <c r="G56" s="127" t="str">
        <f>IF(DATE(IF(G$50="",F$50,G$50),$B11,1)&gt;SourceEnergy!$N$2,"",INDEX(SourceEnergy!$J:$K,MATCH(DATE(IF(G$50="",F$50,G$50),$B11,1),SourceEnergy!$B:$B,0),MATCH(G$51,SourceEnergy!$J$12:$K$12,0)))</f>
        <v/>
      </c>
      <c r="H56" s="120"/>
      <c r="I56" s="127" t="str">
        <f>IF(DATE(IF(I$50="",H$50,I$50),$B11,1)&gt;SourceEnergy!$N$2,"",INDEX(SourceEnergy!$J:$K,MATCH(DATE(IF(I$50="",H$50,I$50),$B11,1),SourceEnergy!$B:$B,0),MATCH(I$51,SourceEnergy!$J$12:$K$12,0)))</f>
        <v/>
      </c>
      <c r="J56" s="127" t="str">
        <f>IF(DATE(IF(J$50="",I$50,J$50),$B11,1)&gt;SourceEnergy!$N$2,"",INDEX(SourceEnergy!$J:$K,MATCH(DATE(IF(J$50="",I$50,J$50),$B11,1),SourceEnergy!$B:$B,0),MATCH(J$51,SourceEnergy!$J$12:$K$12,0)))</f>
        <v/>
      </c>
      <c r="K56" s="120"/>
      <c r="L56" s="127" t="str">
        <f>IF(DATE(IF(L$50="",K$50,L$50),$B11,1)&gt;SourceEnergy!$N$2,"",INDEX(SourceEnergy!$J:$K,MATCH(DATE(IF(L$50="",K$50,L$50),$B11,1),SourceEnergy!$B:$B,0),MATCH(L$51,SourceEnergy!$J$12:$K$12,0)))</f>
        <v/>
      </c>
      <c r="M56" s="127" t="str">
        <f>IF(DATE(IF(M$50="",L$50,M$50),$B11,1)&gt;SourceEnergy!$N$2,"",INDEX(SourceEnergy!$J:$K,MATCH(DATE(IF(M$50="",L$50,M$50),$B11,1),SourceEnergy!$B:$B,0),MATCH(M$51,SourceEnergy!$J$12:$K$12,0)))</f>
        <v/>
      </c>
      <c r="N56" s="120"/>
      <c r="O56" s="127" t="str">
        <f>IF(DATE(IF(O$50="",N$50,O$50),$B11,1)&gt;SourceEnergy!$N$2,"",INDEX(SourceEnergy!$J:$K,MATCH(DATE(IF(O$50="",N$50,O$50),$B11,1),SourceEnergy!$B:$B,0),MATCH(O$51,SourceEnergy!$J$12:$K$12,0)))</f>
        <v/>
      </c>
      <c r="P56" s="127" t="str">
        <f>IF(DATE(IF(P$50="",O$50,P$50),$B11,1)&gt;SourceEnergy!$N$2,"",INDEX(SourceEnergy!$J:$K,MATCH(DATE(IF(P$50="",O$50,P$50),$B11,1),SourceEnergy!$B:$B,0),MATCH(P$51,SourceEnergy!$J$12:$K$12,0)))</f>
        <v/>
      </c>
      <c r="Q56" s="120"/>
      <c r="R56" s="127" t="str">
        <f>IF(DATE(IF(R$50="",Q$50,R$50),$B11,1)&gt;SourceEnergy!$N$2,"",INDEX(SourceEnergy!$J:$K,MATCH(DATE(IF(R$50="",Q$50,R$50),$B11,1),SourceEnergy!$B:$B,0),MATCH(R$51,SourceEnergy!$J$12:$K$12,0)))</f>
        <v/>
      </c>
      <c r="S56" s="127" t="str">
        <f>IF(DATE(IF(S$50="",R$50,S$50),$B11,1)&gt;SourceEnergy!$N$2,"",INDEX(SourceEnergy!$J:$K,MATCH(DATE(IF(S$50="",R$50,S$50),$B11,1),SourceEnergy!$B:$B,0),MATCH(S$51,SourceEnergy!$J$12:$K$12,0)))</f>
        <v/>
      </c>
      <c r="T56" s="130"/>
    </row>
    <row r="57" spans="2:20" x14ac:dyDescent="0.2">
      <c r="B57" s="125">
        <f t="shared" si="3"/>
        <v>6</v>
      </c>
      <c r="D57" s="126" t="s">
        <v>60</v>
      </c>
      <c r="E57" s="120"/>
      <c r="F57" s="127" t="str">
        <f>IF(DATE(IF(F$50="",E$50,F$50),$B12,1)&gt;SourceEnergy!$N$2,"",INDEX(SourceEnergy!$J:$K,MATCH(DATE(IF(F$50="",E$50,F$50),$B12,1),SourceEnergy!$B:$B,0),MATCH(F$51,SourceEnergy!$J$12:$K$12,0)))</f>
        <v/>
      </c>
      <c r="G57" s="127" t="str">
        <f>IF(DATE(IF(G$50="",F$50,G$50),$B12,1)&gt;SourceEnergy!$N$2,"",INDEX(SourceEnergy!$J:$K,MATCH(DATE(IF(G$50="",F$50,G$50),$B12,1),SourceEnergy!$B:$B,0),MATCH(G$51,SourceEnergy!$J$12:$K$12,0)))</f>
        <v/>
      </c>
      <c r="H57" s="120"/>
      <c r="I57" s="127" t="str">
        <f>IF(DATE(IF(I$50="",H$50,I$50),$B12,1)&gt;SourceEnergy!$N$2,"",INDEX(SourceEnergy!$J:$K,MATCH(DATE(IF(I$50="",H$50,I$50),$B12,1),SourceEnergy!$B:$B,0),MATCH(I$51,SourceEnergy!$J$12:$K$12,0)))</f>
        <v/>
      </c>
      <c r="J57" s="127" t="str">
        <f>IF(DATE(IF(J$50="",I$50,J$50),$B12,1)&gt;SourceEnergy!$N$2,"",INDEX(SourceEnergy!$J:$K,MATCH(DATE(IF(J$50="",I$50,J$50),$B12,1),SourceEnergy!$B:$B,0),MATCH(J$51,SourceEnergy!$J$12:$K$12,0)))</f>
        <v/>
      </c>
      <c r="K57" s="120"/>
      <c r="L57" s="127" t="str">
        <f>IF(DATE(IF(L$50="",K$50,L$50),$B12,1)&gt;SourceEnergy!$N$2,"",INDEX(SourceEnergy!$J:$K,MATCH(DATE(IF(L$50="",K$50,L$50),$B12,1),SourceEnergy!$B:$B,0),MATCH(L$51,SourceEnergy!$J$12:$K$12,0)))</f>
        <v/>
      </c>
      <c r="M57" s="127" t="str">
        <f>IF(DATE(IF(M$50="",L$50,M$50),$B12,1)&gt;SourceEnergy!$N$2,"",INDEX(SourceEnergy!$J:$K,MATCH(DATE(IF(M$50="",L$50,M$50),$B12,1),SourceEnergy!$B:$B,0),MATCH(M$51,SourceEnergy!$J$12:$K$12,0)))</f>
        <v/>
      </c>
      <c r="N57" s="120"/>
      <c r="O57" s="127" t="str">
        <f>IF(DATE(IF(O$50="",N$50,O$50),$B12,1)&gt;SourceEnergy!$N$2,"",INDEX(SourceEnergy!$J:$K,MATCH(DATE(IF(O$50="",N$50,O$50),$B12,1),SourceEnergy!$B:$B,0),MATCH(O$51,SourceEnergy!$J$12:$K$12,0)))</f>
        <v/>
      </c>
      <c r="P57" s="127" t="str">
        <f>IF(DATE(IF(P$50="",O$50,P$50),$B12,1)&gt;SourceEnergy!$N$2,"",INDEX(SourceEnergy!$J:$K,MATCH(DATE(IF(P$50="",O$50,P$50),$B12,1),SourceEnergy!$B:$B,0),MATCH(P$51,SourceEnergy!$J$12:$K$12,0)))</f>
        <v/>
      </c>
      <c r="Q57" s="120"/>
      <c r="R57" s="127" t="str">
        <f>IF(DATE(IF(R$50="",Q$50,R$50),$B12,1)&gt;SourceEnergy!$N$2,"",INDEX(SourceEnergy!$J:$K,MATCH(DATE(IF(R$50="",Q$50,R$50),$B12,1),SourceEnergy!$B:$B,0),MATCH(R$51,SourceEnergy!$J$12:$K$12,0)))</f>
        <v/>
      </c>
      <c r="S57" s="127" t="str">
        <f>IF(DATE(IF(S$50="",R$50,S$50),$B12,1)&gt;SourceEnergy!$N$2,"",INDEX(SourceEnergy!$J:$K,MATCH(DATE(IF(S$50="",R$50,S$50),$B12,1),SourceEnergy!$B:$B,0),MATCH(S$51,SourceEnergy!$J$12:$K$12,0)))</f>
        <v/>
      </c>
      <c r="T57" s="130"/>
    </row>
    <row r="58" spans="2:20" x14ac:dyDescent="0.2">
      <c r="B58" s="125">
        <f t="shared" si="3"/>
        <v>7</v>
      </c>
      <c r="D58" s="125" t="s">
        <v>61</v>
      </c>
      <c r="F58" s="127" t="str">
        <f>IF(DATE(IF(F$50="",E$50,F$50),$B13,1)&gt;SourceEnergy!$N$2,"",INDEX(SourceEnergy!$J:$K,MATCH(DATE(IF(F$50="",E$50,F$50),$B13,1),SourceEnergy!$B:$B,0),MATCH(F$51,SourceEnergy!$J$12:$K$12,0)))</f>
        <v/>
      </c>
      <c r="G58" s="127" t="str">
        <f>IF(DATE(IF(G$50="",F$50,G$50),$B13,1)&gt;SourceEnergy!$N$2,"",INDEX(SourceEnergy!$J:$K,MATCH(DATE(IF(G$50="",F$50,G$50),$B13,1),SourceEnergy!$B:$B,0),MATCH(G$51,SourceEnergy!$J$12:$K$12,0)))</f>
        <v/>
      </c>
      <c r="H58" s="120"/>
      <c r="I58" s="127" t="str">
        <f>IF(DATE(IF(I$50="",H$50,I$50),$B13,1)&gt;SourceEnergy!$N$2,"",INDEX(SourceEnergy!$J:$K,MATCH(DATE(IF(I$50="",H$50,I$50),$B13,1),SourceEnergy!$B:$B,0),MATCH(I$51,SourceEnergy!$J$12:$K$12,0)))</f>
        <v/>
      </c>
      <c r="J58" s="127" t="str">
        <f>IF(DATE(IF(J$50="",I$50,J$50),$B13,1)&gt;SourceEnergy!$N$2,"",INDEX(SourceEnergy!$J:$K,MATCH(DATE(IF(J$50="",I$50,J$50),$B13,1),SourceEnergy!$B:$B,0),MATCH(J$51,SourceEnergy!$J$12:$K$12,0)))</f>
        <v/>
      </c>
      <c r="K58" s="120"/>
      <c r="L58" s="127" t="str">
        <f>IF(DATE(IF(L$50="",K$50,L$50),$B13,1)&gt;SourceEnergy!$N$2,"",INDEX(SourceEnergy!$J:$K,MATCH(DATE(IF(L$50="",K$50,L$50),$B13,1),SourceEnergy!$B:$B,0),MATCH(L$51,SourceEnergy!$J$12:$K$12,0)))</f>
        <v/>
      </c>
      <c r="M58" s="127" t="str">
        <f>IF(DATE(IF(M$50="",L$50,M$50),$B13,1)&gt;SourceEnergy!$N$2,"",INDEX(SourceEnergy!$J:$K,MATCH(DATE(IF(M$50="",L$50,M$50),$B13,1),SourceEnergy!$B:$B,0),MATCH(M$51,SourceEnergy!$J$12:$K$12,0)))</f>
        <v/>
      </c>
      <c r="N58" s="120"/>
      <c r="O58" s="127" t="str">
        <f>IF(DATE(IF(O$50="",N$50,O$50),$B13,1)&gt;SourceEnergy!$N$2,"",INDEX(SourceEnergy!$J:$K,MATCH(DATE(IF(O$50="",N$50,O$50),$B13,1),SourceEnergy!$B:$B,0),MATCH(O$51,SourceEnergy!$J$12:$K$12,0)))</f>
        <v/>
      </c>
      <c r="P58" s="127" t="str">
        <f>IF(DATE(IF(P$50="",O$50,P$50),$B13,1)&gt;SourceEnergy!$N$2,"",INDEX(SourceEnergy!$J:$K,MATCH(DATE(IF(P$50="",O$50,P$50),$B13,1),SourceEnergy!$B:$B,0),MATCH(P$51,SourceEnergy!$J$12:$K$12,0)))</f>
        <v/>
      </c>
      <c r="Q58" s="120"/>
      <c r="R58" s="127" t="str">
        <f>IF(DATE(IF(R$50="",Q$50,R$50),$B13,1)&gt;SourceEnergy!$N$2,"",INDEX(SourceEnergy!$J:$K,MATCH(DATE(IF(R$50="",Q$50,R$50),$B13,1),SourceEnergy!$B:$B,0),MATCH(R$51,SourceEnergy!$J$12:$K$12,0)))</f>
        <v/>
      </c>
      <c r="S58" s="127" t="str">
        <f>IF(DATE(IF(S$50="",R$50,S$50),$B13,1)&gt;SourceEnergy!$N$2,"",INDEX(SourceEnergy!$J:$K,MATCH(DATE(IF(S$50="",R$50,S$50),$B13,1),SourceEnergy!$B:$B,0),MATCH(S$51,SourceEnergy!$J$12:$K$12,0)))</f>
        <v/>
      </c>
      <c r="T58" s="130"/>
    </row>
    <row r="59" spans="2:20" x14ac:dyDescent="0.2">
      <c r="B59" s="125">
        <f t="shared" si="3"/>
        <v>8</v>
      </c>
      <c r="D59" s="125" t="s">
        <v>62</v>
      </c>
      <c r="F59" s="127" t="str">
        <f>IF(DATE(IF(F$50="",E$50,F$50),$B14,1)&gt;SourceEnergy!$N$2,"",INDEX(SourceEnergy!$J:$K,MATCH(DATE(IF(F$50="",E$50,F$50),$B14,1),SourceEnergy!$B:$B,0),MATCH(F$51,SourceEnergy!$J$12:$K$12,0)))</f>
        <v/>
      </c>
      <c r="G59" s="127" t="str">
        <f>IF(DATE(IF(G$50="",F$50,G$50),$B14,1)&gt;SourceEnergy!$N$2,"",INDEX(SourceEnergy!$J:$K,MATCH(DATE(IF(G$50="",F$50,G$50),$B14,1),SourceEnergy!$B:$B,0),MATCH(G$51,SourceEnergy!$J$12:$K$12,0)))</f>
        <v/>
      </c>
      <c r="H59" s="120"/>
      <c r="I59" s="127" t="str">
        <f>IF(DATE(IF(I$50="",H$50,I$50),$B14,1)&gt;SourceEnergy!$N$2,"",INDEX(SourceEnergy!$J:$K,MATCH(DATE(IF(I$50="",H$50,I$50),$B14,1),SourceEnergy!$B:$B,0),MATCH(I$51,SourceEnergy!$J$12:$K$12,0)))</f>
        <v/>
      </c>
      <c r="J59" s="127" t="str">
        <f>IF(DATE(IF(J$50="",I$50,J$50),$B14,1)&gt;SourceEnergy!$N$2,"",INDEX(SourceEnergy!$J:$K,MATCH(DATE(IF(J$50="",I$50,J$50),$B14,1),SourceEnergy!$B:$B,0),MATCH(J$51,SourceEnergy!$J$12:$K$12,0)))</f>
        <v/>
      </c>
      <c r="K59" s="120"/>
      <c r="L59" s="127" t="str">
        <f>IF(DATE(IF(L$50="",K$50,L$50),$B14,1)&gt;SourceEnergy!$N$2,"",INDEX(SourceEnergy!$J:$K,MATCH(DATE(IF(L$50="",K$50,L$50),$B14,1),SourceEnergy!$B:$B,0),MATCH(L$51,SourceEnergy!$J$12:$K$12,0)))</f>
        <v/>
      </c>
      <c r="M59" s="127" t="str">
        <f>IF(DATE(IF(M$50="",L$50,M$50),$B14,1)&gt;SourceEnergy!$N$2,"",INDEX(SourceEnergy!$J:$K,MATCH(DATE(IF(M$50="",L$50,M$50),$B14,1),SourceEnergy!$B:$B,0),MATCH(M$51,SourceEnergy!$J$12:$K$12,0)))</f>
        <v/>
      </c>
      <c r="N59" s="120"/>
      <c r="O59" s="127" t="str">
        <f>IF(DATE(IF(O$50="",N$50,O$50),$B14,1)&gt;SourceEnergy!$N$2,"",INDEX(SourceEnergy!$J:$K,MATCH(DATE(IF(O$50="",N$50,O$50),$B14,1),SourceEnergy!$B:$B,0),MATCH(O$51,SourceEnergy!$J$12:$K$12,0)))</f>
        <v/>
      </c>
      <c r="P59" s="127" t="str">
        <f>IF(DATE(IF(P$50="",O$50,P$50),$B14,1)&gt;SourceEnergy!$N$2,"",INDEX(SourceEnergy!$J:$K,MATCH(DATE(IF(P$50="",O$50,P$50),$B14,1),SourceEnergy!$B:$B,0),MATCH(P$51,SourceEnergy!$J$12:$K$12,0)))</f>
        <v/>
      </c>
      <c r="Q59" s="120"/>
      <c r="R59" s="127" t="str">
        <f>IF(DATE(IF(R$50="",Q$50,R$50),$B14,1)&gt;SourceEnergy!$N$2,"",INDEX(SourceEnergy!$J:$K,MATCH(DATE(IF(R$50="",Q$50,R$50),$B14,1),SourceEnergy!$B:$B,0),MATCH(R$51,SourceEnergy!$J$12:$K$12,0)))</f>
        <v/>
      </c>
      <c r="S59" s="127" t="str">
        <f>IF(DATE(IF(S$50="",R$50,S$50),$B14,1)&gt;SourceEnergy!$N$2,"",INDEX(SourceEnergy!$J:$K,MATCH(DATE(IF(S$50="",R$50,S$50),$B14,1),SourceEnergy!$B:$B,0),MATCH(S$51,SourceEnergy!$J$12:$K$12,0)))</f>
        <v/>
      </c>
      <c r="T59" s="130"/>
    </row>
    <row r="60" spans="2:20" x14ac:dyDescent="0.2">
      <c r="B60" s="125">
        <f t="shared" si="3"/>
        <v>9</v>
      </c>
      <c r="D60" s="125" t="s">
        <v>63</v>
      </c>
      <c r="F60" s="127" t="str">
        <f>IF(DATE(IF(F$50="",E$50,F$50),$B15,1)&gt;SourceEnergy!$N$2,"",INDEX(SourceEnergy!$J:$K,MATCH(DATE(IF(F$50="",E$50,F$50),$B15,1),SourceEnergy!$B:$B,0),MATCH(F$51,SourceEnergy!$J$12:$K$12,0)))</f>
        <v/>
      </c>
      <c r="G60" s="127" t="str">
        <f>IF(DATE(IF(G$50="",F$50,G$50),$B15,1)&gt;SourceEnergy!$N$2,"",INDEX(SourceEnergy!$J:$K,MATCH(DATE(IF(G$50="",F$50,G$50),$B15,1),SourceEnergy!$B:$B,0),MATCH(G$51,SourceEnergy!$J$12:$K$12,0)))</f>
        <v/>
      </c>
      <c r="H60" s="120"/>
      <c r="I60" s="127" t="str">
        <f>IF(DATE(IF(I$50="",H$50,I$50),$B15,1)&gt;SourceEnergy!$N$2,"",INDEX(SourceEnergy!$J:$K,MATCH(DATE(IF(I$50="",H$50,I$50),$B15,1),SourceEnergy!$B:$B,0),MATCH(I$51,SourceEnergy!$J$12:$K$12,0)))</f>
        <v/>
      </c>
      <c r="J60" s="127" t="str">
        <f>IF(DATE(IF(J$50="",I$50,J$50),$B15,1)&gt;SourceEnergy!$N$2,"",INDEX(SourceEnergy!$J:$K,MATCH(DATE(IF(J$50="",I$50,J$50),$B15,1),SourceEnergy!$B:$B,0),MATCH(J$51,SourceEnergy!$J$12:$K$12,0)))</f>
        <v/>
      </c>
      <c r="K60" s="120"/>
      <c r="L60" s="127" t="str">
        <f>IF(DATE(IF(L$50="",K$50,L$50),$B15,1)&gt;SourceEnergy!$N$2,"",INDEX(SourceEnergy!$J:$K,MATCH(DATE(IF(L$50="",K$50,L$50),$B15,1),SourceEnergy!$B:$B,0),MATCH(L$51,SourceEnergy!$J$12:$K$12,0)))</f>
        <v/>
      </c>
      <c r="M60" s="127" t="str">
        <f>IF(DATE(IF(M$50="",L$50,M$50),$B15,1)&gt;SourceEnergy!$N$2,"",INDEX(SourceEnergy!$J:$K,MATCH(DATE(IF(M$50="",L$50,M$50),$B15,1),SourceEnergy!$B:$B,0),MATCH(M$51,SourceEnergy!$J$12:$K$12,0)))</f>
        <v/>
      </c>
      <c r="N60" s="120"/>
      <c r="O60" s="127" t="str">
        <f>IF(DATE(IF(O$50="",N$50,O$50),$B15,1)&gt;SourceEnergy!$N$2,"",INDEX(SourceEnergy!$J:$K,MATCH(DATE(IF(O$50="",N$50,O$50),$B15,1),SourceEnergy!$B:$B,0),MATCH(O$51,SourceEnergy!$J$12:$K$12,0)))</f>
        <v/>
      </c>
      <c r="P60" s="127" t="str">
        <f>IF(DATE(IF(P$50="",O$50,P$50),$B15,1)&gt;SourceEnergy!$N$2,"",INDEX(SourceEnergy!$J:$K,MATCH(DATE(IF(P$50="",O$50,P$50),$B15,1),SourceEnergy!$B:$B,0),MATCH(P$51,SourceEnergy!$J$12:$K$12,0)))</f>
        <v/>
      </c>
      <c r="Q60" s="120"/>
      <c r="R60" s="127" t="str">
        <f>IF(DATE(IF(R$50="",Q$50,R$50),$B15,1)&gt;SourceEnergy!$N$2,"",INDEX(SourceEnergy!$J:$K,MATCH(DATE(IF(R$50="",Q$50,R$50),$B15,1),SourceEnergy!$B:$B,0),MATCH(R$51,SourceEnergy!$J$12:$K$12,0)))</f>
        <v/>
      </c>
      <c r="S60" s="127" t="str">
        <f>IF(DATE(IF(S$50="",R$50,S$50),$B15,1)&gt;SourceEnergy!$N$2,"",INDEX(SourceEnergy!$J:$K,MATCH(DATE(IF(S$50="",R$50,S$50),$B15,1),SourceEnergy!$B:$B,0),MATCH(S$51,SourceEnergy!$J$12:$K$12,0)))</f>
        <v/>
      </c>
      <c r="T60" s="130"/>
    </row>
    <row r="61" spans="2:20" x14ac:dyDescent="0.2">
      <c r="B61" s="125">
        <f t="shared" si="3"/>
        <v>10</v>
      </c>
      <c r="D61" s="125" t="s">
        <v>64</v>
      </c>
      <c r="F61" s="127" t="str">
        <f>IF(DATE(IF(F$50="",E$50,F$50),$B16,1)&gt;SourceEnergy!$N$2,"",INDEX(SourceEnergy!$J:$K,MATCH(DATE(IF(F$50="",E$50,F$50),$B16,1),SourceEnergy!$B:$B,0),MATCH(F$51,SourceEnergy!$J$12:$K$12,0)))</f>
        <v/>
      </c>
      <c r="G61" s="127" t="str">
        <f>IF(DATE(IF(G$50="",F$50,G$50),$B16,1)&gt;SourceEnergy!$N$2,"",INDEX(SourceEnergy!$J:$K,MATCH(DATE(IF(G$50="",F$50,G$50),$B16,1),SourceEnergy!$B:$B,0),MATCH(G$51,SourceEnergy!$J$12:$K$12,0)))</f>
        <v/>
      </c>
      <c r="H61" s="120"/>
      <c r="I61" s="127" t="str">
        <f>IF(DATE(IF(I$50="",H$50,I$50),$B16,1)&gt;SourceEnergy!$N$2,"",INDEX(SourceEnergy!$J:$K,MATCH(DATE(IF(I$50="",H$50,I$50),$B16,1),SourceEnergy!$B:$B,0),MATCH(I$51,SourceEnergy!$J$12:$K$12,0)))</f>
        <v/>
      </c>
      <c r="J61" s="127" t="str">
        <f>IF(DATE(IF(J$50="",I$50,J$50),$B16,1)&gt;SourceEnergy!$N$2,"",INDEX(SourceEnergy!$J:$K,MATCH(DATE(IF(J$50="",I$50,J$50),$B16,1),SourceEnergy!$B:$B,0),MATCH(J$51,SourceEnergy!$J$12:$K$12,0)))</f>
        <v/>
      </c>
      <c r="K61" s="120"/>
      <c r="L61" s="127" t="str">
        <f>IF(DATE(IF(L$50="",K$50,L$50),$B16,1)&gt;SourceEnergy!$N$2,"",INDEX(SourceEnergy!$J:$K,MATCH(DATE(IF(L$50="",K$50,L$50),$B16,1),SourceEnergy!$B:$B,0),MATCH(L$51,SourceEnergy!$J$12:$K$12,0)))</f>
        <v/>
      </c>
      <c r="M61" s="127" t="str">
        <f>IF(DATE(IF(M$50="",L$50,M$50),$B16,1)&gt;SourceEnergy!$N$2,"",INDEX(SourceEnergy!$J:$K,MATCH(DATE(IF(M$50="",L$50,M$50),$B16,1),SourceEnergy!$B:$B,0),MATCH(M$51,SourceEnergy!$J$12:$K$12,0)))</f>
        <v/>
      </c>
      <c r="N61" s="120"/>
      <c r="O61" s="127" t="str">
        <f>IF(DATE(IF(O$50="",N$50,O$50),$B16,1)&gt;SourceEnergy!$N$2,"",INDEX(SourceEnergy!$J:$K,MATCH(DATE(IF(O$50="",N$50,O$50),$B16,1),SourceEnergy!$B:$B,0),MATCH(O$51,SourceEnergy!$J$12:$K$12,0)))</f>
        <v/>
      </c>
      <c r="P61" s="127" t="str">
        <f>IF(DATE(IF(P$50="",O$50,P$50),$B16,1)&gt;SourceEnergy!$N$2,"",INDEX(SourceEnergy!$J:$K,MATCH(DATE(IF(P$50="",O$50,P$50),$B16,1),SourceEnergy!$B:$B,0),MATCH(P$51,SourceEnergy!$J$12:$K$12,0)))</f>
        <v/>
      </c>
      <c r="Q61" s="120"/>
      <c r="R61" s="127" t="str">
        <f>IF(DATE(IF(R$50="",Q$50,R$50),$B16,1)&gt;SourceEnergy!$N$2,"",INDEX(SourceEnergy!$J:$K,MATCH(DATE(IF(R$50="",Q$50,R$50),$B16,1),SourceEnergy!$B:$B,0),MATCH(R$51,SourceEnergy!$J$12:$K$12,0)))</f>
        <v/>
      </c>
      <c r="S61" s="127" t="str">
        <f>IF(DATE(IF(S$50="",R$50,S$50),$B16,1)&gt;SourceEnergy!$N$2,"",INDEX(SourceEnergy!$J:$K,MATCH(DATE(IF(S$50="",R$50,S$50),$B16,1),SourceEnergy!$B:$B,0),MATCH(S$51,SourceEnergy!$J$12:$K$12,0)))</f>
        <v/>
      </c>
      <c r="T61" s="130"/>
    </row>
    <row r="62" spans="2:20" x14ac:dyDescent="0.2">
      <c r="B62" s="125">
        <f t="shared" si="3"/>
        <v>11</v>
      </c>
      <c r="D62" s="125" t="s">
        <v>65</v>
      </c>
      <c r="F62" s="127" t="str">
        <f>IF(DATE(IF(F$50="",E$50,F$50),$B17,1)&gt;SourceEnergy!$N$2,"",INDEX(SourceEnergy!$J:$K,MATCH(DATE(IF(F$50="",E$50,F$50),$B17,1),SourceEnergy!$B:$B,0),MATCH(F$51,SourceEnergy!$J$12:$K$12,0)))</f>
        <v/>
      </c>
      <c r="G62" s="127" t="str">
        <f>IF(DATE(IF(G$50="",F$50,G$50),$B17,1)&gt;SourceEnergy!$N$2,"",INDEX(SourceEnergy!$J:$K,MATCH(DATE(IF(G$50="",F$50,G$50),$B17,1),SourceEnergy!$B:$B,0),MATCH(G$51,SourceEnergy!$J$12:$K$12,0)))</f>
        <v/>
      </c>
      <c r="H62" s="120"/>
      <c r="I62" s="127" t="str">
        <f>IF(DATE(IF(I$50="",H$50,I$50),$B17,1)&gt;SourceEnergy!$N$2,"",INDEX(SourceEnergy!$J:$K,MATCH(DATE(IF(I$50="",H$50,I$50),$B17,1),SourceEnergy!$B:$B,0),MATCH(I$51,SourceEnergy!$J$12:$K$12,0)))</f>
        <v/>
      </c>
      <c r="J62" s="127" t="str">
        <f>IF(DATE(IF(J$50="",I$50,J$50),$B17,1)&gt;SourceEnergy!$N$2,"",INDEX(SourceEnergy!$J:$K,MATCH(DATE(IF(J$50="",I$50,J$50),$B17,1),SourceEnergy!$B:$B,0),MATCH(J$51,SourceEnergy!$J$12:$K$12,0)))</f>
        <v/>
      </c>
      <c r="K62" s="120"/>
      <c r="L62" s="127" t="str">
        <f>IF(DATE(IF(L$50="",K$50,L$50),$B17,1)&gt;SourceEnergy!$N$2,"",INDEX(SourceEnergy!$J:$K,MATCH(DATE(IF(L$50="",K$50,L$50),$B17,1),SourceEnergy!$B:$B,0),MATCH(L$51,SourceEnergy!$J$12:$K$12,0)))</f>
        <v/>
      </c>
      <c r="M62" s="127" t="str">
        <f>IF(DATE(IF(M$50="",L$50,M$50),$B17,1)&gt;SourceEnergy!$N$2,"",INDEX(SourceEnergy!$J:$K,MATCH(DATE(IF(M$50="",L$50,M$50),$B17,1),SourceEnergy!$B:$B,0),MATCH(M$51,SourceEnergy!$J$12:$K$12,0)))</f>
        <v/>
      </c>
      <c r="N62" s="120"/>
      <c r="O62" s="127" t="str">
        <f>IF(DATE(IF(O$50="",N$50,O$50),$B17,1)&gt;SourceEnergy!$N$2,"",INDEX(SourceEnergy!$J:$K,MATCH(DATE(IF(O$50="",N$50,O$50),$B17,1),SourceEnergy!$B:$B,0),MATCH(O$51,SourceEnergy!$J$12:$K$12,0)))</f>
        <v/>
      </c>
      <c r="P62" s="127" t="str">
        <f>IF(DATE(IF(P$50="",O$50,P$50),$B17,1)&gt;SourceEnergy!$N$2,"",INDEX(SourceEnergy!$J:$K,MATCH(DATE(IF(P$50="",O$50,P$50),$B17,1),SourceEnergy!$B:$B,0),MATCH(P$51,SourceEnergy!$J$12:$K$12,0)))</f>
        <v/>
      </c>
      <c r="Q62" s="120"/>
      <c r="R62" s="127" t="str">
        <f>IF(DATE(IF(R$50="",Q$50,R$50),$B17,1)&gt;SourceEnergy!$N$2,"",INDEX(SourceEnergy!$J:$K,MATCH(DATE(IF(R$50="",Q$50,R$50),$B17,1),SourceEnergy!$B:$B,0),MATCH(R$51,SourceEnergy!$J$12:$K$12,0)))</f>
        <v/>
      </c>
      <c r="S62" s="127" t="str">
        <f>IF(DATE(IF(S$50="",R$50,S$50),$B17,1)&gt;SourceEnergy!$N$2,"",INDEX(SourceEnergy!$J:$K,MATCH(DATE(IF(S$50="",R$50,S$50),$B17,1),SourceEnergy!$B:$B,0),MATCH(S$51,SourceEnergy!$J$12:$K$12,0)))</f>
        <v/>
      </c>
      <c r="T62" s="130"/>
    </row>
    <row r="63" spans="2:20" x14ac:dyDescent="0.2">
      <c r="B63" s="125">
        <f t="shared" si="3"/>
        <v>12</v>
      </c>
      <c r="D63" s="125" t="s">
        <v>66</v>
      </c>
      <c r="F63" s="127" t="str">
        <f>IF(DATE(IF(F$50="",E$50,F$50),$B18,1)&gt;SourceEnergy!$N$2,"",INDEX(SourceEnergy!$J:$K,MATCH(DATE(IF(F$50="",E$50,F$50),$B18,1),SourceEnergy!$B:$B,0),MATCH(F$51,SourceEnergy!$J$12:$K$12,0)))</f>
        <v/>
      </c>
      <c r="G63" s="127" t="str">
        <f>IF(DATE(IF(G$50="",F$50,G$50),$B18,1)&gt;SourceEnergy!$N$2,"",INDEX(SourceEnergy!$J:$K,MATCH(DATE(IF(G$50="",F$50,G$50),$B18,1),SourceEnergy!$B:$B,0),MATCH(G$51,SourceEnergy!$J$12:$K$12,0)))</f>
        <v/>
      </c>
      <c r="H63" s="120"/>
      <c r="I63" s="127" t="str">
        <f>IF(DATE(IF(I$50="",H$50,I$50),$B18,1)&gt;SourceEnergy!$N$2,"",INDEX(SourceEnergy!$J:$K,MATCH(DATE(IF(I$50="",H$50,I$50),$B18,1),SourceEnergy!$B:$B,0),MATCH(I$51,SourceEnergy!$J$12:$K$12,0)))</f>
        <v/>
      </c>
      <c r="J63" s="127" t="str">
        <f>IF(DATE(IF(J$50="",I$50,J$50),$B18,1)&gt;SourceEnergy!$N$2,"",INDEX(SourceEnergy!$J:$K,MATCH(DATE(IF(J$50="",I$50,J$50),$B18,1),SourceEnergy!$B:$B,0),MATCH(J$51,SourceEnergy!$J$12:$K$12,0)))</f>
        <v/>
      </c>
      <c r="K63" s="120"/>
      <c r="L63" s="127" t="str">
        <f>IF(DATE(IF(L$50="",K$50,L$50),$B18,1)&gt;SourceEnergy!$N$2,"",INDEX(SourceEnergy!$J:$K,MATCH(DATE(IF(L$50="",K$50,L$50),$B18,1),SourceEnergy!$B:$B,0),MATCH(L$51,SourceEnergy!$J$12:$K$12,0)))</f>
        <v/>
      </c>
      <c r="M63" s="127" t="str">
        <f>IF(DATE(IF(M$50="",L$50,M$50),$B18,1)&gt;SourceEnergy!$N$2,"",INDEX(SourceEnergy!$J:$K,MATCH(DATE(IF(M$50="",L$50,M$50),$B18,1),SourceEnergy!$B:$B,0),MATCH(M$51,SourceEnergy!$J$12:$K$12,0)))</f>
        <v/>
      </c>
      <c r="N63" s="120"/>
      <c r="O63" s="127" t="str">
        <f>IF(DATE(IF(O$50="",N$50,O$50),$B18,1)&gt;SourceEnergy!$N$2,"",INDEX(SourceEnergy!$J:$K,MATCH(DATE(IF(O$50="",N$50,O$50),$B18,1),SourceEnergy!$B:$B,0),MATCH(O$51,SourceEnergy!$J$12:$K$12,0)))</f>
        <v/>
      </c>
      <c r="P63" s="127" t="str">
        <f>IF(DATE(IF(P$50="",O$50,P$50),$B18,1)&gt;SourceEnergy!$N$2,"",INDEX(SourceEnergy!$J:$K,MATCH(DATE(IF(P$50="",O$50,P$50),$B18,1),SourceEnergy!$B:$B,0),MATCH(P$51,SourceEnergy!$J$12:$K$12,0)))</f>
        <v/>
      </c>
      <c r="Q63" s="120"/>
      <c r="R63" s="127" t="str">
        <f>IF(DATE(IF(R$50="",Q$50,R$50),$B18,1)&gt;SourceEnergy!$N$2,"",INDEX(SourceEnergy!$J:$K,MATCH(DATE(IF(R$50="",Q$50,R$50),$B18,1),SourceEnergy!$B:$B,0),MATCH(R$51,SourceEnergy!$J$12:$K$12,0)))</f>
        <v/>
      </c>
      <c r="S63" s="127" t="str">
        <f>IF(DATE(IF(S$50="",R$50,S$50),$B18,1)&gt;SourceEnergy!$N$2,"",INDEX(SourceEnergy!$J:$K,MATCH(DATE(IF(S$50="",R$50,S$50),$B18,1),SourceEnergy!$B:$B,0),MATCH(S$51,SourceEnergy!$J$12:$K$12,0)))</f>
        <v/>
      </c>
      <c r="T63" s="130"/>
    </row>
    <row r="64" spans="2:20" x14ac:dyDescent="0.2"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</row>
    <row r="65" spans="2:20" x14ac:dyDescent="0.2">
      <c r="B65" s="121"/>
      <c r="D65" s="122"/>
      <c r="E65" s="120"/>
      <c r="F65" s="85">
        <f>R50+1</f>
        <v>2039</v>
      </c>
      <c r="G65" s="86"/>
      <c r="H65" s="120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</row>
    <row r="66" spans="2:20" x14ac:dyDescent="0.2">
      <c r="B66" s="123"/>
      <c r="D66" s="124" t="s">
        <v>2</v>
      </c>
      <c r="E66" s="120"/>
      <c r="F66" s="87" t="s">
        <v>9</v>
      </c>
      <c r="G66" s="87" t="s">
        <v>10</v>
      </c>
      <c r="H66" s="120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</row>
    <row r="67" spans="2:20" x14ac:dyDescent="0.2">
      <c r="B67" s="114">
        <v>1</v>
      </c>
      <c r="D67" s="114" t="s">
        <v>55</v>
      </c>
      <c r="F67" s="127" t="str">
        <f>IF(DATE(IF(F$65="",E$65,F$65),$B7,1)&gt;SourceEnergy!$N$2,"",INDEX(SourceEnergy!$J:$K,MATCH(DATE(IF(F$65="",E$65,F$65),$B7,1),SourceEnergy!$B:$B,0),MATCH(F$66,SourceEnergy!$J$12:$K$12,0)))</f>
        <v/>
      </c>
      <c r="G67" s="127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2">
      <c r="B68" s="114">
        <f t="shared" ref="B68:B78" si="4">B67+1</f>
        <v>2</v>
      </c>
      <c r="D68" s="114" t="s">
        <v>57</v>
      </c>
      <c r="F68" s="127" t="str">
        <f>IF(DATE(IF(F$65="",E$65,F$65),$B8,1)&gt;SourceEnergy!$N$2,"",INDEX(SourceEnergy!$J:$K,MATCH(DATE(IF(F$65="",E$65,F$65),$B8,1),SourceEnergy!$B:$B,0),MATCH(F$66,SourceEnergy!$J$12:$K$12,0)))</f>
        <v/>
      </c>
      <c r="G68" s="127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2">
      <c r="B69" s="114">
        <f t="shared" si="4"/>
        <v>3</v>
      </c>
      <c r="D69" s="114" t="s">
        <v>58</v>
      </c>
      <c r="F69" s="127" t="str">
        <f>IF(DATE(IF(F$65="",E$65,F$65),$B9,1)&gt;SourceEnergy!$N$2,"",INDEX(SourceEnergy!$J:$K,MATCH(DATE(IF(F$65="",E$65,F$65),$B9,1),SourceEnergy!$B:$B,0),MATCH(F$66,SourceEnergy!$J$12:$K$12,0)))</f>
        <v/>
      </c>
      <c r="G69" s="127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2">
      <c r="B70" s="114">
        <f t="shared" si="4"/>
        <v>4</v>
      </c>
      <c r="D70" s="114" t="s">
        <v>59</v>
      </c>
      <c r="F70" s="127" t="str">
        <f>IF(DATE(IF(F$65="",E$65,F$65),$B10,1)&gt;SourceEnergy!$N$2,"",INDEX(SourceEnergy!$J:$K,MATCH(DATE(IF(F$65="",E$65,F$65),$B10,1),SourceEnergy!$B:$B,0),MATCH(F$66,SourceEnergy!$J$12:$K$12,0)))</f>
        <v/>
      </c>
      <c r="G70" s="127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2">
      <c r="B71" s="114">
        <f t="shared" si="4"/>
        <v>5</v>
      </c>
      <c r="D71" s="114" t="s">
        <v>56</v>
      </c>
      <c r="F71" s="127" t="str">
        <f>IF(DATE(IF(F$65="",E$65,F$65),$B11,1)&gt;SourceEnergy!$N$2,"",INDEX(SourceEnergy!$J:$K,MATCH(DATE(IF(F$65="",E$65,F$65),$B11,1),SourceEnergy!$B:$B,0),MATCH(F$66,SourceEnergy!$J$12:$K$12,0)))</f>
        <v/>
      </c>
      <c r="G71" s="127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2">
      <c r="B72" s="114">
        <f t="shared" si="4"/>
        <v>6</v>
      </c>
      <c r="D72" s="114" t="s">
        <v>60</v>
      </c>
      <c r="F72" s="127" t="str">
        <f>IF(DATE(IF(F$65="",E$65,F$65),$B12,1)&gt;SourceEnergy!$N$2,"",INDEX(SourceEnergy!$J:$K,MATCH(DATE(IF(F$65="",E$65,F$65),$B12,1),SourceEnergy!$B:$B,0),MATCH(F$66,SourceEnergy!$J$12:$K$12,0)))</f>
        <v/>
      </c>
      <c r="G72" s="127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2">
      <c r="B73" s="114">
        <f t="shared" si="4"/>
        <v>7</v>
      </c>
      <c r="D73" s="114" t="s">
        <v>61</v>
      </c>
      <c r="F73" s="127" t="str">
        <f>IF(DATE(IF(F$65="",E$65,F$65),$B13,1)&gt;SourceEnergy!$N$2,"",INDEX(SourceEnergy!$J:$K,MATCH(DATE(IF(F$65="",E$65,F$65),$B13,1),SourceEnergy!$B:$B,0),MATCH(F$66,SourceEnergy!$J$12:$K$12,0)))</f>
        <v/>
      </c>
      <c r="G73" s="127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2">
      <c r="B74" s="114">
        <f t="shared" si="4"/>
        <v>8</v>
      </c>
      <c r="D74" s="114" t="s">
        <v>62</v>
      </c>
      <c r="F74" s="127" t="str">
        <f>IF(DATE(IF(F$65="",E$65,F$65),$B14,1)&gt;SourceEnergy!$N$2,"",INDEX(SourceEnergy!$J:$K,MATCH(DATE(IF(F$65="",E$65,F$65),$B14,1),SourceEnergy!$B:$B,0),MATCH(F$66,SourceEnergy!$J$12:$K$12,0)))</f>
        <v/>
      </c>
      <c r="G74" s="127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2">
      <c r="B75" s="114">
        <f t="shared" si="4"/>
        <v>9</v>
      </c>
      <c r="D75" s="114" t="s">
        <v>63</v>
      </c>
      <c r="F75" s="127" t="str">
        <f>IF(DATE(IF(F$65="",E$65,F$65),$B15,1)&gt;SourceEnergy!$N$2,"",INDEX(SourceEnergy!$J:$K,MATCH(DATE(IF(F$65="",E$65,F$65),$B15,1),SourceEnergy!$B:$B,0),MATCH(F$66,SourceEnergy!$J$12:$K$12,0)))</f>
        <v/>
      </c>
      <c r="G75" s="127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2">
      <c r="B76" s="114">
        <f t="shared" si="4"/>
        <v>10</v>
      </c>
      <c r="D76" s="114" t="s">
        <v>64</v>
      </c>
      <c r="F76" s="127" t="str">
        <f>IF(DATE(IF(F$65="",E$65,F$65),$B16,1)&gt;SourceEnergy!$N$2,"",INDEX(SourceEnergy!$J:$K,MATCH(DATE(IF(F$65="",E$65,F$65),$B16,1),SourceEnergy!$B:$B,0),MATCH(F$66,SourceEnergy!$J$12:$K$12,0)))</f>
        <v/>
      </c>
      <c r="G76" s="127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2">
      <c r="B77" s="114">
        <f t="shared" si="4"/>
        <v>11</v>
      </c>
      <c r="D77" s="114" t="s">
        <v>65</v>
      </c>
      <c r="F77" s="127" t="str">
        <f>IF(DATE(IF(F$65="",E$65,F$65),$B17,1)&gt;SourceEnergy!$N$2,"",INDEX(SourceEnergy!$J:$K,MATCH(DATE(IF(F$65="",E$65,F$65),$B17,1),SourceEnergy!$B:$B,0),MATCH(F$66,SourceEnergy!$J$12:$K$12,0)))</f>
        <v/>
      </c>
      <c r="G77" s="127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2">
      <c r="B78" s="114">
        <f t="shared" si="4"/>
        <v>12</v>
      </c>
      <c r="D78" s="114" t="s">
        <v>66</v>
      </c>
      <c r="F78" s="127" t="str">
        <f>IF(DATE(IF(F$65="",E$65,F$65),$B18,1)&gt;SourceEnergy!$N$2,"",INDEX(SourceEnergy!$J:$K,MATCH(DATE(IF(F$65="",E$65,F$65),$B18,1),SourceEnergy!$B:$B,0),MATCH(F$66,SourceEnergy!$J$12:$K$12,0)))</f>
        <v/>
      </c>
      <c r="G78" s="127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59" orientation="portrait" r:id="rId1"/>
  <headerFooter alignWithMargins="0">
    <oddFooter>&amp;L&amp;8Net Power Cost Group   &amp;F   ( &amp;A ) 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Summary (Energy PMT)</vt:lpstr>
      <vt:lpstr>SourceEnergy</vt:lpstr>
      <vt:lpstr>MWH-Split</vt:lpstr>
      <vt:lpstr>Monthly Levelized</vt:lpstr>
      <vt:lpstr>Monthly Energy Prices</vt:lpstr>
      <vt:lpstr>Discount_Rate</vt:lpstr>
      <vt:lpstr>Monthly_Discount_Rate</vt:lpstr>
      <vt:lpstr>'Monthly Energy Prices'!Print_Area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2018-10-26T20:46:01Z</dcterms:modified>
</cp:coreProperties>
</file>