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41\"/>
    </mc:Choice>
  </mc:AlternateContent>
  <bookViews>
    <workbookView xWindow="0" yWindow="0" windowWidth="21570" windowHeight="8145"/>
  </bookViews>
  <sheets>
    <sheet name="Table 1" sheetId="25" r:id="rId1"/>
    <sheet name="Table 4" sheetId="28" r:id="rId2"/>
    <sheet name="Table 5" sheetId="31" r:id="rId3"/>
    <sheet name="Table 3 TransCost D2 " sheetId="47" state="hidden" r:id="rId4"/>
    <sheet name="Table 3 UT Wind 2030" sheetId="63" state="hidden" r:id="rId5"/>
    <sheet name="Table 3 DJ Wind 2030" sheetId="42" state="hidden" r:id="rId6"/>
    <sheet name="Table 3 ID Wind 2030" sheetId="64" state="hidden" r:id="rId7"/>
    <sheet name="Table 3 ID Wind 2033" sheetId="44" state="hidden" r:id="rId8"/>
    <sheet name="Table 3 UT Wind 2036" sheetId="50" state="hidden" r:id="rId9"/>
    <sheet name="Table 3 WW Wind 2035" sheetId="52" state="hidden" r:id="rId10"/>
    <sheet name="Table 3 YK Wind 2035" sheetId="53" state="hidden" r:id="rId11"/>
    <sheet name="Table 3 OR Wind 2035" sheetId="54" state="hidden" r:id="rId12"/>
    <sheet name="Table 3 YK Solar 2030" sheetId="41" state="hidden" r:id="rId13"/>
    <sheet name="Table 3 YK Solar 2032" sheetId="56" state="hidden" r:id="rId14"/>
    <sheet name="Table 3 YK Solar 2033" sheetId="57" state="hidden" r:id="rId15"/>
    <sheet name="Table 3 UT Solar 2033 ST" sheetId="40" state="hidden" r:id="rId16"/>
    <sheet name="Table 3 UT Solar 2035 ST" sheetId="62" state="hidden" r:id="rId17"/>
    <sheet name="Table 3 UT Solar 2035 FT" sheetId="55" state="hidden" r:id="rId18"/>
    <sheet name="Table 3 OR Solar 2030" sheetId="58" state="hidden" r:id="rId19"/>
    <sheet name="Table 3 OR Solar 2031" sheetId="59" state="hidden" r:id="rId20"/>
    <sheet name="Table 3 OR Solar 2032" sheetId="60" state="hidden" r:id="rId21"/>
    <sheet name="Table 3 OR Solar 2033" sheetId="61" state="hidden" r:id="rId22"/>
    <sheet name="Table 3 EV2020 Wind_2020" sheetId="43" state="hidden" r:id="rId23"/>
    <sheet name="Table 3 EV2020 Wind_2021" sheetId="49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00_SCCT_UtahN">'Table 1'!$I$19</definedName>
    <definedName name="_200_SCCT_WYNE">'Table 1'!$I$21</definedName>
    <definedName name="_30_Geo_West" localSheetId="3">'Table 1'!$I$17</definedName>
    <definedName name="_30_Geo_West">'Table 1'!$I$17</definedName>
    <definedName name="_436_CCCT_WestMain" localSheetId="3">'Table 1'!$I$18</definedName>
    <definedName name="_436_CCCT_WestMain">'Table 1'!$I$18</definedName>
    <definedName name="_477_CCCT_WestMain">'[1]Table 1'!$I$18</definedName>
    <definedName name="_477_CCCT_WYNE">'Table 1'!$I$20</definedName>
    <definedName name="_635_CCCT_UtahS">'[1]Table 1'!$I$19</definedName>
    <definedName name="_635_CCCT_WyoNE">'[1]Table 1'!$I$17</definedName>
    <definedName name="_774_Wind_IDGoshen">'Table 1'!$I$23</definedName>
    <definedName name="_85_Wind_DJ_2031">'Table 1'!$I$22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'[2]Table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'[3]on off peak hours'!$C$15:$ED$15</definedName>
    <definedName name="Discount_Rate">'Table 1'!$I$39</definedName>
    <definedName name="Discount_Rate_2015_IRP" localSheetId="5">'[4]Table 7 to 8'!$AE$43</definedName>
    <definedName name="Discount_Rate_2015_IRP" localSheetId="22">'[4]Table 7 to 8'!$AE$43</definedName>
    <definedName name="Discount_Rate_2015_IRP" localSheetId="23">'[4]Table 7 to 8'!$AE$43</definedName>
    <definedName name="Discount_Rate_2015_IRP" localSheetId="6">'[4]Table 7 to 8'!$AE$43</definedName>
    <definedName name="Discount_Rate_2015_IRP" localSheetId="7">'[4]Table 7 to 8'!$AE$43</definedName>
    <definedName name="Discount_Rate_2015_IRP" localSheetId="18">'[4]Table 7 to 8'!$AE$43</definedName>
    <definedName name="Discount_Rate_2015_IRP" localSheetId="19">'[4]Table 7 to 8'!$AE$43</definedName>
    <definedName name="Discount_Rate_2015_IRP" localSheetId="20">'[4]Table 7 to 8'!$AE$43</definedName>
    <definedName name="Discount_Rate_2015_IRP" localSheetId="21">'[4]Table 7 to 8'!$AE$43</definedName>
    <definedName name="Discount_Rate_2015_IRP" localSheetId="11">'[4]Table 7 to 8'!$AE$43</definedName>
    <definedName name="Discount_Rate_2015_IRP" localSheetId="3">'[4]Table 7 to 8'!$AE$43</definedName>
    <definedName name="Discount_Rate_2015_IRP" localSheetId="15">'[4]Table 7 to 8'!$AE$43</definedName>
    <definedName name="Discount_Rate_2015_IRP" localSheetId="17">'[4]Table 7 to 8'!$AE$43</definedName>
    <definedName name="Discount_Rate_2015_IRP" localSheetId="16">'[4]Table 7 to 8'!$AE$43</definedName>
    <definedName name="Discount_Rate_2015_IRP" localSheetId="4">'[4]Table 7 to 8'!$AE$43</definedName>
    <definedName name="Discount_Rate_2015_IRP" localSheetId="8">'[4]Table 7 to 8'!$AE$43</definedName>
    <definedName name="Discount_Rate_2015_IRP" localSheetId="9">'[4]Table 7 to 8'!$AE$43</definedName>
    <definedName name="Discount_Rate_2015_IRP" localSheetId="12">'[4]Table 7 to 8'!$AE$43</definedName>
    <definedName name="Discount_Rate_2015_IRP" localSheetId="13">'[4]Table 7 to 8'!$AE$43</definedName>
    <definedName name="Discount_Rate_2015_IRP" localSheetId="14">'[4]Table 7 to 8'!$AE$43</definedName>
    <definedName name="Discount_Rate_2015_IRP" localSheetId="10">'[4]Table 7 to 8'!$AE$43</definedName>
    <definedName name="Discount_Rate_2015_IRP">'[5]Table 7 to 8'!$AE$43</definedName>
    <definedName name="DispatchSum">"GRID Thermal Generation!R2C1:R4C2"</definedName>
    <definedName name="FixedSolar_Capacity_Contr">'[5]Exhibit 3- Std FixedSolar QF'!$G$53</definedName>
    <definedName name="HoursHoliday">'[3]on off peak hours'!$C$16:$ED$20</definedName>
    <definedName name="Market" localSheetId="5">'[6]OFPC Source'!$J$8:$M$295</definedName>
    <definedName name="Market" localSheetId="22">'[6]OFPC Source'!$J$8:$M$295</definedName>
    <definedName name="Market" localSheetId="23">'[6]OFPC Source'!$J$8:$M$295</definedName>
    <definedName name="Market" localSheetId="6">'[6]OFPC Source'!$J$8:$M$295</definedName>
    <definedName name="Market" localSheetId="7">'[6]OFPC Source'!$J$8:$M$295</definedName>
    <definedName name="Market" localSheetId="18">'[6]OFPC Source'!$J$8:$M$295</definedName>
    <definedName name="Market" localSheetId="19">'[6]OFPC Source'!$J$8:$M$295</definedName>
    <definedName name="Market" localSheetId="20">'[6]OFPC Source'!$J$8:$M$295</definedName>
    <definedName name="Market" localSheetId="21">'[6]OFPC Source'!$J$8:$M$295</definedName>
    <definedName name="Market" localSheetId="11">'[6]OFPC Source'!$J$8:$M$295</definedName>
    <definedName name="Market" localSheetId="3">'[6]OFPC Source'!$J$8:$M$295</definedName>
    <definedName name="Market" localSheetId="15">'[6]OFPC Source'!$J$8:$M$295</definedName>
    <definedName name="Market" localSheetId="17">'[6]OFPC Source'!$J$8:$M$295</definedName>
    <definedName name="Market" localSheetId="16">'[6]OFPC Source'!$J$8:$M$295</definedName>
    <definedName name="Market" localSheetId="4">'[6]OFPC Source'!$J$8:$M$295</definedName>
    <definedName name="Market" localSheetId="8">'[6]OFPC Source'!$J$8:$M$295</definedName>
    <definedName name="Market" localSheetId="9">'[6]OFPC Source'!$J$8:$M$295</definedName>
    <definedName name="Market" localSheetId="12">'[6]OFPC Source'!$J$8:$M$295</definedName>
    <definedName name="Market" localSheetId="13">'[6]OFPC Source'!$J$8:$M$295</definedName>
    <definedName name="Market" localSheetId="14">'[6]OFPC Source'!$J$8:$M$295</definedName>
    <definedName name="Market" localSheetId="10">'[6]OFPC Source'!$J$8:$M$295</definedName>
    <definedName name="Market">'[5]OFPC Source'!$J$8:$M$295</definedName>
    <definedName name="MidC_Flat">[7]Market_Price!#REF!</definedName>
    <definedName name="OR_AC_price">#REF!</definedName>
    <definedName name="_xlnm.Print_Area" localSheetId="0">'Table 1'!$A$1:$H$71</definedName>
    <definedName name="_xlnm.Print_Area" localSheetId="5">'Table 3 DJ Wind 2030'!$A$1:$K$74</definedName>
    <definedName name="_xlnm.Print_Area" localSheetId="22">'Table 3 EV2020 Wind_2020'!$A$1:$M$74</definedName>
    <definedName name="_xlnm.Print_Area" localSheetId="23">'Table 3 EV2020 Wind_2021'!$A$1:$M$74</definedName>
    <definedName name="_xlnm.Print_Area" localSheetId="6">'Table 3 ID Wind 2030'!$A$1:$K$74</definedName>
    <definedName name="_xlnm.Print_Area" localSheetId="7">'Table 3 ID Wind 2033'!$A$1:$K$74</definedName>
    <definedName name="_xlnm.Print_Area" localSheetId="18">'Table 3 OR Solar 2030'!$A$1:$K$74</definedName>
    <definedName name="_xlnm.Print_Area" localSheetId="19">'Table 3 OR Solar 2031'!$A$1:$K$74</definedName>
    <definedName name="_xlnm.Print_Area" localSheetId="20">'Table 3 OR Solar 2032'!$A$1:$K$74</definedName>
    <definedName name="_xlnm.Print_Area" localSheetId="21">'Table 3 OR Solar 2033'!$A$1:$K$74</definedName>
    <definedName name="_xlnm.Print_Area" localSheetId="11">'Table 3 OR Wind 2035'!$A$1:$K$74</definedName>
    <definedName name="_xlnm.Print_Area" localSheetId="3">'Table 3 TransCost D2 '!$A$1:$K$49</definedName>
    <definedName name="_xlnm.Print_Area" localSheetId="15">'Table 3 UT Solar 2033 ST'!$A$1:$K$74</definedName>
    <definedName name="_xlnm.Print_Area" localSheetId="17">'Table 3 UT Solar 2035 FT'!$A$1:$K$74</definedName>
    <definedName name="_xlnm.Print_Area" localSheetId="16">'Table 3 UT Solar 2035 ST'!$A$1:$K$74</definedName>
    <definedName name="_xlnm.Print_Area" localSheetId="4">'Table 3 UT Wind 2030'!$A$1:$K$74</definedName>
    <definedName name="_xlnm.Print_Area" localSheetId="8">'Table 3 UT Wind 2036'!$A$1:$K$74</definedName>
    <definedName name="_xlnm.Print_Area" localSheetId="9">'Table 3 WW Wind 2035'!$A$1:$K$74</definedName>
    <definedName name="_xlnm.Print_Area" localSheetId="12">'Table 3 YK Solar 2030'!$A$1:$K$74</definedName>
    <definedName name="_xlnm.Print_Area" localSheetId="13">'Table 3 YK Solar 2032'!$A$1:$K$74</definedName>
    <definedName name="_xlnm.Print_Area" localSheetId="14">'Table 3 YK Solar 2033'!$A$1:$K$74</definedName>
    <definedName name="_xlnm.Print_Area" localSheetId="10">'Table 3 YK Wind 2035'!$A$1:$K$74</definedName>
    <definedName name="_xlnm.Print_Area" localSheetId="1">'Table 4'!$A$1:$E$44</definedName>
    <definedName name="_xlnm.Print_Area" localSheetId="2">'Table 5'!$A$1:$H$266</definedName>
    <definedName name="RenewableMarketShape" localSheetId="5">'[6]OFPC Source'!$P$5:$U$28</definedName>
    <definedName name="RenewableMarketShape" localSheetId="22">'[6]OFPC Source'!$P$5:$U$28</definedName>
    <definedName name="RenewableMarketShape" localSheetId="23">'[6]OFPC Source'!$P$5:$U$28</definedName>
    <definedName name="RenewableMarketShape" localSheetId="6">'[6]OFPC Source'!$P$5:$U$28</definedName>
    <definedName name="RenewableMarketShape" localSheetId="7">'[6]OFPC Source'!$P$5:$U$28</definedName>
    <definedName name="RenewableMarketShape" localSheetId="18">'[6]OFPC Source'!$P$5:$U$28</definedName>
    <definedName name="RenewableMarketShape" localSheetId="19">'[6]OFPC Source'!$P$5:$U$28</definedName>
    <definedName name="RenewableMarketShape" localSheetId="20">'[6]OFPC Source'!$P$5:$U$28</definedName>
    <definedName name="RenewableMarketShape" localSheetId="21">'[6]OFPC Source'!$P$5:$U$28</definedName>
    <definedName name="RenewableMarketShape" localSheetId="11">'[6]OFPC Source'!$P$5:$U$28</definedName>
    <definedName name="RenewableMarketShape" localSheetId="3">'[6]OFPC Source'!$P$5:$U$28</definedName>
    <definedName name="RenewableMarketShape" localSheetId="15">'[6]OFPC Source'!$P$5:$U$28</definedName>
    <definedName name="RenewableMarketShape" localSheetId="17">'[6]OFPC Source'!$P$5:$U$28</definedName>
    <definedName name="RenewableMarketShape" localSheetId="16">'[6]OFPC Source'!$P$5:$U$28</definedName>
    <definedName name="RenewableMarketShape" localSheetId="4">'[6]OFPC Source'!$P$5:$U$28</definedName>
    <definedName name="RenewableMarketShape" localSheetId="8">'[6]OFPC Source'!$P$5:$U$28</definedName>
    <definedName name="RenewableMarketShape" localSheetId="9">'[6]OFPC Source'!$P$5:$U$28</definedName>
    <definedName name="RenewableMarketShape" localSheetId="12">'[6]OFPC Source'!$P$5:$U$28</definedName>
    <definedName name="RenewableMarketShape" localSheetId="13">'[6]OFPC Source'!$P$5:$U$28</definedName>
    <definedName name="RenewableMarketShape" localSheetId="14">'[6]OFPC Source'!$P$5:$U$28</definedName>
    <definedName name="RenewableMarketShape" localSheetId="10">'[6]OFPC Source'!$P$5:$U$28</definedName>
    <definedName name="RenewableMarketShape">'[5]OFPC Source'!$P$5:$U$33</definedName>
    <definedName name="RevenueSum">"GRID Thermal Revenue!R2C1:R4C2"</definedName>
    <definedName name="Solar_Fixed_integr_cost">'[8]Table 10'!$B$46</definedName>
    <definedName name="Solar_HLH" localSheetId="5">'[6]OFPC Source'!$U$47</definedName>
    <definedName name="Solar_HLH" localSheetId="22">'[6]OFPC Source'!$U$47</definedName>
    <definedName name="Solar_HLH" localSheetId="23">'[6]OFPC Source'!$U$47</definedName>
    <definedName name="Solar_HLH" localSheetId="6">'[6]OFPC Source'!$U$47</definedName>
    <definedName name="Solar_HLH" localSheetId="7">'[6]OFPC Source'!$U$47</definedName>
    <definedName name="Solar_HLH" localSheetId="18">'[6]OFPC Source'!$U$47</definedName>
    <definedName name="Solar_HLH" localSheetId="19">'[6]OFPC Source'!$U$47</definedName>
    <definedName name="Solar_HLH" localSheetId="20">'[6]OFPC Source'!$U$47</definedName>
    <definedName name="Solar_HLH" localSheetId="21">'[6]OFPC Source'!$U$47</definedName>
    <definedName name="Solar_HLH" localSheetId="11">'[6]OFPC Source'!$U$47</definedName>
    <definedName name="Solar_HLH" localSheetId="3">'[6]OFPC Source'!$U$47</definedName>
    <definedName name="Solar_HLH" localSheetId="15">'[6]OFPC Source'!$U$47</definedName>
    <definedName name="Solar_HLH" localSheetId="17">'[6]OFPC Source'!$U$47</definedName>
    <definedName name="Solar_HLH" localSheetId="16">'[6]OFPC Source'!$U$47</definedName>
    <definedName name="Solar_HLH" localSheetId="4">'[6]OFPC Source'!$U$47</definedName>
    <definedName name="Solar_HLH" localSheetId="8">'[6]OFPC Source'!$U$47</definedName>
    <definedName name="Solar_HLH" localSheetId="9">'[6]OFPC Source'!$U$47</definedName>
    <definedName name="Solar_HLH" localSheetId="12">'[6]OFPC Source'!$U$47</definedName>
    <definedName name="Solar_HLH" localSheetId="13">'[6]OFPC Source'!$U$47</definedName>
    <definedName name="Solar_HLH" localSheetId="14">'[6]OFPC Source'!$U$47</definedName>
    <definedName name="Solar_HLH" localSheetId="10">'[6]OFPC Source'!$U$47</definedName>
    <definedName name="Solar_HLH">'[5]OFPC Source'!$U$48</definedName>
    <definedName name="Solar_LLH" localSheetId="5">'[6]OFPC Source'!$V$47</definedName>
    <definedName name="Solar_LLH" localSheetId="22">'[6]OFPC Source'!$V$47</definedName>
    <definedName name="Solar_LLH" localSheetId="23">'[6]OFPC Source'!$V$47</definedName>
    <definedName name="Solar_LLH" localSheetId="6">'[6]OFPC Source'!$V$47</definedName>
    <definedName name="Solar_LLH" localSheetId="7">'[6]OFPC Source'!$V$47</definedName>
    <definedName name="Solar_LLH" localSheetId="18">'[6]OFPC Source'!$V$47</definedName>
    <definedName name="Solar_LLH" localSheetId="19">'[6]OFPC Source'!$V$47</definedName>
    <definedName name="Solar_LLH" localSheetId="20">'[6]OFPC Source'!$V$47</definedName>
    <definedName name="Solar_LLH" localSheetId="21">'[6]OFPC Source'!$V$47</definedName>
    <definedName name="Solar_LLH" localSheetId="11">'[6]OFPC Source'!$V$47</definedName>
    <definedName name="Solar_LLH" localSheetId="3">'[6]OFPC Source'!$V$47</definedName>
    <definedName name="Solar_LLH" localSheetId="15">'[6]OFPC Source'!$V$47</definedName>
    <definedName name="Solar_LLH" localSheetId="17">'[6]OFPC Source'!$V$47</definedName>
    <definedName name="Solar_LLH" localSheetId="16">'[6]OFPC Source'!$V$47</definedName>
    <definedName name="Solar_LLH" localSheetId="4">'[6]OFPC Source'!$V$47</definedName>
    <definedName name="Solar_LLH" localSheetId="8">'[6]OFPC Source'!$V$47</definedName>
    <definedName name="Solar_LLH" localSheetId="9">'[6]OFPC Source'!$V$47</definedName>
    <definedName name="Solar_LLH" localSheetId="12">'[6]OFPC Source'!$V$47</definedName>
    <definedName name="Solar_LLH" localSheetId="13">'[6]OFPC Source'!$V$47</definedName>
    <definedName name="Solar_LLH" localSheetId="14">'[6]OFPC Source'!$V$47</definedName>
    <definedName name="Solar_LLH" localSheetId="10">'[6]OFPC Source'!$V$47</definedName>
    <definedName name="Solar_LLH">'[5]OFPC Source'!$V$48</definedName>
    <definedName name="Solar_Tracking_integr_cost">'[8]Table 10'!$B$45</definedName>
    <definedName name="Study_Cap_Adj" localSheetId="3">'Table 1'!$I$8</definedName>
    <definedName name="Study_Cap_Adj">'Table 1'!$I$8</definedName>
    <definedName name="Study_CF">'Table 5'!$M$7</definedName>
    <definedName name="Study_MW">'Table 5'!$M$6</definedName>
    <definedName name="Study_Name" localSheetId="5">[3]ImportData!$D$7</definedName>
    <definedName name="Study_Name" localSheetId="22">[3]ImportData!$D$7</definedName>
    <definedName name="Study_Name" localSheetId="23">[3]ImportData!$D$7</definedName>
    <definedName name="Study_Name" localSheetId="6">[3]ImportData!$D$7</definedName>
    <definedName name="Study_Name" localSheetId="7">[3]ImportData!$D$7</definedName>
    <definedName name="Study_Name" localSheetId="18">[3]ImportData!$D$7</definedName>
    <definedName name="Study_Name" localSheetId="19">[3]ImportData!$D$7</definedName>
    <definedName name="Study_Name" localSheetId="20">[3]ImportData!$D$7</definedName>
    <definedName name="Study_Name" localSheetId="21">[3]ImportData!$D$7</definedName>
    <definedName name="Study_Name" localSheetId="11">[3]ImportData!$D$7</definedName>
    <definedName name="Study_Name" localSheetId="3">[3]ImportData!$D$7</definedName>
    <definedName name="Study_Name" localSheetId="15">[3]ImportData!$D$7</definedName>
    <definedName name="Study_Name" localSheetId="17">[3]ImportData!$D$7</definedName>
    <definedName name="Study_Name" localSheetId="16">[3]ImportData!$D$7</definedName>
    <definedName name="Study_Name" localSheetId="4">[3]ImportData!$D$7</definedName>
    <definedName name="Study_Name" localSheetId="8">[3]ImportData!$D$7</definedName>
    <definedName name="Study_Name" localSheetId="9">[3]ImportData!$D$7</definedName>
    <definedName name="Study_Name" localSheetId="12">[3]ImportData!$D$7</definedName>
    <definedName name="Study_Name" localSheetId="13">[3]ImportData!$D$7</definedName>
    <definedName name="Study_Name" localSheetId="14">[3]ImportData!$D$7</definedName>
    <definedName name="Study_Name" localSheetId="10">[3]ImportData!$D$7</definedName>
    <definedName name="ValuationDate">#REF!</definedName>
    <definedName name="Wind_Capacity_Contr">'[5]Exhibit 2- Std Wind QF '!$E$57</definedName>
    <definedName name="Wind_Integration_Charge">'[5]Exhibit 2- Std Wind QF '!$E$45</definedName>
  </definedNames>
  <calcPr calcId="152511"/>
</workbook>
</file>

<file path=xl/calcChain.xml><?xml version="1.0" encoding="utf-8"?>
<calcChain xmlns="http://schemas.openxmlformats.org/spreadsheetml/2006/main">
  <c r="K12" i="63" l="1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H13" i="63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H12" i="63"/>
  <c r="G12" i="63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D25" i="63"/>
  <c r="D26" i="63" s="1"/>
  <c r="D27" i="63" s="1"/>
  <c r="D28" i="63" s="1"/>
  <c r="D29" i="63" s="1"/>
  <c r="D30" i="63" s="1"/>
  <c r="D31" i="63" s="1"/>
  <c r="D32" i="63" s="1"/>
  <c r="D33" i="63" s="1"/>
  <c r="D34" i="63" s="1"/>
  <c r="D35" i="63" s="1"/>
  <c r="D36" i="63" s="1"/>
  <c r="E23" i="63"/>
  <c r="E24" i="63" s="1"/>
  <c r="E25" i="63" s="1"/>
  <c r="E26" i="63" s="1"/>
  <c r="E27" i="63" s="1"/>
  <c r="E28" i="63" s="1"/>
  <c r="E22" i="63"/>
  <c r="CJ9" i="25" l="1"/>
  <c r="CE9" i="25"/>
  <c r="B38" i="25" l="1"/>
  <c r="BN9" i="25" l="1"/>
  <c r="BO9" i="25"/>
  <c r="BJ9" i="25"/>
  <c r="BI9" i="25"/>
  <c r="AT9" i="25"/>
  <c r="AO9" i="25"/>
  <c r="C24" i="64"/>
  <c r="D24" i="64" s="1"/>
  <c r="C68" i="64"/>
  <c r="C67" i="64"/>
  <c r="P11" i="64"/>
  <c r="D47" i="64"/>
  <c r="D46" i="64"/>
  <c r="K11" i="64"/>
  <c r="E11" i="64"/>
  <c r="D49" i="64"/>
  <c r="C49" i="64"/>
  <c r="D48" i="64"/>
  <c r="C48" i="64"/>
  <c r="C47" i="64"/>
  <c r="C46" i="64"/>
  <c r="C45" i="64"/>
  <c r="H11" i="64"/>
  <c r="G11" i="64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K12" i="64" l="1"/>
  <c r="K13" i="64" s="1"/>
  <c r="H12" i="64"/>
  <c r="H13" i="64" s="1"/>
  <c r="G12" i="64"/>
  <c r="G13" i="64" s="1"/>
  <c r="P12" i="64"/>
  <c r="P13" i="64" s="1"/>
  <c r="E12" i="64"/>
  <c r="F11" i="64"/>
  <c r="I11" i="64" s="1"/>
  <c r="J11" i="64" s="1"/>
  <c r="B3" i="64"/>
  <c r="C52" i="64" s="1"/>
  <c r="B9" i="64" s="1"/>
  <c r="C69" i="64"/>
  <c r="C70" i="64" l="1"/>
  <c r="E13" i="64"/>
  <c r="F12" i="64"/>
  <c r="I12" i="64" s="1"/>
  <c r="J12" i="64" s="1"/>
  <c r="E14" i="64" l="1"/>
  <c r="F13" i="64"/>
  <c r="I13" i="64" s="1"/>
  <c r="J13" i="64" s="1"/>
  <c r="G14" i="64"/>
  <c r="P14" i="64"/>
  <c r="K14" i="64"/>
  <c r="H14" i="64"/>
  <c r="C71" i="64"/>
  <c r="C72" i="64" l="1"/>
  <c r="P15" i="64"/>
  <c r="G15" i="64"/>
  <c r="H15" i="64"/>
  <c r="K15" i="64"/>
  <c r="E15" i="64"/>
  <c r="F14" i="64"/>
  <c r="I14" i="64" s="1"/>
  <c r="J14" i="64" s="1"/>
  <c r="K16" i="64" l="1"/>
  <c r="G16" i="64"/>
  <c r="P16" i="64"/>
  <c r="E16" i="64"/>
  <c r="F15" i="64"/>
  <c r="I15" i="64" s="1"/>
  <c r="J15" i="64" s="1"/>
  <c r="H16" i="64"/>
  <c r="C73" i="64"/>
  <c r="G17" i="64" l="1"/>
  <c r="C74" i="64"/>
  <c r="G18" i="64"/>
  <c r="E17" i="64"/>
  <c r="F16" i="64"/>
  <c r="I16" i="64" s="1"/>
  <c r="J16" i="64" s="1"/>
  <c r="H17" i="64"/>
  <c r="P17" i="64"/>
  <c r="K17" i="64"/>
  <c r="C67" i="63"/>
  <c r="C68" i="63" s="1"/>
  <c r="H11" i="63"/>
  <c r="B3" i="63"/>
  <c r="C52" i="63" s="1"/>
  <c r="B9" i="63" s="1"/>
  <c r="G11" i="63"/>
  <c r="K11" i="63"/>
  <c r="E11" i="63"/>
  <c r="F11" i="63" s="1"/>
  <c r="D49" i="63"/>
  <c r="C49" i="63"/>
  <c r="D48" i="63"/>
  <c r="C48" i="63"/>
  <c r="C47" i="63"/>
  <c r="C46" i="63"/>
  <c r="C45" i="63"/>
  <c r="D44" i="63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D47" i="63" l="1"/>
  <c r="K18" i="64"/>
  <c r="P11" i="63"/>
  <c r="D46" i="63"/>
  <c r="D24" i="63"/>
  <c r="I11" i="63"/>
  <c r="J11" i="63" s="1"/>
  <c r="E18" i="64"/>
  <c r="F17" i="64"/>
  <c r="I17" i="64" s="1"/>
  <c r="J17" i="64" s="1"/>
  <c r="P18" i="64"/>
  <c r="H18" i="64"/>
  <c r="G19" i="64"/>
  <c r="F66" i="64"/>
  <c r="C69" i="63"/>
  <c r="E19" i="64" l="1"/>
  <c r="F18" i="64"/>
  <c r="I18" i="64" s="1"/>
  <c r="J18" i="64" s="1"/>
  <c r="K19" i="64"/>
  <c r="P19" i="64"/>
  <c r="F67" i="64"/>
  <c r="G20" i="64"/>
  <c r="H19" i="64"/>
  <c r="P12" i="63"/>
  <c r="P13" i="63" s="1"/>
  <c r="E12" i="63"/>
  <c r="C70" i="63"/>
  <c r="G21" i="64" l="1"/>
  <c r="F68" i="64"/>
  <c r="H20" i="64"/>
  <c r="K20" i="64"/>
  <c r="E20" i="64"/>
  <c r="F19" i="64"/>
  <c r="I19" i="64" s="1"/>
  <c r="J19" i="64" s="1"/>
  <c r="P20" i="64"/>
  <c r="F12" i="63"/>
  <c r="I12" i="63" s="1"/>
  <c r="J12" i="63" s="1"/>
  <c r="E13" i="63"/>
  <c r="C71" i="63"/>
  <c r="P14" i="63"/>
  <c r="E21" i="64" l="1"/>
  <c r="F20" i="64"/>
  <c r="I20" i="64" s="1"/>
  <c r="J20" i="64" s="1"/>
  <c r="P21" i="64"/>
  <c r="H21" i="64"/>
  <c r="F69" i="64"/>
  <c r="G22" i="64"/>
  <c r="K21" i="64"/>
  <c r="P15" i="63"/>
  <c r="E14" i="63"/>
  <c r="F13" i="63"/>
  <c r="I13" i="63" s="1"/>
  <c r="J13" i="63" s="1"/>
  <c r="C72" i="63"/>
  <c r="K22" i="64" l="1"/>
  <c r="P22" i="64"/>
  <c r="G23" i="64"/>
  <c r="F70" i="64"/>
  <c r="F21" i="64"/>
  <c r="I21" i="64" s="1"/>
  <c r="J21" i="64" s="1"/>
  <c r="E22" i="64"/>
  <c r="H22" i="64"/>
  <c r="P16" i="63"/>
  <c r="C73" i="63"/>
  <c r="F14" i="63"/>
  <c r="I14" i="63" s="1"/>
  <c r="J14" i="63" s="1"/>
  <c r="E15" i="63"/>
  <c r="H23" i="64" l="1"/>
  <c r="E23" i="64"/>
  <c r="F22" i="64"/>
  <c r="I22" i="64" s="1"/>
  <c r="J22" i="64" s="1"/>
  <c r="P23" i="64"/>
  <c r="F71" i="64"/>
  <c r="G24" i="64"/>
  <c r="K23" i="64"/>
  <c r="F15" i="63"/>
  <c r="I15" i="63" s="1"/>
  <c r="J15" i="63" s="1"/>
  <c r="E16" i="63"/>
  <c r="C74" i="63"/>
  <c r="P17" i="63"/>
  <c r="P24" i="64" l="1"/>
  <c r="P18" i="63"/>
  <c r="K24" i="64"/>
  <c r="F72" i="64"/>
  <c r="E24" i="64"/>
  <c r="F23" i="64"/>
  <c r="I23" i="64" s="1"/>
  <c r="J23" i="64" s="1"/>
  <c r="H24" i="64"/>
  <c r="F66" i="63"/>
  <c r="E17" i="63"/>
  <c r="F16" i="63"/>
  <c r="I16" i="63" s="1"/>
  <c r="J16" i="63" s="1"/>
  <c r="H25" i="64" l="1"/>
  <c r="G25" i="64"/>
  <c r="D25" i="64"/>
  <c r="P25" i="64"/>
  <c r="F73" i="64"/>
  <c r="G26" i="64"/>
  <c r="K25" i="64"/>
  <c r="E25" i="64"/>
  <c r="F24" i="64"/>
  <c r="I24" i="64" s="1"/>
  <c r="J24" i="64" s="1"/>
  <c r="F67" i="63"/>
  <c r="E18" i="63"/>
  <c r="F17" i="63"/>
  <c r="I17" i="63" s="1"/>
  <c r="J17" i="63" s="1"/>
  <c r="P19" i="63"/>
  <c r="K26" i="64" l="1"/>
  <c r="P20" i="63"/>
  <c r="D26" i="64"/>
  <c r="H26" i="64"/>
  <c r="G27" i="64"/>
  <c r="F74" i="64"/>
  <c r="P26" i="64"/>
  <c r="E26" i="64"/>
  <c r="F25" i="64"/>
  <c r="I25" i="64" s="1"/>
  <c r="J25" i="64" s="1"/>
  <c r="F68" i="63"/>
  <c r="F18" i="63"/>
  <c r="I18" i="63" s="1"/>
  <c r="J18" i="63" s="1"/>
  <c r="E19" i="63"/>
  <c r="D27" i="64" l="1"/>
  <c r="I66" i="64"/>
  <c r="P27" i="64"/>
  <c r="H27" i="64"/>
  <c r="E27" i="64"/>
  <c r="F26" i="64"/>
  <c r="I26" i="64" s="1"/>
  <c r="J26" i="64" s="1"/>
  <c r="K27" i="64"/>
  <c r="E20" i="63"/>
  <c r="F19" i="63"/>
  <c r="I19" i="63" s="1"/>
  <c r="J19" i="63" s="1"/>
  <c r="P21" i="63"/>
  <c r="F69" i="63"/>
  <c r="D28" i="64" l="1"/>
  <c r="D29" i="64" s="1"/>
  <c r="D30" i="64" s="1"/>
  <c r="D31" i="64" s="1"/>
  <c r="D32" i="64" s="1"/>
  <c r="D33" i="64" s="1"/>
  <c r="D34" i="64" s="1"/>
  <c r="D35" i="64" s="1"/>
  <c r="D36" i="64" s="1"/>
  <c r="E28" i="64"/>
  <c r="F27" i="64"/>
  <c r="I27" i="64" s="1"/>
  <c r="J27" i="64" s="1"/>
  <c r="K28" i="64"/>
  <c r="P28" i="64"/>
  <c r="I67" i="64"/>
  <c r="H28" i="64"/>
  <c r="G28" i="64"/>
  <c r="F70" i="63"/>
  <c r="P22" i="63"/>
  <c r="E21" i="63"/>
  <c r="F20" i="63"/>
  <c r="I20" i="63" s="1"/>
  <c r="J20" i="63" s="1"/>
  <c r="F28" i="64" l="1"/>
  <c r="I28" i="64" s="1"/>
  <c r="J28" i="64" s="1"/>
  <c r="K29" i="64"/>
  <c r="G29" i="64"/>
  <c r="I68" i="64"/>
  <c r="P29" i="64"/>
  <c r="H29" i="64"/>
  <c r="E29" i="64"/>
  <c r="F71" i="63"/>
  <c r="F21" i="63"/>
  <c r="I21" i="63" s="1"/>
  <c r="J21" i="63" s="1"/>
  <c r="P23" i="63"/>
  <c r="P24" i="63" l="1"/>
  <c r="E30" i="64"/>
  <c r="F29" i="64"/>
  <c r="I29" i="64" s="1"/>
  <c r="J29" i="64" s="1"/>
  <c r="P30" i="64"/>
  <c r="G30" i="64"/>
  <c r="K30" i="64"/>
  <c r="I69" i="64"/>
  <c r="H30" i="64"/>
  <c r="F72" i="63"/>
  <c r="F22" i="63"/>
  <c r="I22" i="63" s="1"/>
  <c r="J22" i="63" s="1"/>
  <c r="F24" i="63" l="1"/>
  <c r="I24" i="63" s="1"/>
  <c r="J24" i="63" s="1"/>
  <c r="E31" i="64"/>
  <c r="H31" i="64"/>
  <c r="G31" i="64"/>
  <c r="F30" i="64"/>
  <c r="I30" i="64" s="1"/>
  <c r="J30" i="64" s="1"/>
  <c r="K31" i="64"/>
  <c r="I70" i="64"/>
  <c r="P31" i="64"/>
  <c r="F23" i="63"/>
  <c r="I23" i="63" s="1"/>
  <c r="J23" i="63" s="1"/>
  <c r="P25" i="63"/>
  <c r="F73" i="63"/>
  <c r="K32" i="64" l="1"/>
  <c r="E32" i="64"/>
  <c r="F32" i="64" s="1"/>
  <c r="P32" i="64"/>
  <c r="F25" i="63"/>
  <c r="I25" i="63" s="1"/>
  <c r="J25" i="63" s="1"/>
  <c r="F31" i="64"/>
  <c r="I31" i="64" s="1"/>
  <c r="J31" i="64" s="1"/>
  <c r="I71" i="64"/>
  <c r="H32" i="64"/>
  <c r="G32" i="64"/>
  <c r="F74" i="63"/>
  <c r="P26" i="63"/>
  <c r="F26" i="63" l="1"/>
  <c r="I26" i="63" s="1"/>
  <c r="J26" i="63" s="1"/>
  <c r="H33" i="64"/>
  <c r="P33" i="64"/>
  <c r="I72" i="64"/>
  <c r="K33" i="64"/>
  <c r="G33" i="64"/>
  <c r="I32" i="64"/>
  <c r="J32" i="64" s="1"/>
  <c r="E33" i="64"/>
  <c r="I66" i="63"/>
  <c r="P27" i="63"/>
  <c r="K34" i="64" l="1"/>
  <c r="E34" i="64"/>
  <c r="F34" i="64" s="1"/>
  <c r="G34" i="64"/>
  <c r="P34" i="64"/>
  <c r="H34" i="64"/>
  <c r="P28" i="63"/>
  <c r="F27" i="63"/>
  <c r="I27" i="63" s="1"/>
  <c r="J27" i="63" s="1"/>
  <c r="F33" i="64"/>
  <c r="I33" i="64" s="1"/>
  <c r="J33" i="64" s="1"/>
  <c r="I73" i="64"/>
  <c r="I67" i="63"/>
  <c r="P35" i="64" l="1"/>
  <c r="K35" i="64"/>
  <c r="I34" i="64"/>
  <c r="J34" i="64" s="1"/>
  <c r="H35" i="64"/>
  <c r="E29" i="63"/>
  <c r="F28" i="63"/>
  <c r="I28" i="63" s="1"/>
  <c r="J28" i="63" s="1"/>
  <c r="E35" i="64"/>
  <c r="F35" i="64" s="1"/>
  <c r="I74" i="64"/>
  <c r="G35" i="64"/>
  <c r="I68" i="63"/>
  <c r="P29" i="63"/>
  <c r="K36" i="64" l="1"/>
  <c r="H36" i="64"/>
  <c r="P36" i="64"/>
  <c r="P30" i="63"/>
  <c r="G36" i="64"/>
  <c r="E36" i="64"/>
  <c r="F36" i="64" s="1"/>
  <c r="F29" i="63"/>
  <c r="I29" i="63" s="1"/>
  <c r="J29" i="63" s="1"/>
  <c r="I35" i="64"/>
  <c r="J35" i="64" s="1"/>
  <c r="I69" i="63"/>
  <c r="P31" i="63" l="1"/>
  <c r="I36" i="64"/>
  <c r="J36" i="64" s="1"/>
  <c r="E30" i="63"/>
  <c r="I70" i="63"/>
  <c r="P32" i="63" l="1"/>
  <c r="E31" i="63"/>
  <c r="F30" i="63"/>
  <c r="I30" i="63" s="1"/>
  <c r="J30" i="63" s="1"/>
  <c r="I71" i="63"/>
  <c r="P33" i="63" l="1"/>
  <c r="E32" i="63"/>
  <c r="F31" i="63"/>
  <c r="I31" i="63" s="1"/>
  <c r="J31" i="63" s="1"/>
  <c r="I72" i="63"/>
  <c r="E33" i="63" l="1"/>
  <c r="F32" i="63"/>
  <c r="I32" i="63" s="1"/>
  <c r="J32" i="63" s="1"/>
  <c r="I73" i="63"/>
  <c r="P34" i="63"/>
  <c r="P35" i="63" l="1"/>
  <c r="E34" i="63"/>
  <c r="E35" i="63" s="1"/>
  <c r="F33" i="63"/>
  <c r="I33" i="63" s="1"/>
  <c r="J33" i="63" s="1"/>
  <c r="I74" i="63"/>
  <c r="F34" i="63" l="1"/>
  <c r="I34" i="63" s="1"/>
  <c r="J34" i="63" s="1"/>
  <c r="F35" i="63"/>
  <c r="I35" i="63" s="1"/>
  <c r="J35" i="63" s="1"/>
  <c r="P36" i="63"/>
  <c r="E36" i="63"/>
  <c r="F36" i="63" l="1"/>
  <c r="I36" i="63" s="1"/>
  <c r="J36" i="63" s="1"/>
  <c r="C65" i="64" l="1"/>
  <c r="C65" i="63"/>
  <c r="CT9" i="25" l="1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C29" i="62" l="1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D44" i="49" l="1"/>
  <c r="C67" i="62" l="1"/>
  <c r="C68" i="62" s="1"/>
  <c r="D11" i="62"/>
  <c r="D29" i="62"/>
  <c r="K11" i="62"/>
  <c r="E11" i="62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G11" i="62"/>
  <c r="B11" i="62"/>
  <c r="B12" i="62" s="1"/>
  <c r="B3" i="62"/>
  <c r="C52" i="62" s="1"/>
  <c r="B9" i="62" s="1"/>
  <c r="D46" i="62" l="1"/>
  <c r="F11" i="62"/>
  <c r="I11" i="62" s="1"/>
  <c r="J11" i="62" s="1"/>
  <c r="G12" i="62"/>
  <c r="G13" i="62" s="1"/>
  <c r="C69" i="62"/>
  <c r="C70" i="62" l="1"/>
  <c r="G14" i="62"/>
  <c r="H12" i="62"/>
  <c r="H13" i="62" s="1"/>
  <c r="D12" i="62"/>
  <c r="K12" i="62"/>
  <c r="K13" i="62" s="1"/>
  <c r="E12" i="62"/>
  <c r="E13" i="62" s="1"/>
  <c r="E14" i="62" l="1"/>
  <c r="H14" i="62"/>
  <c r="K14" i="62"/>
  <c r="G15" i="62"/>
  <c r="C71" i="62"/>
  <c r="D13" i="62"/>
  <c r="F12" i="62"/>
  <c r="I12" i="62" s="1"/>
  <c r="J12" i="62" s="1"/>
  <c r="K15" i="62" l="1"/>
  <c r="H15" i="62"/>
  <c r="E15" i="62"/>
  <c r="F13" i="62"/>
  <c r="I13" i="62" s="1"/>
  <c r="J13" i="62" s="1"/>
  <c r="D14" i="62"/>
  <c r="C72" i="62"/>
  <c r="G16" i="62"/>
  <c r="H16" i="62" l="1"/>
  <c r="D15" i="62"/>
  <c r="F14" i="62"/>
  <c r="I14" i="62" s="1"/>
  <c r="J14" i="62" s="1"/>
  <c r="G17" i="62"/>
  <c r="C73" i="62"/>
  <c r="K16" i="62"/>
  <c r="E16" i="62"/>
  <c r="E17" i="62" l="1"/>
  <c r="K17" i="62"/>
  <c r="H17" i="62"/>
  <c r="D16" i="62"/>
  <c r="F15" i="62"/>
  <c r="I15" i="62" s="1"/>
  <c r="J15" i="62" s="1"/>
  <c r="C74" i="62"/>
  <c r="G18" i="62"/>
  <c r="H18" i="62" l="1"/>
  <c r="D17" i="62"/>
  <c r="F16" i="62"/>
  <c r="I16" i="62" s="1"/>
  <c r="J16" i="62" s="1"/>
  <c r="K18" i="62"/>
  <c r="G19" i="62"/>
  <c r="F66" i="62"/>
  <c r="E18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E19" i="62" l="1"/>
  <c r="F67" i="62"/>
  <c r="G20" i="62"/>
  <c r="F17" i="62"/>
  <c r="I17" i="62" s="1"/>
  <c r="J17" i="62" s="1"/>
  <c r="D18" i="62"/>
  <c r="H19" i="62"/>
  <c r="K19" i="62"/>
  <c r="K20" i="62" l="1"/>
  <c r="H20" i="62"/>
  <c r="G21" i="62"/>
  <c r="F68" i="62"/>
  <c r="D19" i="62"/>
  <c r="F18" i="62"/>
  <c r="I18" i="62" s="1"/>
  <c r="J18" i="62" s="1"/>
  <c r="E20" i="62"/>
  <c r="C27" i="61"/>
  <c r="C67" i="61"/>
  <c r="B3" i="61"/>
  <c r="C52" i="61" s="1"/>
  <c r="B9" i="61" s="1"/>
  <c r="K11" i="61"/>
  <c r="E11" i="61"/>
  <c r="C49" i="61"/>
  <c r="D48" i="61"/>
  <c r="C48" i="61"/>
  <c r="C47" i="61"/>
  <c r="D46" i="61"/>
  <c r="C46" i="61"/>
  <c r="C45" i="61"/>
  <c r="D49" i="61"/>
  <c r="H11" i="61"/>
  <c r="G11" i="6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K11" i="60"/>
  <c r="E11" i="60"/>
  <c r="F11" i="60" s="1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E11" i="59"/>
  <c r="C49" i="59"/>
  <c r="D48" i="59"/>
  <c r="C48" i="59"/>
  <c r="C47" i="59"/>
  <c r="D46" i="59"/>
  <c r="C46" i="59"/>
  <c r="C45" i="59"/>
  <c r="D49" i="59"/>
  <c r="H11" i="59"/>
  <c r="G11" i="59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E11" i="58"/>
  <c r="F11" i="58" s="1"/>
  <c r="C68" i="58"/>
  <c r="C69" i="58" s="1"/>
  <c r="C67" i="58"/>
  <c r="H12" i="58" s="1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H11" i="58"/>
  <c r="B11" i="58"/>
  <c r="C27" i="57"/>
  <c r="C68" i="57"/>
  <c r="C69" i="57" s="1"/>
  <c r="C67" i="57"/>
  <c r="B3" i="57"/>
  <c r="C52" i="57" s="1"/>
  <c r="B9" i="57" s="1"/>
  <c r="D46" i="57"/>
  <c r="G11" i="57"/>
  <c r="K11" i="57"/>
  <c r="E11" i="57"/>
  <c r="F11" i="57" s="1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K11" i="56"/>
  <c r="E11" i="56"/>
  <c r="F11" i="56" s="1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K11" i="41"/>
  <c r="E11" i="41"/>
  <c r="C24" i="41"/>
  <c r="D24" i="41" s="1"/>
  <c r="B3" i="55"/>
  <c r="C52" i="55" s="1"/>
  <c r="B9" i="55" s="1"/>
  <c r="D46" i="55"/>
  <c r="G11" i="55"/>
  <c r="K11" i="55"/>
  <c r="E11" i="55"/>
  <c r="E11" i="40"/>
  <c r="K11" i="40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C27" i="40"/>
  <c r="B3" i="54"/>
  <c r="C52" i="54" s="1"/>
  <c r="B9" i="54" s="1"/>
  <c r="D46" i="54"/>
  <c r="G11" i="54"/>
  <c r="K11" i="54"/>
  <c r="E11" i="54"/>
  <c r="C29" i="54"/>
  <c r="D29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H12" i="53"/>
  <c r="C67" i="53"/>
  <c r="D47" i="53"/>
  <c r="D46" i="53"/>
  <c r="G11" i="53"/>
  <c r="K11" i="53"/>
  <c r="E11" i="53"/>
  <c r="F11" i="53" s="1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K11" i="52"/>
  <c r="E11" i="52"/>
  <c r="C29" i="52"/>
  <c r="D29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K11" i="44"/>
  <c r="E11" i="44"/>
  <c r="C27" i="44"/>
  <c r="C30" i="50"/>
  <c r="D47" i="50"/>
  <c r="D46" i="50"/>
  <c r="G11" i="50"/>
  <c r="K11" i="50"/>
  <c r="E11" i="50"/>
  <c r="F11" i="50" s="1"/>
  <c r="C24" i="42"/>
  <c r="C68" i="50"/>
  <c r="C67" i="50"/>
  <c r="H11" i="50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C15" i="49"/>
  <c r="C69" i="49"/>
  <c r="C70" i="49" s="1"/>
  <c r="C67" i="49"/>
  <c r="C68" i="49" s="1"/>
  <c r="D47" i="49"/>
  <c r="D46" i="49"/>
  <c r="H11" i="49"/>
  <c r="G11" i="49"/>
  <c r="L11" i="49"/>
  <c r="E11" i="49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D27" i="40" l="1"/>
  <c r="H12" i="59"/>
  <c r="E21" i="62"/>
  <c r="B3" i="50"/>
  <c r="C52" i="50" s="1"/>
  <c r="B9" i="50" s="1"/>
  <c r="G12" i="57"/>
  <c r="P12" i="54"/>
  <c r="B3" i="58"/>
  <c r="C52" i="58" s="1"/>
  <c r="B9" i="58" s="1"/>
  <c r="H13" i="53"/>
  <c r="H12" i="57"/>
  <c r="G12" i="58"/>
  <c r="G13" i="58" s="1"/>
  <c r="G12" i="59"/>
  <c r="G12" i="53"/>
  <c r="G13" i="53" s="1"/>
  <c r="H13" i="58"/>
  <c r="K12" i="56"/>
  <c r="K13" i="56" s="1"/>
  <c r="K12" i="50"/>
  <c r="P11" i="52"/>
  <c r="K12" i="53"/>
  <c r="H12" i="54"/>
  <c r="K12" i="54"/>
  <c r="E12" i="59"/>
  <c r="F12" i="59" s="1"/>
  <c r="H12" i="50"/>
  <c r="K12" i="59"/>
  <c r="P11" i="50"/>
  <c r="P12" i="50" s="1"/>
  <c r="K12" i="57"/>
  <c r="G12" i="54"/>
  <c r="P11" i="53"/>
  <c r="P12" i="53" s="1"/>
  <c r="P13" i="53" s="1"/>
  <c r="G12" i="50"/>
  <c r="H21" i="62"/>
  <c r="D20" i="62"/>
  <c r="F19" i="62"/>
  <c r="I19" i="62" s="1"/>
  <c r="J19" i="62" s="1"/>
  <c r="K21" i="62"/>
  <c r="F69" i="62"/>
  <c r="G22" i="62"/>
  <c r="F11" i="49"/>
  <c r="J11" i="49" s="1"/>
  <c r="K11" i="49" s="1"/>
  <c r="B3" i="56"/>
  <c r="C52" i="56" s="1"/>
  <c r="B9" i="56" s="1"/>
  <c r="D27" i="61"/>
  <c r="D29" i="53"/>
  <c r="I11" i="53"/>
  <c r="J11" i="53" s="1"/>
  <c r="D47" i="55"/>
  <c r="B3" i="59"/>
  <c r="C52" i="59" s="1"/>
  <c r="B9" i="59" s="1"/>
  <c r="B3" i="60"/>
  <c r="C52" i="60" s="1"/>
  <c r="B9" i="60" s="1"/>
  <c r="D15" i="49"/>
  <c r="B3" i="53"/>
  <c r="C52" i="53" s="1"/>
  <c r="B9" i="53" s="1"/>
  <c r="D24" i="42"/>
  <c r="I11" i="50"/>
  <c r="J11" i="50" s="1"/>
  <c r="B3" i="49"/>
  <c r="C52" i="49" s="1"/>
  <c r="B9" i="49" s="1"/>
  <c r="D30" i="50"/>
  <c r="D27" i="44"/>
  <c r="D47" i="54"/>
  <c r="E12" i="57"/>
  <c r="F12" i="57" s="1"/>
  <c r="D27" i="57"/>
  <c r="D29" i="55"/>
  <c r="D26" i="60"/>
  <c r="D26" i="56"/>
  <c r="D25" i="59"/>
  <c r="F11" i="61"/>
  <c r="I11" i="61" s="1"/>
  <c r="J11" i="61" s="1"/>
  <c r="H12" i="61"/>
  <c r="C68" i="61"/>
  <c r="D47" i="61"/>
  <c r="I11" i="60"/>
  <c r="J11" i="60" s="1"/>
  <c r="C69" i="60"/>
  <c r="H12" i="60"/>
  <c r="C69" i="59"/>
  <c r="F11" i="59"/>
  <c r="I11" i="59" s="1"/>
  <c r="J11" i="59" s="1"/>
  <c r="I11" i="58"/>
  <c r="J11" i="58" s="1"/>
  <c r="K12" i="58"/>
  <c r="K13" i="58" s="1"/>
  <c r="C70" i="58"/>
  <c r="E12" i="58"/>
  <c r="I11" i="57"/>
  <c r="J11" i="57" s="1"/>
  <c r="C70" i="57"/>
  <c r="H12" i="56"/>
  <c r="H13" i="56" s="1"/>
  <c r="G12" i="56"/>
  <c r="G13" i="56" s="1"/>
  <c r="E12" i="56"/>
  <c r="C70" i="56"/>
  <c r="F11" i="55"/>
  <c r="I11" i="55" s="1"/>
  <c r="J11" i="55" s="1"/>
  <c r="C69" i="55"/>
  <c r="E12" i="54"/>
  <c r="F12" i="54" s="1"/>
  <c r="F11" i="54"/>
  <c r="I11" i="54" s="1"/>
  <c r="J11" i="54" s="1"/>
  <c r="C69" i="54"/>
  <c r="E12" i="53"/>
  <c r="K13" i="53"/>
  <c r="C69" i="53"/>
  <c r="F11" i="52"/>
  <c r="I11" i="52" s="1"/>
  <c r="J11" i="52" s="1"/>
  <c r="C68" i="52"/>
  <c r="G12" i="52"/>
  <c r="B3" i="52"/>
  <c r="C52" i="52" s="1"/>
  <c r="B9" i="52" s="1"/>
  <c r="C69" i="50"/>
  <c r="E12" i="50"/>
  <c r="B15" i="49"/>
  <c r="C71" i="49"/>
  <c r="H12" i="49"/>
  <c r="H13" i="49" s="1"/>
  <c r="G13" i="57" l="1"/>
  <c r="G14" i="57" s="1"/>
  <c r="H14" i="58"/>
  <c r="I12" i="57"/>
  <c r="J12" i="57" s="1"/>
  <c r="I12" i="54"/>
  <c r="J12" i="54" s="1"/>
  <c r="G13" i="54"/>
  <c r="I12" i="59"/>
  <c r="J12" i="59" s="1"/>
  <c r="K13" i="50"/>
  <c r="G13" i="59"/>
  <c r="P13" i="54"/>
  <c r="G12" i="61"/>
  <c r="K12" i="60"/>
  <c r="K13" i="60" s="1"/>
  <c r="E12" i="61"/>
  <c r="F12" i="61" s="1"/>
  <c r="H13" i="54"/>
  <c r="H14" i="54" s="1"/>
  <c r="H13" i="57"/>
  <c r="H14" i="57" s="1"/>
  <c r="H14" i="49"/>
  <c r="H15" i="49" s="1"/>
  <c r="K13" i="54"/>
  <c r="K13" i="57"/>
  <c r="K14" i="57" s="1"/>
  <c r="K12" i="61"/>
  <c r="D21" i="62"/>
  <c r="F20" i="62"/>
  <c r="I20" i="62" s="1"/>
  <c r="J20" i="62" s="1"/>
  <c r="G23" i="62"/>
  <c r="F70" i="62"/>
  <c r="H22" i="62"/>
  <c r="K22" i="62"/>
  <c r="E22" i="62"/>
  <c r="E23" i="62" s="1"/>
  <c r="E13" i="57"/>
  <c r="E14" i="57" s="1"/>
  <c r="H13" i="61"/>
  <c r="C69" i="61"/>
  <c r="C70" i="60"/>
  <c r="G12" i="60"/>
  <c r="G13" i="60" s="1"/>
  <c r="H13" i="60"/>
  <c r="E12" i="60"/>
  <c r="H13" i="59"/>
  <c r="E13" i="59"/>
  <c r="K13" i="59"/>
  <c r="C70" i="59"/>
  <c r="G14" i="58"/>
  <c r="F12" i="58"/>
  <c r="I12" i="58" s="1"/>
  <c r="J12" i="58" s="1"/>
  <c r="E13" i="58"/>
  <c r="K14" i="58"/>
  <c r="C71" i="58"/>
  <c r="C71" i="57"/>
  <c r="H14" i="56"/>
  <c r="H15" i="56" s="1"/>
  <c r="F12" i="56"/>
  <c r="I12" i="56" s="1"/>
  <c r="J12" i="56" s="1"/>
  <c r="E13" i="56"/>
  <c r="C71" i="56"/>
  <c r="K14" i="56"/>
  <c r="I11" i="56"/>
  <c r="J11" i="56" s="1"/>
  <c r="G14" i="56"/>
  <c r="H12" i="55"/>
  <c r="H13" i="55" s="1"/>
  <c r="D12" i="55"/>
  <c r="G12" i="55"/>
  <c r="G13" i="55" s="1"/>
  <c r="K12" i="55"/>
  <c r="K13" i="55" s="1"/>
  <c r="C70" i="55"/>
  <c r="E12" i="55"/>
  <c r="E13" i="55" s="1"/>
  <c r="C70" i="54"/>
  <c r="E13" i="54"/>
  <c r="C70" i="53"/>
  <c r="K14" i="53"/>
  <c r="E13" i="53"/>
  <c r="F12" i="53"/>
  <c r="I12" i="53" s="1"/>
  <c r="J12" i="53" s="1"/>
  <c r="E12" i="52"/>
  <c r="G13" i="52"/>
  <c r="C69" i="52"/>
  <c r="P12" i="52"/>
  <c r="K12" i="52"/>
  <c r="H12" i="52"/>
  <c r="F12" i="50"/>
  <c r="I12" i="50" s="1"/>
  <c r="J12" i="50" s="1"/>
  <c r="E13" i="50"/>
  <c r="G13" i="50"/>
  <c r="C70" i="50"/>
  <c r="P13" i="50"/>
  <c r="H13" i="50"/>
  <c r="B16" i="49"/>
  <c r="E12" i="49"/>
  <c r="G12" i="49"/>
  <c r="G13" i="49" s="1"/>
  <c r="G14" i="49" s="1"/>
  <c r="G15" i="49" s="1"/>
  <c r="C72" i="49"/>
  <c r="L12" i="49"/>
  <c r="L13" i="49" s="1"/>
  <c r="L14" i="49" s="1"/>
  <c r="L15" i="49" s="1"/>
  <c r="H15" i="58" l="1"/>
  <c r="G15" i="57"/>
  <c r="K14" i="50"/>
  <c r="F13" i="57"/>
  <c r="I13" i="57" s="1"/>
  <c r="J13" i="57" s="1"/>
  <c r="I12" i="61"/>
  <c r="J12" i="61" s="1"/>
  <c r="H16" i="49"/>
  <c r="P14" i="54"/>
  <c r="G14" i="59"/>
  <c r="L16" i="49"/>
  <c r="G16" i="49"/>
  <c r="H15" i="57"/>
  <c r="K14" i="59"/>
  <c r="K15" i="56"/>
  <c r="E14" i="55"/>
  <c r="G14" i="55"/>
  <c r="G14" i="50"/>
  <c r="K13" i="52"/>
  <c r="K15" i="57"/>
  <c r="G13" i="61"/>
  <c r="P14" i="50"/>
  <c r="K14" i="55"/>
  <c r="K23" i="62"/>
  <c r="H23" i="62"/>
  <c r="F21" i="62"/>
  <c r="I21" i="62" s="1"/>
  <c r="J21" i="62" s="1"/>
  <c r="D22" i="62"/>
  <c r="F71" i="62"/>
  <c r="G24" i="62"/>
  <c r="C70" i="61"/>
  <c r="H14" i="61"/>
  <c r="K13" i="61"/>
  <c r="E13" i="61"/>
  <c r="F12" i="60"/>
  <c r="I12" i="60" s="1"/>
  <c r="J12" i="60" s="1"/>
  <c r="E13" i="60"/>
  <c r="C71" i="60"/>
  <c r="H14" i="60"/>
  <c r="K14" i="60"/>
  <c r="G14" i="60"/>
  <c r="C71" i="59"/>
  <c r="H14" i="59"/>
  <c r="E14" i="59"/>
  <c r="F13" i="59"/>
  <c r="I13" i="59" s="1"/>
  <c r="J13" i="59" s="1"/>
  <c r="F13" i="58"/>
  <c r="I13" i="58" s="1"/>
  <c r="J13" i="58" s="1"/>
  <c r="E14" i="58"/>
  <c r="G15" i="58"/>
  <c r="C72" i="58"/>
  <c r="K15" i="58"/>
  <c r="F14" i="57"/>
  <c r="I14" i="57" s="1"/>
  <c r="J14" i="57" s="1"/>
  <c r="E15" i="57"/>
  <c r="C72" i="57"/>
  <c r="C72" i="56"/>
  <c r="G15" i="56"/>
  <c r="F13" i="56"/>
  <c r="I13" i="56" s="1"/>
  <c r="J13" i="56" s="1"/>
  <c r="E14" i="56"/>
  <c r="D13" i="55"/>
  <c r="F12" i="55"/>
  <c r="I12" i="55" s="1"/>
  <c r="J12" i="55" s="1"/>
  <c r="C71" i="55"/>
  <c r="H14" i="55"/>
  <c r="E14" i="54"/>
  <c r="F13" i="54"/>
  <c r="I13" i="54" s="1"/>
  <c r="J13" i="54" s="1"/>
  <c r="C71" i="54"/>
  <c r="H15" i="54"/>
  <c r="K14" i="54"/>
  <c r="G14" i="54"/>
  <c r="H14" i="53"/>
  <c r="P14" i="53"/>
  <c r="G14" i="53"/>
  <c r="E14" i="53"/>
  <c r="F13" i="53"/>
  <c r="I13" i="53" s="1"/>
  <c r="J13" i="53" s="1"/>
  <c r="K15" i="53"/>
  <c r="C71" i="53"/>
  <c r="P13" i="52"/>
  <c r="H13" i="52"/>
  <c r="G14" i="52"/>
  <c r="C70" i="52"/>
  <c r="E13" i="52"/>
  <c r="F12" i="52"/>
  <c r="I12" i="52" s="1"/>
  <c r="J12" i="52" s="1"/>
  <c r="H14" i="50"/>
  <c r="C71" i="50"/>
  <c r="E14" i="50"/>
  <c r="F13" i="50"/>
  <c r="I13" i="50" s="1"/>
  <c r="J13" i="50" s="1"/>
  <c r="E13" i="49"/>
  <c r="F12" i="49"/>
  <c r="J12" i="49" s="1"/>
  <c r="K12" i="49" s="1"/>
  <c r="B17" i="49"/>
  <c r="C73" i="49"/>
  <c r="D16" i="49"/>
  <c r="K15" i="50" l="1"/>
  <c r="H16" i="58"/>
  <c r="H17" i="58" s="1"/>
  <c r="H17" i="49"/>
  <c r="H18" i="49" s="1"/>
  <c r="G15" i="60"/>
  <c r="K16" i="56"/>
  <c r="G15" i="59"/>
  <c r="G16" i="59" s="1"/>
  <c r="G16" i="56"/>
  <c r="H16" i="57"/>
  <c r="G15" i="55"/>
  <c r="K16" i="58"/>
  <c r="H15" i="59"/>
  <c r="H15" i="50"/>
  <c r="H15" i="55"/>
  <c r="K15" i="55"/>
  <c r="H15" i="60"/>
  <c r="H14" i="52"/>
  <c r="P15" i="54"/>
  <c r="K15" i="54"/>
  <c r="H24" i="62"/>
  <c r="G25" i="62"/>
  <c r="F72" i="62"/>
  <c r="K24" i="62"/>
  <c r="D23" i="62"/>
  <c r="F22" i="62"/>
  <c r="I22" i="62" s="1"/>
  <c r="J22" i="62" s="1"/>
  <c r="E24" i="62"/>
  <c r="F13" i="61"/>
  <c r="I13" i="61" s="1"/>
  <c r="J13" i="61" s="1"/>
  <c r="E14" i="61"/>
  <c r="K14" i="61"/>
  <c r="H15" i="61"/>
  <c r="C71" i="61"/>
  <c r="G14" i="61"/>
  <c r="C72" i="60"/>
  <c r="K15" i="60"/>
  <c r="F13" i="60"/>
  <c r="I13" i="60" s="1"/>
  <c r="J13" i="60" s="1"/>
  <c r="E14" i="60"/>
  <c r="C72" i="59"/>
  <c r="E15" i="59"/>
  <c r="F14" i="59"/>
  <c r="I14" i="59" s="1"/>
  <c r="J14" i="59" s="1"/>
  <c r="K15" i="59"/>
  <c r="C24" i="58"/>
  <c r="D24" i="58" s="1"/>
  <c r="F14" i="58"/>
  <c r="I14" i="58" s="1"/>
  <c r="J14" i="58" s="1"/>
  <c r="E15" i="58"/>
  <c r="G16" i="58"/>
  <c r="C73" i="58"/>
  <c r="K16" i="57"/>
  <c r="G16" i="57"/>
  <c r="E16" i="57"/>
  <c r="F15" i="57"/>
  <c r="I15" i="57" s="1"/>
  <c r="J15" i="57" s="1"/>
  <c r="C73" i="57"/>
  <c r="C73" i="56"/>
  <c r="H16" i="56"/>
  <c r="F14" i="56"/>
  <c r="I14" i="56" s="1"/>
  <c r="J14" i="56" s="1"/>
  <c r="E15" i="56"/>
  <c r="C72" i="55"/>
  <c r="F13" i="55"/>
  <c r="I13" i="55" s="1"/>
  <c r="J13" i="55" s="1"/>
  <c r="D14" i="55"/>
  <c r="E15" i="55"/>
  <c r="E15" i="54"/>
  <c r="F14" i="54"/>
  <c r="I14" i="54" s="1"/>
  <c r="J14" i="54" s="1"/>
  <c r="G15" i="54"/>
  <c r="C72" i="54"/>
  <c r="G15" i="53"/>
  <c r="P15" i="53"/>
  <c r="C72" i="53"/>
  <c r="K16" i="53"/>
  <c r="E15" i="53"/>
  <c r="F14" i="53"/>
  <c r="I14" i="53" s="1"/>
  <c r="J14" i="53" s="1"/>
  <c r="H15" i="53"/>
  <c r="E14" i="52"/>
  <c r="F13" i="52"/>
  <c r="I13" i="52" s="1"/>
  <c r="J13" i="52" s="1"/>
  <c r="K14" i="52"/>
  <c r="P14" i="52"/>
  <c r="G15" i="52"/>
  <c r="C71" i="52"/>
  <c r="G15" i="50"/>
  <c r="C72" i="50"/>
  <c r="P15" i="50"/>
  <c r="E15" i="50"/>
  <c r="F14" i="50"/>
  <c r="I14" i="50" s="1"/>
  <c r="J14" i="50" s="1"/>
  <c r="F13" i="49"/>
  <c r="J13" i="49" s="1"/>
  <c r="K13" i="49" s="1"/>
  <c r="E14" i="49"/>
  <c r="C74" i="49"/>
  <c r="D17" i="49"/>
  <c r="L17" i="49"/>
  <c r="G17" i="49"/>
  <c r="B18" i="49"/>
  <c r="K16" i="50" l="1"/>
  <c r="H17" i="57"/>
  <c r="G16" i="60"/>
  <c r="P16" i="54"/>
  <c r="G16" i="55"/>
  <c r="H16" i="59"/>
  <c r="G17" i="56"/>
  <c r="L18" i="49"/>
  <c r="G16" i="53"/>
  <c r="K16" i="54"/>
  <c r="K17" i="56"/>
  <c r="P16" i="53"/>
  <c r="G16" i="54"/>
  <c r="H16" i="54"/>
  <c r="H17" i="56"/>
  <c r="H18" i="56" s="1"/>
  <c r="K17" i="57"/>
  <c r="G15" i="61"/>
  <c r="G18" i="49"/>
  <c r="H16" i="60"/>
  <c r="H15" i="52"/>
  <c r="E25" i="62"/>
  <c r="F73" i="62"/>
  <c r="G26" i="62"/>
  <c r="D24" i="62"/>
  <c r="F23" i="62"/>
  <c r="I23" i="62" s="1"/>
  <c r="J23" i="62" s="1"/>
  <c r="H25" i="62"/>
  <c r="K25" i="62"/>
  <c r="K15" i="61"/>
  <c r="F14" i="61"/>
  <c r="I14" i="61" s="1"/>
  <c r="J14" i="61" s="1"/>
  <c r="E15" i="61"/>
  <c r="H16" i="61"/>
  <c r="C72" i="61"/>
  <c r="K16" i="60"/>
  <c r="F14" i="60"/>
  <c r="I14" i="60" s="1"/>
  <c r="J14" i="60" s="1"/>
  <c r="E15" i="60"/>
  <c r="C73" i="60"/>
  <c r="E16" i="59"/>
  <c r="F15" i="59"/>
  <c r="I15" i="59" s="1"/>
  <c r="J15" i="59" s="1"/>
  <c r="K16" i="59"/>
  <c r="C73" i="59"/>
  <c r="G17" i="58"/>
  <c r="C74" i="58"/>
  <c r="H18" i="58"/>
  <c r="F15" i="58"/>
  <c r="I15" i="58" s="1"/>
  <c r="J15" i="58" s="1"/>
  <c r="E16" i="58"/>
  <c r="K17" i="58"/>
  <c r="F16" i="57"/>
  <c r="I16" i="57" s="1"/>
  <c r="J16" i="57" s="1"/>
  <c r="E17" i="57"/>
  <c r="C74" i="57"/>
  <c r="G17" i="57"/>
  <c r="C74" i="56"/>
  <c r="F15" i="56"/>
  <c r="I15" i="56" s="1"/>
  <c r="J15" i="56" s="1"/>
  <c r="E16" i="56"/>
  <c r="H16" i="55"/>
  <c r="C73" i="55"/>
  <c r="E16" i="55"/>
  <c r="D15" i="55"/>
  <c r="F14" i="55"/>
  <c r="I14" i="55" s="1"/>
  <c r="J14" i="55" s="1"/>
  <c r="K16" i="55"/>
  <c r="C73" i="54"/>
  <c r="F15" i="54"/>
  <c r="I15" i="54" s="1"/>
  <c r="J15" i="54" s="1"/>
  <c r="E16" i="54"/>
  <c r="H16" i="53"/>
  <c r="K17" i="53"/>
  <c r="C73" i="53"/>
  <c r="E16" i="53"/>
  <c r="F15" i="53"/>
  <c r="I15" i="53" s="1"/>
  <c r="J15" i="53" s="1"/>
  <c r="C72" i="52"/>
  <c r="G16" i="52"/>
  <c r="E15" i="52"/>
  <c r="F14" i="52"/>
  <c r="I14" i="52" s="1"/>
  <c r="J14" i="52" s="1"/>
  <c r="P15" i="52"/>
  <c r="K15" i="52"/>
  <c r="F15" i="50"/>
  <c r="I15" i="50" s="1"/>
  <c r="J15" i="50" s="1"/>
  <c r="E16" i="50"/>
  <c r="H16" i="50"/>
  <c r="G16" i="50"/>
  <c r="P16" i="50"/>
  <c r="K17" i="50"/>
  <c r="C73" i="50"/>
  <c r="H19" i="49"/>
  <c r="F66" i="49"/>
  <c r="E15" i="49"/>
  <c r="F14" i="49"/>
  <c r="J14" i="49" s="1"/>
  <c r="K14" i="49" s="1"/>
  <c r="D18" i="49"/>
  <c r="B19" i="49"/>
  <c r="G17" i="60" l="1"/>
  <c r="H18" i="57"/>
  <c r="G17" i="55"/>
  <c r="P17" i="54"/>
  <c r="H17" i="59"/>
  <c r="K26" i="62"/>
  <c r="K16" i="52"/>
  <c r="P17" i="53"/>
  <c r="K17" i="55"/>
  <c r="K18" i="57"/>
  <c r="G17" i="59"/>
  <c r="G19" i="49"/>
  <c r="H17" i="50"/>
  <c r="K18" i="58"/>
  <c r="K17" i="59"/>
  <c r="K17" i="60"/>
  <c r="G18" i="56"/>
  <c r="H17" i="60"/>
  <c r="G17" i="53"/>
  <c r="H17" i="54"/>
  <c r="K18" i="56"/>
  <c r="K19" i="56" s="1"/>
  <c r="K16" i="61"/>
  <c r="H26" i="62"/>
  <c r="G27" i="62"/>
  <c r="F74" i="62"/>
  <c r="E26" i="62"/>
  <c r="F24" i="62"/>
  <c r="I24" i="62" s="1"/>
  <c r="J24" i="62" s="1"/>
  <c r="D25" i="62"/>
  <c r="H17" i="61"/>
  <c r="C73" i="61"/>
  <c r="G16" i="61"/>
  <c r="F15" i="61"/>
  <c r="I15" i="61" s="1"/>
  <c r="J15" i="61" s="1"/>
  <c r="E16" i="61"/>
  <c r="F15" i="60"/>
  <c r="I15" i="60" s="1"/>
  <c r="J15" i="60" s="1"/>
  <c r="E16" i="60"/>
  <c r="C74" i="60"/>
  <c r="G18" i="60"/>
  <c r="C74" i="59"/>
  <c r="E17" i="59"/>
  <c r="F16" i="59"/>
  <c r="I16" i="59" s="1"/>
  <c r="J16" i="59" s="1"/>
  <c r="F16" i="58"/>
  <c r="I16" i="58" s="1"/>
  <c r="J16" i="58" s="1"/>
  <c r="E17" i="58"/>
  <c r="G18" i="58"/>
  <c r="H19" i="58"/>
  <c r="F66" i="58"/>
  <c r="F66" i="57"/>
  <c r="F17" i="57"/>
  <c r="I17" i="57" s="1"/>
  <c r="J17" i="57" s="1"/>
  <c r="E18" i="57"/>
  <c r="G18" i="57"/>
  <c r="F66" i="56"/>
  <c r="F16" i="56"/>
  <c r="I16" i="56" s="1"/>
  <c r="J16" i="56" s="1"/>
  <c r="E17" i="56"/>
  <c r="C74" i="55"/>
  <c r="F15" i="55"/>
  <c r="I15" i="55" s="1"/>
  <c r="J15" i="55" s="1"/>
  <c r="D16" i="55"/>
  <c r="H17" i="55"/>
  <c r="E17" i="55"/>
  <c r="K17" i="54"/>
  <c r="C74" i="54"/>
  <c r="E17" i="54"/>
  <c r="F16" i="54"/>
  <c r="I16" i="54" s="1"/>
  <c r="J16" i="54" s="1"/>
  <c r="G17" i="54"/>
  <c r="H17" i="53"/>
  <c r="E17" i="53"/>
  <c r="F16" i="53"/>
  <c r="I16" i="53" s="1"/>
  <c r="J16" i="53" s="1"/>
  <c r="C74" i="53"/>
  <c r="K18" i="53"/>
  <c r="H16" i="52"/>
  <c r="G17" i="52"/>
  <c r="C73" i="52"/>
  <c r="E16" i="52"/>
  <c r="F15" i="52"/>
  <c r="I15" i="52" s="1"/>
  <c r="J15" i="52" s="1"/>
  <c r="P16" i="52"/>
  <c r="K18" i="50"/>
  <c r="C74" i="50"/>
  <c r="E17" i="50"/>
  <c r="F16" i="50"/>
  <c r="I16" i="50" s="1"/>
  <c r="J16" i="50" s="1"/>
  <c r="P17" i="50"/>
  <c r="G17" i="50"/>
  <c r="D19" i="49"/>
  <c r="F67" i="49"/>
  <c r="H20" i="49"/>
  <c r="L19" i="49"/>
  <c r="B20" i="49"/>
  <c r="E16" i="49"/>
  <c r="F15" i="49"/>
  <c r="J15" i="49" s="1"/>
  <c r="K15" i="49" s="1"/>
  <c r="G18" i="55" l="1"/>
  <c r="H19" i="57"/>
  <c r="P18" i="54"/>
  <c r="H18" i="59"/>
  <c r="G18" i="59"/>
  <c r="H19" i="56"/>
  <c r="H20" i="56" s="1"/>
  <c r="K17" i="61"/>
  <c r="G19" i="56"/>
  <c r="G19" i="57"/>
  <c r="L20" i="49"/>
  <c r="P18" i="53"/>
  <c r="H18" i="54"/>
  <c r="H18" i="60"/>
  <c r="G17" i="61"/>
  <c r="P17" i="52"/>
  <c r="G18" i="54"/>
  <c r="K19" i="57"/>
  <c r="F25" i="62"/>
  <c r="I25" i="62" s="1"/>
  <c r="J25" i="62" s="1"/>
  <c r="D26" i="62"/>
  <c r="H27" i="62"/>
  <c r="E27" i="62"/>
  <c r="K27" i="62"/>
  <c r="I66" i="62"/>
  <c r="F16" i="61"/>
  <c r="I16" i="61" s="1"/>
  <c r="J16" i="61" s="1"/>
  <c r="E17" i="61"/>
  <c r="H18" i="61"/>
  <c r="C74" i="61"/>
  <c r="K18" i="60"/>
  <c r="F16" i="60"/>
  <c r="I16" i="60" s="1"/>
  <c r="J16" i="60" s="1"/>
  <c r="E17" i="60"/>
  <c r="G19" i="60"/>
  <c r="F66" i="60"/>
  <c r="K18" i="59"/>
  <c r="F66" i="59"/>
  <c r="E18" i="59"/>
  <c r="F17" i="59"/>
  <c r="I17" i="59" s="1"/>
  <c r="J17" i="59" s="1"/>
  <c r="F17" i="58"/>
  <c r="I17" i="58" s="1"/>
  <c r="J17" i="58" s="1"/>
  <c r="E18" i="58"/>
  <c r="F67" i="58"/>
  <c r="H20" i="58"/>
  <c r="K19" i="58"/>
  <c r="G19" i="58"/>
  <c r="F67" i="57"/>
  <c r="F18" i="57"/>
  <c r="I18" i="57" s="1"/>
  <c r="J18" i="57" s="1"/>
  <c r="E19" i="57"/>
  <c r="F67" i="56"/>
  <c r="F17" i="56"/>
  <c r="I17" i="56" s="1"/>
  <c r="J17" i="56" s="1"/>
  <c r="E18" i="56"/>
  <c r="G19" i="55"/>
  <c r="F66" i="55"/>
  <c r="D17" i="55"/>
  <c r="F16" i="55"/>
  <c r="I16" i="55" s="1"/>
  <c r="J16" i="55" s="1"/>
  <c r="K18" i="55"/>
  <c r="E18" i="55"/>
  <c r="H18" i="55"/>
  <c r="E18" i="54"/>
  <c r="F17" i="54"/>
  <c r="I17" i="54" s="1"/>
  <c r="J17" i="54" s="1"/>
  <c r="F66" i="54"/>
  <c r="P19" i="54"/>
  <c r="K18" i="54"/>
  <c r="E18" i="53"/>
  <c r="F17" i="53"/>
  <c r="I17" i="53" s="1"/>
  <c r="J17" i="53" s="1"/>
  <c r="H18" i="53"/>
  <c r="K19" i="53"/>
  <c r="F66" i="53"/>
  <c r="G18" i="53"/>
  <c r="C74" i="52"/>
  <c r="G18" i="52"/>
  <c r="H17" i="52"/>
  <c r="E17" i="52"/>
  <c r="F16" i="52"/>
  <c r="I16" i="52" s="1"/>
  <c r="J16" i="52" s="1"/>
  <c r="K17" i="52"/>
  <c r="G18" i="50"/>
  <c r="H18" i="50"/>
  <c r="P18" i="50"/>
  <c r="K19" i="50"/>
  <c r="F66" i="50"/>
  <c r="E18" i="50"/>
  <c r="F17" i="50"/>
  <c r="I17" i="50" s="1"/>
  <c r="J17" i="50" s="1"/>
  <c r="B21" i="49"/>
  <c r="G20" i="49"/>
  <c r="D20" i="49"/>
  <c r="E17" i="49"/>
  <c r="F16" i="49"/>
  <c r="J16" i="49" s="1"/>
  <c r="K16" i="49" s="1"/>
  <c r="H21" i="49"/>
  <c r="F68" i="49"/>
  <c r="H20" i="57" l="1"/>
  <c r="H19" i="59"/>
  <c r="H20" i="59" s="1"/>
  <c r="K19" i="55"/>
  <c r="G20" i="57"/>
  <c r="G19" i="50"/>
  <c r="K20" i="58"/>
  <c r="K18" i="61"/>
  <c r="K20" i="57"/>
  <c r="P19" i="50"/>
  <c r="G19" i="54"/>
  <c r="H19" i="54"/>
  <c r="F26" i="62"/>
  <c r="I26" i="62" s="1"/>
  <c r="J26" i="62" s="1"/>
  <c r="D27" i="62"/>
  <c r="D28" i="62" s="1"/>
  <c r="G18" i="61"/>
  <c r="H28" i="62"/>
  <c r="I67" i="62"/>
  <c r="K28" i="62"/>
  <c r="E28" i="62"/>
  <c r="G28" i="62"/>
  <c r="F17" i="61"/>
  <c r="I17" i="61" s="1"/>
  <c r="J17" i="61" s="1"/>
  <c r="E18" i="61"/>
  <c r="H19" i="61"/>
  <c r="F66" i="61"/>
  <c r="H19" i="60"/>
  <c r="F17" i="60"/>
  <c r="I17" i="60" s="1"/>
  <c r="J17" i="60" s="1"/>
  <c r="E18" i="60"/>
  <c r="F67" i="60"/>
  <c r="G20" i="60"/>
  <c r="K19" i="60"/>
  <c r="E19" i="59"/>
  <c r="F18" i="59"/>
  <c r="I18" i="59" s="1"/>
  <c r="J18" i="59" s="1"/>
  <c r="G19" i="59"/>
  <c r="K19" i="59"/>
  <c r="F67" i="59"/>
  <c r="H21" i="58"/>
  <c r="F68" i="58"/>
  <c r="G20" i="58"/>
  <c r="F18" i="58"/>
  <c r="I18" i="58" s="1"/>
  <c r="J18" i="58" s="1"/>
  <c r="E19" i="58"/>
  <c r="E20" i="57"/>
  <c r="F19" i="57"/>
  <c r="I19" i="57" s="1"/>
  <c r="J19" i="57" s="1"/>
  <c r="F68" i="57"/>
  <c r="G20" i="56"/>
  <c r="K20" i="56"/>
  <c r="F68" i="56"/>
  <c r="H21" i="56"/>
  <c r="F18" i="56"/>
  <c r="I18" i="56" s="1"/>
  <c r="J18" i="56" s="1"/>
  <c r="E19" i="56"/>
  <c r="H19" i="55"/>
  <c r="F17" i="55"/>
  <c r="I17" i="55" s="1"/>
  <c r="J17" i="55" s="1"/>
  <c r="D18" i="55"/>
  <c r="E19" i="55"/>
  <c r="F67" i="55"/>
  <c r="G20" i="55"/>
  <c r="E19" i="54"/>
  <c r="F18" i="54"/>
  <c r="I18" i="54" s="1"/>
  <c r="J18" i="54" s="1"/>
  <c r="K19" i="54"/>
  <c r="P20" i="54"/>
  <c r="F67" i="54"/>
  <c r="F67" i="53"/>
  <c r="K20" i="53"/>
  <c r="E19" i="53"/>
  <c r="F18" i="53"/>
  <c r="I18" i="53" s="1"/>
  <c r="J18" i="53" s="1"/>
  <c r="G19" i="53"/>
  <c r="P19" i="53"/>
  <c r="H19" i="53"/>
  <c r="G19" i="52"/>
  <c r="F66" i="52"/>
  <c r="E18" i="52"/>
  <c r="F17" i="52"/>
  <c r="I17" i="52" s="1"/>
  <c r="J17" i="52" s="1"/>
  <c r="P18" i="52"/>
  <c r="K18" i="52"/>
  <c r="H18" i="52"/>
  <c r="E19" i="50"/>
  <c r="F18" i="50"/>
  <c r="I18" i="50" s="1"/>
  <c r="J18" i="50" s="1"/>
  <c r="H19" i="50"/>
  <c r="K20" i="50"/>
  <c r="F67" i="50"/>
  <c r="D21" i="49"/>
  <c r="E18" i="49"/>
  <c r="F17" i="49"/>
  <c r="J17" i="49" s="1"/>
  <c r="K17" i="49" s="1"/>
  <c r="L21" i="49"/>
  <c r="F69" i="49"/>
  <c r="H22" i="49"/>
  <c r="B22" i="49"/>
  <c r="G21" i="49"/>
  <c r="K21" i="57" l="1"/>
  <c r="F27" i="62"/>
  <c r="I27" i="62" s="1"/>
  <c r="J27" i="62" s="1"/>
  <c r="H19" i="52"/>
  <c r="K20" i="54"/>
  <c r="G20" i="54"/>
  <c r="K21" i="58"/>
  <c r="H20" i="55"/>
  <c r="K19" i="52"/>
  <c r="G21" i="58"/>
  <c r="K20" i="59"/>
  <c r="P19" i="52"/>
  <c r="H20" i="54"/>
  <c r="H21" i="54" s="1"/>
  <c r="E20" i="55"/>
  <c r="K20" i="55"/>
  <c r="G20" i="59"/>
  <c r="E29" i="62"/>
  <c r="H29" i="62"/>
  <c r="K29" i="62"/>
  <c r="G29" i="62"/>
  <c r="I68" i="62"/>
  <c r="D30" i="62"/>
  <c r="F28" i="62"/>
  <c r="I28" i="62" s="1"/>
  <c r="J28" i="62" s="1"/>
  <c r="K19" i="61"/>
  <c r="G19" i="61"/>
  <c r="F18" i="61"/>
  <c r="I18" i="61" s="1"/>
  <c r="J18" i="61" s="1"/>
  <c r="E19" i="61"/>
  <c r="H20" i="61"/>
  <c r="F67" i="61"/>
  <c r="F18" i="60"/>
  <c r="I18" i="60" s="1"/>
  <c r="J18" i="60" s="1"/>
  <c r="E19" i="60"/>
  <c r="K20" i="60"/>
  <c r="H20" i="60"/>
  <c r="G21" i="60"/>
  <c r="F68" i="60"/>
  <c r="H21" i="59"/>
  <c r="F68" i="59"/>
  <c r="E20" i="59"/>
  <c r="F19" i="59"/>
  <c r="I19" i="59" s="1"/>
  <c r="J19" i="59" s="1"/>
  <c r="F69" i="58"/>
  <c r="F19" i="58"/>
  <c r="I19" i="58" s="1"/>
  <c r="J19" i="58" s="1"/>
  <c r="E20" i="58"/>
  <c r="F20" i="57"/>
  <c r="I20" i="57" s="1"/>
  <c r="J20" i="57" s="1"/>
  <c r="E21" i="57"/>
  <c r="H21" i="57"/>
  <c r="K22" i="57"/>
  <c r="F69" i="57"/>
  <c r="G21" i="57"/>
  <c r="G21" i="56"/>
  <c r="F69" i="56"/>
  <c r="H22" i="56"/>
  <c r="F19" i="56"/>
  <c r="I19" i="56" s="1"/>
  <c r="J19" i="56" s="1"/>
  <c r="E20" i="56"/>
  <c r="K21" i="56"/>
  <c r="G21" i="55"/>
  <c r="F68" i="55"/>
  <c r="D19" i="55"/>
  <c r="F18" i="55"/>
  <c r="I18" i="55" s="1"/>
  <c r="J18" i="55" s="1"/>
  <c r="F68" i="54"/>
  <c r="E20" i="54"/>
  <c r="F19" i="54"/>
  <c r="I19" i="54" s="1"/>
  <c r="J19" i="54" s="1"/>
  <c r="G20" i="53"/>
  <c r="H20" i="53"/>
  <c r="E20" i="53"/>
  <c r="F19" i="53"/>
  <c r="I19" i="53" s="1"/>
  <c r="J19" i="53" s="1"/>
  <c r="P20" i="53"/>
  <c r="K21" i="53"/>
  <c r="F68" i="53"/>
  <c r="E19" i="52"/>
  <c r="F18" i="52"/>
  <c r="I18" i="52" s="1"/>
  <c r="J18" i="52" s="1"/>
  <c r="F67" i="52"/>
  <c r="G20" i="52"/>
  <c r="G20" i="50"/>
  <c r="K21" i="50"/>
  <c r="F68" i="50"/>
  <c r="E20" i="50"/>
  <c r="F19" i="50"/>
  <c r="I19" i="50" s="1"/>
  <c r="J19" i="50" s="1"/>
  <c r="P20" i="50"/>
  <c r="H20" i="50"/>
  <c r="E19" i="49"/>
  <c r="F18" i="49"/>
  <c r="J18" i="49" s="1"/>
  <c r="K18" i="49" s="1"/>
  <c r="G22" i="49"/>
  <c r="H23" i="49"/>
  <c r="F70" i="49"/>
  <c r="L22" i="49"/>
  <c r="D22" i="49"/>
  <c r="B23" i="49"/>
  <c r="G22" i="58" l="1"/>
  <c r="P20" i="52"/>
  <c r="G23" i="49"/>
  <c r="K20" i="52"/>
  <c r="G20" i="61"/>
  <c r="L23" i="49"/>
  <c r="K21" i="55"/>
  <c r="P21" i="50"/>
  <c r="H20" i="52"/>
  <c r="H30" i="62"/>
  <c r="D31" i="62"/>
  <c r="I69" i="62"/>
  <c r="E30" i="62"/>
  <c r="G30" i="62"/>
  <c r="F29" i="62"/>
  <c r="I29" i="62" s="1"/>
  <c r="J29" i="62" s="1"/>
  <c r="K30" i="62"/>
  <c r="F19" i="61"/>
  <c r="I19" i="61" s="1"/>
  <c r="J19" i="61" s="1"/>
  <c r="E20" i="61"/>
  <c r="F68" i="61"/>
  <c r="K20" i="61"/>
  <c r="F69" i="60"/>
  <c r="G22" i="60"/>
  <c r="F19" i="60"/>
  <c r="I19" i="60" s="1"/>
  <c r="J19" i="60" s="1"/>
  <c r="E20" i="60"/>
  <c r="H21" i="60"/>
  <c r="K21" i="60"/>
  <c r="K21" i="59"/>
  <c r="E21" i="59"/>
  <c r="F20" i="59"/>
  <c r="I20" i="59" s="1"/>
  <c r="J20" i="59" s="1"/>
  <c r="G21" i="59"/>
  <c r="F69" i="59"/>
  <c r="H22" i="59"/>
  <c r="K22" i="58"/>
  <c r="F70" i="58"/>
  <c r="H22" i="58"/>
  <c r="F20" i="58"/>
  <c r="I20" i="58" s="1"/>
  <c r="J20" i="58" s="1"/>
  <c r="E21" i="58"/>
  <c r="H22" i="57"/>
  <c r="F70" i="57"/>
  <c r="K23" i="57"/>
  <c r="G22" i="57"/>
  <c r="F21" i="57"/>
  <c r="I21" i="57" s="1"/>
  <c r="J21" i="57" s="1"/>
  <c r="E22" i="57"/>
  <c r="F20" i="56"/>
  <c r="I20" i="56" s="1"/>
  <c r="J20" i="56" s="1"/>
  <c r="E21" i="56"/>
  <c r="G22" i="56"/>
  <c r="K22" i="56"/>
  <c r="F70" i="56"/>
  <c r="H23" i="56"/>
  <c r="E21" i="55"/>
  <c r="F19" i="55"/>
  <c r="I19" i="55" s="1"/>
  <c r="J19" i="55" s="1"/>
  <c r="D20" i="55"/>
  <c r="F69" i="55"/>
  <c r="G22" i="55"/>
  <c r="H21" i="55"/>
  <c r="K21" i="54"/>
  <c r="F69" i="54"/>
  <c r="H22" i="54"/>
  <c r="P21" i="54"/>
  <c r="G21" i="54"/>
  <c r="E21" i="54"/>
  <c r="F20" i="54"/>
  <c r="I20" i="54" s="1"/>
  <c r="J20" i="54" s="1"/>
  <c r="F69" i="53"/>
  <c r="K22" i="53"/>
  <c r="F20" i="53"/>
  <c r="I20" i="53" s="1"/>
  <c r="J20" i="53" s="1"/>
  <c r="E21" i="53"/>
  <c r="H21" i="53"/>
  <c r="P21" i="53"/>
  <c r="G21" i="53"/>
  <c r="E20" i="52"/>
  <c r="F19" i="52"/>
  <c r="I19" i="52" s="1"/>
  <c r="J19" i="52" s="1"/>
  <c r="G21" i="52"/>
  <c r="F68" i="52"/>
  <c r="G21" i="50"/>
  <c r="E21" i="50"/>
  <c r="F20" i="50"/>
  <c r="I20" i="50" s="1"/>
  <c r="J20" i="50" s="1"/>
  <c r="H21" i="50"/>
  <c r="K22" i="50"/>
  <c r="F69" i="50"/>
  <c r="D23" i="49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H24" i="49"/>
  <c r="E20" i="49"/>
  <c r="F19" i="49"/>
  <c r="J19" i="49" s="1"/>
  <c r="K19" i="49" s="1"/>
  <c r="G23" i="58" l="1"/>
  <c r="G21" i="61"/>
  <c r="H21" i="61"/>
  <c r="G22" i="54"/>
  <c r="H23" i="58"/>
  <c r="K21" i="61"/>
  <c r="K22" i="55"/>
  <c r="H23" i="57"/>
  <c r="P22" i="54"/>
  <c r="L24" i="49"/>
  <c r="H21" i="52"/>
  <c r="G23" i="57"/>
  <c r="P22" i="50"/>
  <c r="K23" i="56"/>
  <c r="K22" i="54"/>
  <c r="G31" i="62"/>
  <c r="H31" i="62"/>
  <c r="E31" i="62"/>
  <c r="F30" i="62"/>
  <c r="I30" i="62" s="1"/>
  <c r="J30" i="62" s="1"/>
  <c r="K31" i="62"/>
  <c r="I70" i="62"/>
  <c r="D32" i="62"/>
  <c r="F20" i="61"/>
  <c r="I20" i="61" s="1"/>
  <c r="J20" i="61" s="1"/>
  <c r="E21" i="61"/>
  <c r="F69" i="61"/>
  <c r="K22" i="60"/>
  <c r="H22" i="60"/>
  <c r="G23" i="60"/>
  <c r="F70" i="60"/>
  <c r="F20" i="60"/>
  <c r="I20" i="60" s="1"/>
  <c r="J20" i="60" s="1"/>
  <c r="E21" i="60"/>
  <c r="E22" i="59"/>
  <c r="F21" i="59"/>
  <c r="I21" i="59" s="1"/>
  <c r="J21" i="59" s="1"/>
  <c r="H23" i="59"/>
  <c r="F70" i="59"/>
  <c r="K22" i="59"/>
  <c r="G22" i="59"/>
  <c r="F21" i="58"/>
  <c r="I21" i="58" s="1"/>
  <c r="J21" i="58" s="1"/>
  <c r="E22" i="58"/>
  <c r="F71" i="58"/>
  <c r="K23" i="58"/>
  <c r="F22" i="57"/>
  <c r="I22" i="57" s="1"/>
  <c r="J22" i="57" s="1"/>
  <c r="E23" i="57"/>
  <c r="F71" i="57"/>
  <c r="F71" i="56"/>
  <c r="G23" i="56"/>
  <c r="F21" i="56"/>
  <c r="I21" i="56" s="1"/>
  <c r="J21" i="56" s="1"/>
  <c r="E22" i="56"/>
  <c r="H22" i="55"/>
  <c r="D21" i="55"/>
  <c r="F20" i="55"/>
  <c r="I20" i="55" s="1"/>
  <c r="J20" i="55" s="1"/>
  <c r="E22" i="55"/>
  <c r="G23" i="55"/>
  <c r="F70" i="55"/>
  <c r="E22" i="54"/>
  <c r="F21" i="54"/>
  <c r="I21" i="54" s="1"/>
  <c r="J21" i="54" s="1"/>
  <c r="F70" i="54"/>
  <c r="H23" i="54"/>
  <c r="G22" i="53"/>
  <c r="P22" i="53"/>
  <c r="H22" i="53"/>
  <c r="K23" i="53"/>
  <c r="F70" i="53"/>
  <c r="E22" i="53"/>
  <c r="F21" i="53"/>
  <c r="I21" i="53" s="1"/>
  <c r="J21" i="53" s="1"/>
  <c r="F69" i="52"/>
  <c r="G22" i="52"/>
  <c r="E21" i="52"/>
  <c r="F20" i="52"/>
  <c r="I20" i="52" s="1"/>
  <c r="J20" i="52" s="1"/>
  <c r="P21" i="52"/>
  <c r="K21" i="52"/>
  <c r="K23" i="50"/>
  <c r="F70" i="50"/>
  <c r="E22" i="50"/>
  <c r="F21" i="50"/>
  <c r="I21" i="50" s="1"/>
  <c r="J21" i="50" s="1"/>
  <c r="G22" i="50"/>
  <c r="H22" i="50"/>
  <c r="H25" i="49"/>
  <c r="F72" i="49"/>
  <c r="D24" i="49"/>
  <c r="E21" i="49"/>
  <c r="F20" i="49"/>
  <c r="J20" i="49" s="1"/>
  <c r="K20" i="49" s="1"/>
  <c r="G24" i="49"/>
  <c r="H22" i="61" l="1"/>
  <c r="G24" i="57"/>
  <c r="K24" i="56"/>
  <c r="H24" i="58"/>
  <c r="K22" i="52"/>
  <c r="P22" i="52"/>
  <c r="G23" i="50"/>
  <c r="L25" i="49"/>
  <c r="H23" i="50"/>
  <c r="K23" i="54"/>
  <c r="H23" i="60"/>
  <c r="K32" i="62"/>
  <c r="G32" i="62"/>
  <c r="P23" i="53"/>
  <c r="G23" i="54"/>
  <c r="K23" i="60"/>
  <c r="G23" i="53"/>
  <c r="P23" i="54"/>
  <c r="H32" i="62"/>
  <c r="D33" i="62"/>
  <c r="I71" i="62"/>
  <c r="E32" i="62"/>
  <c r="F31" i="62"/>
  <c r="I31" i="62" s="1"/>
  <c r="J31" i="62" s="1"/>
  <c r="F70" i="61"/>
  <c r="G22" i="61"/>
  <c r="K22" i="61"/>
  <c r="F21" i="61"/>
  <c r="I21" i="61" s="1"/>
  <c r="J21" i="61" s="1"/>
  <c r="E22" i="61"/>
  <c r="F21" i="60"/>
  <c r="I21" i="60" s="1"/>
  <c r="J21" i="60" s="1"/>
  <c r="E22" i="60"/>
  <c r="F71" i="60"/>
  <c r="G24" i="60"/>
  <c r="F71" i="59"/>
  <c r="H24" i="59"/>
  <c r="G23" i="59"/>
  <c r="K23" i="59"/>
  <c r="E23" i="59"/>
  <c r="F22" i="59"/>
  <c r="I22" i="59" s="1"/>
  <c r="J22" i="59" s="1"/>
  <c r="K24" i="58"/>
  <c r="F22" i="58"/>
  <c r="I22" i="58" s="1"/>
  <c r="J22" i="58" s="1"/>
  <c r="E23" i="58"/>
  <c r="G24" i="58"/>
  <c r="F72" i="58"/>
  <c r="D25" i="58"/>
  <c r="F23" i="57"/>
  <c r="I23" i="57" s="1"/>
  <c r="J23" i="57" s="1"/>
  <c r="E24" i="57"/>
  <c r="H24" i="57"/>
  <c r="K24" i="57"/>
  <c r="F72" i="57"/>
  <c r="F72" i="56"/>
  <c r="H24" i="56"/>
  <c r="G24" i="56"/>
  <c r="F22" i="56"/>
  <c r="I22" i="56" s="1"/>
  <c r="J22" i="56" s="1"/>
  <c r="E23" i="56"/>
  <c r="F71" i="55"/>
  <c r="G24" i="55"/>
  <c r="H23" i="55"/>
  <c r="F21" i="55"/>
  <c r="I21" i="55" s="1"/>
  <c r="J21" i="55" s="1"/>
  <c r="D22" i="55"/>
  <c r="E23" i="55"/>
  <c r="K23" i="55"/>
  <c r="F71" i="54"/>
  <c r="E23" i="54"/>
  <c r="F22" i="54"/>
  <c r="I22" i="54" s="1"/>
  <c r="J22" i="54" s="1"/>
  <c r="E23" i="53"/>
  <c r="F22" i="53"/>
  <c r="I22" i="53" s="1"/>
  <c r="J22" i="53" s="1"/>
  <c r="H23" i="53"/>
  <c r="F71" i="53"/>
  <c r="K24" i="53"/>
  <c r="G23" i="52"/>
  <c r="F70" i="52"/>
  <c r="H22" i="52"/>
  <c r="E22" i="52"/>
  <c r="F21" i="52"/>
  <c r="I21" i="52" s="1"/>
  <c r="J21" i="52" s="1"/>
  <c r="P23" i="50"/>
  <c r="K24" i="50"/>
  <c r="F71" i="50"/>
  <c r="E23" i="50"/>
  <c r="F22" i="50"/>
  <c r="I22" i="50" s="1"/>
  <c r="J22" i="50" s="1"/>
  <c r="D25" i="49"/>
  <c r="E22" i="49"/>
  <c r="F21" i="49"/>
  <c r="J21" i="49" s="1"/>
  <c r="K21" i="49" s="1"/>
  <c r="F73" i="49"/>
  <c r="H26" i="49"/>
  <c r="G25" i="49"/>
  <c r="H23" i="61" l="1"/>
  <c r="G25" i="57"/>
  <c r="K25" i="56"/>
  <c r="K26" i="56" s="1"/>
  <c r="P24" i="54"/>
  <c r="P25" i="54" s="1"/>
  <c r="G25" i="56"/>
  <c r="K24" i="59"/>
  <c r="H24" i="60"/>
  <c r="G33" i="62"/>
  <c r="K23" i="61"/>
  <c r="K33" i="62"/>
  <c r="L26" i="49"/>
  <c r="G24" i="50"/>
  <c r="P24" i="53"/>
  <c r="K24" i="55"/>
  <c r="H24" i="55"/>
  <c r="K25" i="57"/>
  <c r="K26" i="57" s="1"/>
  <c r="E33" i="62"/>
  <c r="F33" i="62" s="1"/>
  <c r="H33" i="62"/>
  <c r="G25" i="58"/>
  <c r="H25" i="58"/>
  <c r="G24" i="59"/>
  <c r="G23" i="61"/>
  <c r="F32" i="62"/>
  <c r="I32" i="62" s="1"/>
  <c r="J32" i="62" s="1"/>
  <c r="I72" i="62"/>
  <c r="E34" i="62"/>
  <c r="F22" i="61"/>
  <c r="I22" i="61" s="1"/>
  <c r="J22" i="61" s="1"/>
  <c r="E23" i="61"/>
  <c r="F71" i="61"/>
  <c r="F22" i="60"/>
  <c r="I22" i="60" s="1"/>
  <c r="J22" i="60" s="1"/>
  <c r="E23" i="60"/>
  <c r="G25" i="60"/>
  <c r="F72" i="60"/>
  <c r="K24" i="60"/>
  <c r="E24" i="59"/>
  <c r="F23" i="59"/>
  <c r="I23" i="59" s="1"/>
  <c r="J23" i="59" s="1"/>
  <c r="H25" i="59"/>
  <c r="F72" i="59"/>
  <c r="E24" i="58"/>
  <c r="F23" i="58"/>
  <c r="I23" i="58" s="1"/>
  <c r="J23" i="58" s="1"/>
  <c r="F73" i="58"/>
  <c r="K25" i="58"/>
  <c r="F73" i="57"/>
  <c r="H25" i="57"/>
  <c r="F24" i="57"/>
  <c r="I24" i="57" s="1"/>
  <c r="J24" i="57" s="1"/>
  <c r="E25" i="57"/>
  <c r="H25" i="56"/>
  <c r="F73" i="56"/>
  <c r="F23" i="56"/>
  <c r="I23" i="56" s="1"/>
  <c r="J23" i="56" s="1"/>
  <c r="E24" i="56"/>
  <c r="D23" i="55"/>
  <c r="F22" i="55"/>
  <c r="I22" i="55" s="1"/>
  <c r="J22" i="55" s="1"/>
  <c r="G25" i="55"/>
  <c r="F72" i="55"/>
  <c r="E24" i="55"/>
  <c r="F72" i="54"/>
  <c r="E24" i="54"/>
  <c r="F23" i="54"/>
  <c r="I23" i="54" s="1"/>
  <c r="J23" i="54" s="1"/>
  <c r="K24" i="54"/>
  <c r="H24" i="54"/>
  <c r="G24" i="54"/>
  <c r="K25" i="53"/>
  <c r="F72" i="53"/>
  <c r="F23" i="53"/>
  <c r="I23" i="53" s="1"/>
  <c r="J23" i="53" s="1"/>
  <c r="E24" i="53"/>
  <c r="G24" i="53"/>
  <c r="H24" i="53"/>
  <c r="E23" i="52"/>
  <c r="F22" i="52"/>
  <c r="I22" i="52" s="1"/>
  <c r="J22" i="52" s="1"/>
  <c r="P23" i="52"/>
  <c r="H23" i="52"/>
  <c r="K23" i="52"/>
  <c r="G24" i="52"/>
  <c r="F71" i="52"/>
  <c r="F72" i="50"/>
  <c r="H24" i="50"/>
  <c r="E24" i="50"/>
  <c r="F23" i="50"/>
  <c r="I23" i="50" s="1"/>
  <c r="J23" i="50" s="1"/>
  <c r="P24" i="50"/>
  <c r="D26" i="49"/>
  <c r="H27" i="49"/>
  <c r="F74" i="49"/>
  <c r="E23" i="49"/>
  <c r="F22" i="49"/>
  <c r="J22" i="49" s="1"/>
  <c r="K22" i="49" s="1"/>
  <c r="G26" i="49"/>
  <c r="H25" i="54" l="1"/>
  <c r="H26" i="58"/>
  <c r="I33" i="62"/>
  <c r="J33" i="62" s="1"/>
  <c r="E25" i="55"/>
  <c r="G24" i="61"/>
  <c r="G27" i="49"/>
  <c r="H25" i="55"/>
  <c r="G26" i="57"/>
  <c r="K26" i="58"/>
  <c r="H25" i="60"/>
  <c r="H25" i="53"/>
  <c r="G25" i="53"/>
  <c r="P25" i="53"/>
  <c r="K25" i="60"/>
  <c r="E35" i="62"/>
  <c r="I73" i="62"/>
  <c r="D34" i="62"/>
  <c r="K34" i="62"/>
  <c r="G34" i="62"/>
  <c r="H34" i="62"/>
  <c r="H24" i="61"/>
  <c r="K24" i="61"/>
  <c r="F23" i="61"/>
  <c r="I23" i="61" s="1"/>
  <c r="J23" i="61" s="1"/>
  <c r="E24" i="61"/>
  <c r="G25" i="61"/>
  <c r="F72" i="61"/>
  <c r="F23" i="60"/>
  <c r="I23" i="60" s="1"/>
  <c r="J23" i="60" s="1"/>
  <c r="E24" i="60"/>
  <c r="F73" i="60"/>
  <c r="E25" i="59"/>
  <c r="F25" i="59" s="1"/>
  <c r="F24" i="59"/>
  <c r="I24" i="59" s="1"/>
  <c r="J24" i="59" s="1"/>
  <c r="G25" i="59"/>
  <c r="F73" i="59"/>
  <c r="D26" i="59"/>
  <c r="K25" i="59"/>
  <c r="E25" i="58"/>
  <c r="F24" i="58"/>
  <c r="I24" i="58" s="1"/>
  <c r="J24" i="58" s="1"/>
  <c r="G26" i="58"/>
  <c r="F74" i="58"/>
  <c r="D26" i="58"/>
  <c r="H26" i="57"/>
  <c r="F74" i="57"/>
  <c r="F25" i="57"/>
  <c r="I25" i="57" s="1"/>
  <c r="J25" i="57" s="1"/>
  <c r="E26" i="57"/>
  <c r="G26" i="56"/>
  <c r="F74" i="56"/>
  <c r="K27" i="56"/>
  <c r="E25" i="56"/>
  <c r="F24" i="56"/>
  <c r="I24" i="56" s="1"/>
  <c r="J24" i="56" s="1"/>
  <c r="H26" i="56"/>
  <c r="F23" i="55"/>
  <c r="I23" i="55" s="1"/>
  <c r="J23" i="55" s="1"/>
  <c r="D24" i="55"/>
  <c r="F73" i="55"/>
  <c r="G26" i="55"/>
  <c r="K25" i="55"/>
  <c r="K25" i="54"/>
  <c r="F73" i="54"/>
  <c r="P26" i="54"/>
  <c r="G25" i="54"/>
  <c r="E25" i="54"/>
  <c r="F24" i="54"/>
  <c r="I24" i="54" s="1"/>
  <c r="J24" i="54" s="1"/>
  <c r="F73" i="53"/>
  <c r="K26" i="53"/>
  <c r="F24" i="53"/>
  <c r="I24" i="53" s="1"/>
  <c r="J24" i="53" s="1"/>
  <c r="E25" i="53"/>
  <c r="G25" i="52"/>
  <c r="F72" i="52"/>
  <c r="P24" i="52"/>
  <c r="K24" i="52"/>
  <c r="E24" i="52"/>
  <c r="F23" i="52"/>
  <c r="I23" i="52" s="1"/>
  <c r="J23" i="52" s="1"/>
  <c r="H24" i="52"/>
  <c r="G25" i="50"/>
  <c r="H25" i="50"/>
  <c r="P25" i="50"/>
  <c r="F73" i="50"/>
  <c r="E25" i="50"/>
  <c r="F24" i="50"/>
  <c r="I24" i="50" s="1"/>
  <c r="J24" i="50" s="1"/>
  <c r="K25" i="50"/>
  <c r="D27" i="49"/>
  <c r="E24" i="49"/>
  <c r="F23" i="49"/>
  <c r="J23" i="49" s="1"/>
  <c r="K23" i="49" s="1"/>
  <c r="J66" i="49"/>
  <c r="H28" i="49"/>
  <c r="L27" i="49"/>
  <c r="I25" i="59" l="1"/>
  <c r="J25" i="59" s="1"/>
  <c r="G27" i="57"/>
  <c r="H26" i="53"/>
  <c r="H27" i="58"/>
  <c r="G35" i="62"/>
  <c r="G26" i="53"/>
  <c r="K26" i="50"/>
  <c r="H26" i="50"/>
  <c r="K26" i="54"/>
  <c r="H25" i="52"/>
  <c r="P25" i="52"/>
  <c r="P26" i="53"/>
  <c r="G26" i="54"/>
  <c r="H26" i="54"/>
  <c r="H35" i="62"/>
  <c r="F34" i="62"/>
  <c r="I34" i="62" s="1"/>
  <c r="J34" i="62" s="1"/>
  <c r="D35" i="62"/>
  <c r="I74" i="62"/>
  <c r="E36" i="62"/>
  <c r="K35" i="62"/>
  <c r="H25" i="61"/>
  <c r="G26" i="61"/>
  <c r="F73" i="61"/>
  <c r="K25" i="61"/>
  <c r="F24" i="61"/>
  <c r="I24" i="61" s="1"/>
  <c r="J24" i="61" s="1"/>
  <c r="E25" i="61"/>
  <c r="K26" i="60"/>
  <c r="H26" i="60"/>
  <c r="E25" i="60"/>
  <c r="F24" i="60"/>
  <c r="I24" i="60" s="1"/>
  <c r="J24" i="60" s="1"/>
  <c r="D27" i="60"/>
  <c r="F74" i="60"/>
  <c r="G26" i="60"/>
  <c r="H26" i="59"/>
  <c r="D27" i="59"/>
  <c r="F74" i="59"/>
  <c r="K26" i="59"/>
  <c r="G26" i="59"/>
  <c r="E26" i="59"/>
  <c r="E26" i="58"/>
  <c r="E27" i="58" s="1"/>
  <c r="F25" i="58"/>
  <c r="I25" i="58" s="1"/>
  <c r="J25" i="58" s="1"/>
  <c r="D27" i="58"/>
  <c r="I66" i="58"/>
  <c r="H28" i="58"/>
  <c r="K27" i="58"/>
  <c r="G27" i="58"/>
  <c r="K27" i="57"/>
  <c r="D28" i="57"/>
  <c r="I66" i="57"/>
  <c r="E27" i="57"/>
  <c r="F26" i="57"/>
  <c r="I26" i="57" s="1"/>
  <c r="J26" i="57" s="1"/>
  <c r="H27" i="57"/>
  <c r="E26" i="56"/>
  <c r="E27" i="56" s="1"/>
  <c r="F25" i="56"/>
  <c r="I25" i="56" s="1"/>
  <c r="J25" i="56" s="1"/>
  <c r="G27" i="56"/>
  <c r="H27" i="56"/>
  <c r="I66" i="56"/>
  <c r="K28" i="56"/>
  <c r="D27" i="56"/>
  <c r="K26" i="55"/>
  <c r="H26" i="55"/>
  <c r="G27" i="55"/>
  <c r="F74" i="55"/>
  <c r="E26" i="55"/>
  <c r="D25" i="55"/>
  <c r="F24" i="55"/>
  <c r="I24" i="55" s="1"/>
  <c r="J24" i="55" s="1"/>
  <c r="F25" i="54"/>
  <c r="I25" i="54" s="1"/>
  <c r="J25" i="54" s="1"/>
  <c r="E26" i="54"/>
  <c r="F74" i="54"/>
  <c r="E26" i="53"/>
  <c r="F25" i="53"/>
  <c r="I25" i="53" s="1"/>
  <c r="J25" i="53" s="1"/>
  <c r="K27" i="53"/>
  <c r="F74" i="53"/>
  <c r="G26" i="52"/>
  <c r="F73" i="52"/>
  <c r="E25" i="52"/>
  <c r="F24" i="52"/>
  <c r="I24" i="52" s="1"/>
  <c r="J24" i="52" s="1"/>
  <c r="K25" i="52"/>
  <c r="F74" i="50"/>
  <c r="E26" i="50"/>
  <c r="F25" i="50"/>
  <c r="I25" i="50" s="1"/>
  <c r="J25" i="50" s="1"/>
  <c r="P26" i="50"/>
  <c r="G26" i="50"/>
  <c r="L28" i="49"/>
  <c r="E25" i="49"/>
  <c r="F24" i="49"/>
  <c r="J24" i="49" s="1"/>
  <c r="K24" i="49" s="1"/>
  <c r="D28" i="49"/>
  <c r="H29" i="49"/>
  <c r="J67" i="49"/>
  <c r="G28" i="49"/>
  <c r="E27" i="59" l="1"/>
  <c r="F27" i="59" s="1"/>
  <c r="K27" i="54"/>
  <c r="H28" i="57"/>
  <c r="K27" i="50"/>
  <c r="H36" i="62"/>
  <c r="P27" i="50"/>
  <c r="G27" i="54"/>
  <c r="H27" i="53"/>
  <c r="H27" i="50"/>
  <c r="E27" i="50"/>
  <c r="F27" i="50" s="1"/>
  <c r="H27" i="54"/>
  <c r="P27" i="54"/>
  <c r="G27" i="50"/>
  <c r="E28" i="57"/>
  <c r="F28" i="57" s="1"/>
  <c r="K28" i="57"/>
  <c r="K36" i="62"/>
  <c r="E28" i="56"/>
  <c r="G28" i="57"/>
  <c r="G36" i="62"/>
  <c r="D36" i="62"/>
  <c r="F36" i="62" s="1"/>
  <c r="F35" i="62"/>
  <c r="I35" i="62" s="1"/>
  <c r="J35" i="62" s="1"/>
  <c r="F27" i="57"/>
  <c r="I27" i="57" s="1"/>
  <c r="J27" i="57" s="1"/>
  <c r="H26" i="61"/>
  <c r="F74" i="61"/>
  <c r="F25" i="61"/>
  <c r="I25" i="61" s="1"/>
  <c r="J25" i="61" s="1"/>
  <c r="E26" i="61"/>
  <c r="K26" i="61"/>
  <c r="I66" i="60"/>
  <c r="D28" i="60"/>
  <c r="H27" i="60"/>
  <c r="K27" i="60"/>
  <c r="G27" i="60"/>
  <c r="E26" i="60"/>
  <c r="F25" i="60"/>
  <c r="I25" i="60" s="1"/>
  <c r="J25" i="60" s="1"/>
  <c r="G27" i="59"/>
  <c r="K27" i="59"/>
  <c r="F26" i="59"/>
  <c r="I26" i="59" s="1"/>
  <c r="J26" i="59" s="1"/>
  <c r="H27" i="59"/>
  <c r="I66" i="59"/>
  <c r="D28" i="59"/>
  <c r="F26" i="58"/>
  <c r="I26" i="58" s="1"/>
  <c r="J26" i="58" s="1"/>
  <c r="K28" i="58"/>
  <c r="H29" i="58"/>
  <c r="I67" i="58"/>
  <c r="E28" i="58"/>
  <c r="G28" i="58"/>
  <c r="F27" i="58"/>
  <c r="I27" i="58" s="1"/>
  <c r="J27" i="58" s="1"/>
  <c r="D28" i="58"/>
  <c r="I67" i="57"/>
  <c r="D28" i="56"/>
  <c r="F27" i="56"/>
  <c r="I27" i="56" s="1"/>
  <c r="J27" i="56" s="1"/>
  <c r="H28" i="56"/>
  <c r="F26" i="56"/>
  <c r="I26" i="56" s="1"/>
  <c r="J26" i="56" s="1"/>
  <c r="G28" i="56"/>
  <c r="I67" i="56"/>
  <c r="F25" i="55"/>
  <c r="I25" i="55" s="1"/>
  <c r="J25" i="55" s="1"/>
  <c r="D26" i="55"/>
  <c r="H27" i="55"/>
  <c r="E27" i="55"/>
  <c r="K27" i="55"/>
  <c r="I66" i="55"/>
  <c r="I66" i="54"/>
  <c r="E27" i="54"/>
  <c r="F26" i="54"/>
  <c r="I26" i="54" s="1"/>
  <c r="J26" i="54" s="1"/>
  <c r="I66" i="53"/>
  <c r="K28" i="53"/>
  <c r="G27" i="53"/>
  <c r="P27" i="53"/>
  <c r="F26" i="53"/>
  <c r="I26" i="53" s="1"/>
  <c r="J26" i="53" s="1"/>
  <c r="E27" i="53"/>
  <c r="K26" i="52"/>
  <c r="H26" i="52"/>
  <c r="E26" i="52"/>
  <c r="F25" i="52"/>
  <c r="I25" i="52" s="1"/>
  <c r="J25" i="52" s="1"/>
  <c r="P26" i="52"/>
  <c r="G27" i="52"/>
  <c r="F74" i="52"/>
  <c r="F26" i="50"/>
  <c r="I26" i="50" s="1"/>
  <c r="J26" i="50" s="1"/>
  <c r="I66" i="50"/>
  <c r="J68" i="49"/>
  <c r="H30" i="49"/>
  <c r="L29" i="49"/>
  <c r="E26" i="49"/>
  <c r="F25" i="49"/>
  <c r="J25" i="49" s="1"/>
  <c r="K25" i="49" s="1"/>
  <c r="G29" i="49"/>
  <c r="D29" i="49"/>
  <c r="P28" i="54" l="1"/>
  <c r="I27" i="50"/>
  <c r="J27" i="50" s="1"/>
  <c r="I36" i="62"/>
  <c r="J36" i="62" s="1"/>
  <c r="E29" i="56"/>
  <c r="E29" i="57"/>
  <c r="I28" i="57"/>
  <c r="J28" i="57" s="1"/>
  <c r="L30" i="49"/>
  <c r="K28" i="50"/>
  <c r="G29" i="57"/>
  <c r="H28" i="53"/>
  <c r="F26" i="55"/>
  <c r="I26" i="55" s="1"/>
  <c r="J26" i="55" s="1"/>
  <c r="D27" i="55"/>
  <c r="D28" i="55" s="1"/>
  <c r="H29" i="57"/>
  <c r="G28" i="54"/>
  <c r="G29" i="54" s="1"/>
  <c r="K29" i="57"/>
  <c r="D29" i="57"/>
  <c r="H28" i="54"/>
  <c r="H28" i="59"/>
  <c r="E28" i="59"/>
  <c r="F28" i="59" s="1"/>
  <c r="H27" i="61"/>
  <c r="D28" i="61"/>
  <c r="I66" i="61"/>
  <c r="K27" i="61"/>
  <c r="E27" i="61"/>
  <c r="F26" i="61"/>
  <c r="I26" i="61" s="1"/>
  <c r="J26" i="61" s="1"/>
  <c r="G27" i="61"/>
  <c r="D29" i="60"/>
  <c r="I67" i="60"/>
  <c r="K28" i="60"/>
  <c r="E27" i="60"/>
  <c r="F26" i="60"/>
  <c r="I26" i="60" s="1"/>
  <c r="J26" i="60" s="1"/>
  <c r="G28" i="60"/>
  <c r="H28" i="60"/>
  <c r="D29" i="59"/>
  <c r="I67" i="59"/>
  <c r="G28" i="59"/>
  <c r="I27" i="59"/>
  <c r="J27" i="59" s="1"/>
  <c r="K28" i="59"/>
  <c r="D29" i="58"/>
  <c r="F28" i="58"/>
  <c r="I28" i="58" s="1"/>
  <c r="J28" i="58" s="1"/>
  <c r="K29" i="58"/>
  <c r="I68" i="58"/>
  <c r="H30" i="58"/>
  <c r="G29" i="58"/>
  <c r="E29" i="58"/>
  <c r="I68" i="57"/>
  <c r="K29" i="56"/>
  <c r="I68" i="56"/>
  <c r="H29" i="56"/>
  <c r="G29" i="56"/>
  <c r="F28" i="56"/>
  <c r="I28" i="56" s="1"/>
  <c r="J28" i="56" s="1"/>
  <c r="D29" i="56"/>
  <c r="H28" i="55"/>
  <c r="I67" i="55"/>
  <c r="K28" i="55"/>
  <c r="E28" i="55"/>
  <c r="G28" i="55"/>
  <c r="I67" i="54"/>
  <c r="K28" i="54"/>
  <c r="E28" i="54"/>
  <c r="F27" i="54"/>
  <c r="I27" i="54" s="1"/>
  <c r="J27" i="54" s="1"/>
  <c r="F27" i="53"/>
  <c r="I27" i="53" s="1"/>
  <c r="J27" i="53" s="1"/>
  <c r="E28" i="53"/>
  <c r="P28" i="53"/>
  <c r="K29" i="53"/>
  <c r="I67" i="53"/>
  <c r="G28" i="53"/>
  <c r="H27" i="52"/>
  <c r="I66" i="52"/>
  <c r="F26" i="52"/>
  <c r="I26" i="52" s="1"/>
  <c r="J26" i="52" s="1"/>
  <c r="E27" i="52"/>
  <c r="P27" i="52"/>
  <c r="K27" i="52"/>
  <c r="I67" i="50"/>
  <c r="E28" i="50"/>
  <c r="P28" i="50"/>
  <c r="G28" i="50"/>
  <c r="H28" i="50"/>
  <c r="H31" i="49"/>
  <c r="J69" i="49"/>
  <c r="G30" i="49"/>
  <c r="D30" i="49"/>
  <c r="E27" i="49"/>
  <c r="F26" i="49"/>
  <c r="J26" i="49" s="1"/>
  <c r="K26" i="49" s="1"/>
  <c r="K29" i="59" l="1"/>
  <c r="E30" i="56"/>
  <c r="F29" i="57"/>
  <c r="I29" i="57" s="1"/>
  <c r="J29" i="57" s="1"/>
  <c r="K29" i="50"/>
  <c r="D30" i="57"/>
  <c r="H29" i="54"/>
  <c r="F27" i="55"/>
  <c r="I27" i="55" s="1"/>
  <c r="J27" i="55" s="1"/>
  <c r="E28" i="61"/>
  <c r="F28" i="61" s="1"/>
  <c r="P29" i="54"/>
  <c r="G29" i="60"/>
  <c r="G30" i="56"/>
  <c r="K30" i="56"/>
  <c r="G30" i="58"/>
  <c r="H28" i="61"/>
  <c r="G29" i="53"/>
  <c r="K28" i="61"/>
  <c r="L31" i="49"/>
  <c r="G29" i="50"/>
  <c r="H29" i="53"/>
  <c r="K29" i="54"/>
  <c r="H30" i="56"/>
  <c r="E30" i="58"/>
  <c r="K30" i="58"/>
  <c r="I28" i="59"/>
  <c r="J28" i="59" s="1"/>
  <c r="G28" i="61"/>
  <c r="I67" i="61"/>
  <c r="F27" i="61"/>
  <c r="I27" i="61" s="1"/>
  <c r="J27" i="61" s="1"/>
  <c r="I68" i="60"/>
  <c r="D30" i="60"/>
  <c r="E28" i="60"/>
  <c r="F27" i="60"/>
  <c r="I27" i="60" s="1"/>
  <c r="J27" i="60" s="1"/>
  <c r="H29" i="60"/>
  <c r="K29" i="60"/>
  <c r="I68" i="59"/>
  <c r="E29" i="59"/>
  <c r="H29" i="59"/>
  <c r="G29" i="59"/>
  <c r="D30" i="58"/>
  <c r="F29" i="58"/>
  <c r="I29" i="58" s="1"/>
  <c r="J29" i="58" s="1"/>
  <c r="H31" i="58"/>
  <c r="I69" i="58"/>
  <c r="G30" i="57"/>
  <c r="E30" i="57"/>
  <c r="H30" i="57"/>
  <c r="K30" i="57"/>
  <c r="I69" i="57"/>
  <c r="D30" i="56"/>
  <c r="F29" i="56"/>
  <c r="I29" i="56" s="1"/>
  <c r="J29" i="56" s="1"/>
  <c r="I69" i="56"/>
  <c r="H29" i="55"/>
  <c r="K29" i="55"/>
  <c r="E29" i="55"/>
  <c r="F29" i="55" s="1"/>
  <c r="G29" i="55"/>
  <c r="I68" i="55"/>
  <c r="D30" i="55"/>
  <c r="F28" i="55"/>
  <c r="I28" i="55" s="1"/>
  <c r="J28" i="55" s="1"/>
  <c r="E29" i="54"/>
  <c r="F28" i="54"/>
  <c r="I28" i="54" s="1"/>
  <c r="J28" i="54" s="1"/>
  <c r="D30" i="54"/>
  <c r="I68" i="54"/>
  <c r="I68" i="53"/>
  <c r="D30" i="53"/>
  <c r="F28" i="53"/>
  <c r="I28" i="53" s="1"/>
  <c r="J28" i="53" s="1"/>
  <c r="E29" i="53"/>
  <c r="P29" i="53"/>
  <c r="H28" i="52"/>
  <c r="K28" i="52"/>
  <c r="I67" i="52"/>
  <c r="P28" i="52"/>
  <c r="E28" i="52"/>
  <c r="F27" i="52"/>
  <c r="I27" i="52" s="1"/>
  <c r="J27" i="52" s="1"/>
  <c r="G28" i="52"/>
  <c r="H29" i="50"/>
  <c r="E29" i="50"/>
  <c r="F28" i="50"/>
  <c r="I28" i="50" s="1"/>
  <c r="J28" i="50" s="1"/>
  <c r="I68" i="50"/>
  <c r="P29" i="50"/>
  <c r="J70" i="49"/>
  <c r="H32" i="49"/>
  <c r="E28" i="49"/>
  <c r="F27" i="49"/>
  <c r="J27" i="49" s="1"/>
  <c r="K27" i="49" s="1"/>
  <c r="D31" i="49"/>
  <c r="G31" i="49"/>
  <c r="K30" i="59" l="1"/>
  <c r="K30" i="50"/>
  <c r="D31" i="57"/>
  <c r="F30" i="57"/>
  <c r="I30" i="57" s="1"/>
  <c r="J30" i="57" s="1"/>
  <c r="K30" i="60"/>
  <c r="E29" i="61"/>
  <c r="H30" i="54"/>
  <c r="K31" i="56"/>
  <c r="P29" i="52"/>
  <c r="H29" i="52"/>
  <c r="G29" i="52"/>
  <c r="P30" i="53"/>
  <c r="E29" i="52"/>
  <c r="F29" i="52" s="1"/>
  <c r="K29" i="52"/>
  <c r="K31" i="57"/>
  <c r="G30" i="53"/>
  <c r="K30" i="54"/>
  <c r="P30" i="54"/>
  <c r="H31" i="56"/>
  <c r="E31" i="56"/>
  <c r="H30" i="53"/>
  <c r="G30" i="54"/>
  <c r="H30" i="55"/>
  <c r="G31" i="56"/>
  <c r="H31" i="57"/>
  <c r="G30" i="60"/>
  <c r="K29" i="61"/>
  <c r="G29" i="61"/>
  <c r="I68" i="61"/>
  <c r="E30" i="61"/>
  <c r="I28" i="61"/>
  <c r="J28" i="61" s="1"/>
  <c r="H29" i="61"/>
  <c r="D29" i="61"/>
  <c r="E29" i="60"/>
  <c r="F28" i="60"/>
  <c r="I28" i="60" s="1"/>
  <c r="J28" i="60" s="1"/>
  <c r="H30" i="60"/>
  <c r="I69" i="60"/>
  <c r="D30" i="59"/>
  <c r="G30" i="59"/>
  <c r="H30" i="59"/>
  <c r="I69" i="59"/>
  <c r="E30" i="59"/>
  <c r="F29" i="59"/>
  <c r="I29" i="59" s="1"/>
  <c r="J29" i="59" s="1"/>
  <c r="I70" i="58"/>
  <c r="H32" i="58"/>
  <c r="F30" i="58"/>
  <c r="I30" i="58" s="1"/>
  <c r="J30" i="58" s="1"/>
  <c r="D31" i="58"/>
  <c r="G31" i="58"/>
  <c r="K31" i="58"/>
  <c r="E31" i="58"/>
  <c r="E31" i="57"/>
  <c r="I70" i="57"/>
  <c r="G31" i="57"/>
  <c r="I70" i="56"/>
  <c r="F30" i="56"/>
  <c r="I30" i="56" s="1"/>
  <c r="J30" i="56" s="1"/>
  <c r="D31" i="56"/>
  <c r="D31" i="55"/>
  <c r="I69" i="55"/>
  <c r="K30" i="55"/>
  <c r="G30" i="55"/>
  <c r="I29" i="55"/>
  <c r="J29" i="55" s="1"/>
  <c r="E30" i="55"/>
  <c r="E30" i="54"/>
  <c r="F29" i="54"/>
  <c r="I29" i="54" s="1"/>
  <c r="J29" i="54" s="1"/>
  <c r="I69" i="54"/>
  <c r="I69" i="53"/>
  <c r="F29" i="53"/>
  <c r="I29" i="53" s="1"/>
  <c r="J29" i="53" s="1"/>
  <c r="E30" i="53"/>
  <c r="F30" i="53" s="1"/>
  <c r="K30" i="53"/>
  <c r="D30" i="52"/>
  <c r="I68" i="52"/>
  <c r="F28" i="52"/>
  <c r="I28" i="52" s="1"/>
  <c r="J28" i="52" s="1"/>
  <c r="G30" i="50"/>
  <c r="F29" i="50"/>
  <c r="I29" i="50" s="1"/>
  <c r="J29" i="50" s="1"/>
  <c r="I69" i="50"/>
  <c r="E30" i="50"/>
  <c r="H30" i="50"/>
  <c r="P30" i="50"/>
  <c r="D32" i="49"/>
  <c r="H33" i="49"/>
  <c r="J71" i="49"/>
  <c r="L32" i="49"/>
  <c r="G32" i="49"/>
  <c r="E29" i="49"/>
  <c r="F28" i="49"/>
  <c r="J28" i="49" s="1"/>
  <c r="K28" i="49" s="1"/>
  <c r="K31" i="59" l="1"/>
  <c r="K32" i="59" s="1"/>
  <c r="H31" i="54"/>
  <c r="H32" i="56"/>
  <c r="D32" i="57"/>
  <c r="F31" i="57"/>
  <c r="I31" i="57" s="1"/>
  <c r="J31" i="57" s="1"/>
  <c r="K31" i="50"/>
  <c r="P31" i="53"/>
  <c r="K31" i="53"/>
  <c r="H31" i="53"/>
  <c r="I30" i="53"/>
  <c r="J30" i="53" s="1"/>
  <c r="K32" i="58"/>
  <c r="I29" i="52"/>
  <c r="J29" i="52" s="1"/>
  <c r="G31" i="60"/>
  <c r="D31" i="53"/>
  <c r="D31" i="60"/>
  <c r="K31" i="60"/>
  <c r="P31" i="50"/>
  <c r="E32" i="58"/>
  <c r="H31" i="60"/>
  <c r="K30" i="61"/>
  <c r="E31" i="50"/>
  <c r="G31" i="50"/>
  <c r="G31" i="53"/>
  <c r="H30" i="61"/>
  <c r="G30" i="61"/>
  <c r="D30" i="61"/>
  <c r="F29" i="61"/>
  <c r="I29" i="61" s="1"/>
  <c r="J29" i="61" s="1"/>
  <c r="E31" i="61"/>
  <c r="I69" i="61"/>
  <c r="I70" i="60"/>
  <c r="H32" i="60"/>
  <c r="E30" i="60"/>
  <c r="F29" i="60"/>
  <c r="I29" i="60" s="1"/>
  <c r="J29" i="60" s="1"/>
  <c r="I70" i="59"/>
  <c r="H31" i="59"/>
  <c r="E31" i="59"/>
  <c r="G31" i="59"/>
  <c r="F30" i="59"/>
  <c r="I30" i="59" s="1"/>
  <c r="J30" i="59" s="1"/>
  <c r="D31" i="59"/>
  <c r="G32" i="58"/>
  <c r="I71" i="58"/>
  <c r="H33" i="58"/>
  <c r="F31" i="58"/>
  <c r="I31" i="58" s="1"/>
  <c r="J31" i="58" s="1"/>
  <c r="D32" i="58"/>
  <c r="H32" i="57"/>
  <c r="G32" i="57"/>
  <c r="K32" i="57"/>
  <c r="I71" i="57"/>
  <c r="E32" i="57"/>
  <c r="G32" i="56"/>
  <c r="I71" i="56"/>
  <c r="E32" i="56"/>
  <c r="D32" i="56"/>
  <c r="F31" i="56"/>
  <c r="I31" i="56" s="1"/>
  <c r="J31" i="56" s="1"/>
  <c r="K32" i="56"/>
  <c r="I70" i="55"/>
  <c r="D32" i="55"/>
  <c r="G31" i="55"/>
  <c r="H31" i="55"/>
  <c r="E31" i="55"/>
  <c r="F31" i="55" s="1"/>
  <c r="K31" i="55"/>
  <c r="F30" i="55"/>
  <c r="I30" i="55" s="1"/>
  <c r="J30" i="55" s="1"/>
  <c r="E31" i="54"/>
  <c r="D31" i="54"/>
  <c r="I70" i="54"/>
  <c r="K31" i="54"/>
  <c r="F30" i="54"/>
  <c r="I30" i="54" s="1"/>
  <c r="J30" i="54" s="1"/>
  <c r="P31" i="54"/>
  <c r="G31" i="54"/>
  <c r="I70" i="53"/>
  <c r="E31" i="53"/>
  <c r="P30" i="52"/>
  <c r="H30" i="52"/>
  <c r="D31" i="52"/>
  <c r="I69" i="52"/>
  <c r="K30" i="52"/>
  <c r="E30" i="52"/>
  <c r="G30" i="52"/>
  <c r="H31" i="50"/>
  <c r="D31" i="50"/>
  <c r="F30" i="50"/>
  <c r="I30" i="50" s="1"/>
  <c r="J30" i="50" s="1"/>
  <c r="I70" i="50"/>
  <c r="E30" i="49"/>
  <c r="F29" i="49"/>
  <c r="J29" i="49" s="1"/>
  <c r="K29" i="49" s="1"/>
  <c r="L33" i="49"/>
  <c r="D33" i="49"/>
  <c r="G33" i="49"/>
  <c r="J72" i="49"/>
  <c r="H34" i="49"/>
  <c r="H33" i="56" l="1"/>
  <c r="H32" i="54"/>
  <c r="K32" i="50"/>
  <c r="K33" i="50" s="1"/>
  <c r="D33" i="57"/>
  <c r="P32" i="53"/>
  <c r="G32" i="54"/>
  <c r="F31" i="53"/>
  <c r="I31" i="53" s="1"/>
  <c r="J31" i="53" s="1"/>
  <c r="G31" i="52"/>
  <c r="K31" i="52"/>
  <c r="P31" i="52"/>
  <c r="E31" i="52"/>
  <c r="F31" i="52" s="1"/>
  <c r="H31" i="52"/>
  <c r="K33" i="56"/>
  <c r="H33" i="57"/>
  <c r="K32" i="53"/>
  <c r="G33" i="56"/>
  <c r="G34" i="49"/>
  <c r="E33" i="56"/>
  <c r="K33" i="57"/>
  <c r="G32" i="59"/>
  <c r="L34" i="49"/>
  <c r="H32" i="53"/>
  <c r="G32" i="53"/>
  <c r="K32" i="54"/>
  <c r="E32" i="54"/>
  <c r="E33" i="57"/>
  <c r="G33" i="58"/>
  <c r="I31" i="55"/>
  <c r="J31" i="55" s="1"/>
  <c r="E32" i="61"/>
  <c r="I70" i="61"/>
  <c r="K31" i="61"/>
  <c r="G31" i="61"/>
  <c r="H31" i="61"/>
  <c r="F30" i="61"/>
  <c r="I30" i="61" s="1"/>
  <c r="J30" i="61" s="1"/>
  <c r="D31" i="61"/>
  <c r="H33" i="60"/>
  <c r="I71" i="60"/>
  <c r="D32" i="60"/>
  <c r="K32" i="60"/>
  <c r="E31" i="60"/>
  <c r="F30" i="60"/>
  <c r="I30" i="60" s="1"/>
  <c r="J30" i="60" s="1"/>
  <c r="G32" i="60"/>
  <c r="D32" i="59"/>
  <c r="F31" i="59"/>
  <c r="I31" i="59" s="1"/>
  <c r="J31" i="59" s="1"/>
  <c r="H32" i="59"/>
  <c r="K33" i="59"/>
  <c r="I71" i="59"/>
  <c r="E32" i="59"/>
  <c r="D33" i="58"/>
  <c r="F32" i="58"/>
  <c r="I32" i="58" s="1"/>
  <c r="J32" i="58" s="1"/>
  <c r="K33" i="58"/>
  <c r="E33" i="58"/>
  <c r="I72" i="58"/>
  <c r="H34" i="58"/>
  <c r="F32" i="57"/>
  <c r="I32" i="57" s="1"/>
  <c r="J32" i="57" s="1"/>
  <c r="G33" i="57"/>
  <c r="I72" i="57"/>
  <c r="F32" i="56"/>
  <c r="I32" i="56" s="1"/>
  <c r="J32" i="56" s="1"/>
  <c r="D33" i="56"/>
  <c r="I72" i="56"/>
  <c r="D33" i="55"/>
  <c r="I71" i="55"/>
  <c r="H32" i="55"/>
  <c r="K32" i="55"/>
  <c r="E32" i="55"/>
  <c r="G32" i="55"/>
  <c r="F31" i="54"/>
  <c r="I31" i="54" s="1"/>
  <c r="J31" i="54" s="1"/>
  <c r="D32" i="54"/>
  <c r="P32" i="54"/>
  <c r="I71" i="54"/>
  <c r="D32" i="53"/>
  <c r="E32" i="53"/>
  <c r="I71" i="53"/>
  <c r="I70" i="52"/>
  <c r="D32" i="52"/>
  <c r="F30" i="52"/>
  <c r="I30" i="52" s="1"/>
  <c r="J30" i="52" s="1"/>
  <c r="E32" i="50"/>
  <c r="I71" i="50"/>
  <c r="H32" i="50"/>
  <c r="G32" i="50"/>
  <c r="P32" i="50"/>
  <c r="D32" i="50"/>
  <c r="F31" i="50"/>
  <c r="I31" i="50" s="1"/>
  <c r="J31" i="50" s="1"/>
  <c r="H35" i="49"/>
  <c r="J73" i="49"/>
  <c r="D34" i="49"/>
  <c r="E31" i="49"/>
  <c r="F30" i="49"/>
  <c r="J30" i="49" s="1"/>
  <c r="K30" i="49" s="1"/>
  <c r="F33" i="57" l="1"/>
  <c r="I33" i="57" s="1"/>
  <c r="J33" i="57" s="1"/>
  <c r="P33" i="53"/>
  <c r="K34" i="57"/>
  <c r="K33" i="54"/>
  <c r="K34" i="54" s="1"/>
  <c r="I31" i="52"/>
  <c r="J31" i="52" s="1"/>
  <c r="G34" i="56"/>
  <c r="H34" i="56"/>
  <c r="G33" i="54"/>
  <c r="H33" i="50"/>
  <c r="E32" i="52"/>
  <c r="F32" i="52" s="1"/>
  <c r="P32" i="52"/>
  <c r="G35" i="49"/>
  <c r="K32" i="52"/>
  <c r="P33" i="54"/>
  <c r="G33" i="55"/>
  <c r="K34" i="56"/>
  <c r="P33" i="50"/>
  <c r="P34" i="50" s="1"/>
  <c r="F31" i="61"/>
  <c r="I31" i="61" s="1"/>
  <c r="J31" i="61" s="1"/>
  <c r="D32" i="61"/>
  <c r="K32" i="61"/>
  <c r="E33" i="61"/>
  <c r="I71" i="61"/>
  <c r="H32" i="61"/>
  <c r="G32" i="61"/>
  <c r="G33" i="60"/>
  <c r="D33" i="60"/>
  <c r="I72" i="60"/>
  <c r="H34" i="60"/>
  <c r="E32" i="60"/>
  <c r="E33" i="60" s="1"/>
  <c r="F31" i="60"/>
  <c r="I31" i="60" s="1"/>
  <c r="J31" i="60" s="1"/>
  <c r="K33" i="60"/>
  <c r="E33" i="59"/>
  <c r="I72" i="59"/>
  <c r="K34" i="59"/>
  <c r="F32" i="59"/>
  <c r="I32" i="59" s="1"/>
  <c r="J32" i="59" s="1"/>
  <c r="D33" i="59"/>
  <c r="G33" i="59"/>
  <c r="H33" i="59"/>
  <c r="G34" i="58"/>
  <c r="E34" i="58"/>
  <c r="D34" i="58"/>
  <c r="F33" i="58"/>
  <c r="I33" i="58" s="1"/>
  <c r="J33" i="58" s="1"/>
  <c r="I73" i="58"/>
  <c r="H35" i="58"/>
  <c r="K34" i="58"/>
  <c r="E34" i="57"/>
  <c r="D34" i="57"/>
  <c r="H34" i="57"/>
  <c r="G34" i="57"/>
  <c r="I73" i="57"/>
  <c r="K35" i="57"/>
  <c r="D34" i="56"/>
  <c r="F33" i="56"/>
  <c r="I33" i="56" s="1"/>
  <c r="J33" i="56" s="1"/>
  <c r="E34" i="56"/>
  <c r="I73" i="56"/>
  <c r="I72" i="55"/>
  <c r="D34" i="55"/>
  <c r="E33" i="55"/>
  <c r="K33" i="55"/>
  <c r="H33" i="55"/>
  <c r="F32" i="55"/>
  <c r="I32" i="55" s="1"/>
  <c r="J32" i="55" s="1"/>
  <c r="F32" i="54"/>
  <c r="I32" i="54" s="1"/>
  <c r="J32" i="54" s="1"/>
  <c r="D33" i="54"/>
  <c r="E33" i="54"/>
  <c r="H33" i="54"/>
  <c r="I72" i="54"/>
  <c r="E33" i="53"/>
  <c r="H33" i="53"/>
  <c r="I72" i="53"/>
  <c r="K33" i="53"/>
  <c r="G33" i="53"/>
  <c r="D33" i="53"/>
  <c r="F32" i="53"/>
  <c r="I32" i="53" s="1"/>
  <c r="J32" i="53" s="1"/>
  <c r="G32" i="52"/>
  <c r="H32" i="52"/>
  <c r="D33" i="52"/>
  <c r="I71" i="52"/>
  <c r="D33" i="50"/>
  <c r="F32" i="50"/>
  <c r="I32" i="50" s="1"/>
  <c r="J32" i="50" s="1"/>
  <c r="I72" i="50"/>
  <c r="G33" i="50"/>
  <c r="E33" i="50"/>
  <c r="E32" i="49"/>
  <c r="F31" i="49"/>
  <c r="J31" i="49" s="1"/>
  <c r="K31" i="49" s="1"/>
  <c r="J74" i="49"/>
  <c r="H36" i="49"/>
  <c r="D35" i="49"/>
  <c r="L35" i="49"/>
  <c r="P34" i="53" l="1"/>
  <c r="H35" i="56"/>
  <c r="H34" i="59"/>
  <c r="K34" i="55"/>
  <c r="E34" i="55"/>
  <c r="F34" i="55" s="1"/>
  <c r="G34" i="55"/>
  <c r="G34" i="59"/>
  <c r="K34" i="53"/>
  <c r="E34" i="53"/>
  <c r="E34" i="54"/>
  <c r="E35" i="56"/>
  <c r="P34" i="54"/>
  <c r="H34" i="50"/>
  <c r="G34" i="54"/>
  <c r="H33" i="61"/>
  <c r="G36" i="49"/>
  <c r="L36" i="49"/>
  <c r="E34" i="50"/>
  <c r="K34" i="50"/>
  <c r="G34" i="53"/>
  <c r="H34" i="53"/>
  <c r="H34" i="54"/>
  <c r="H34" i="55"/>
  <c r="K35" i="56"/>
  <c r="G35" i="56"/>
  <c r="E34" i="60"/>
  <c r="G33" i="61"/>
  <c r="K33" i="61"/>
  <c r="F32" i="61"/>
  <c r="I32" i="61" s="1"/>
  <c r="J32" i="61" s="1"/>
  <c r="D33" i="61"/>
  <c r="E34" i="61"/>
  <c r="I72" i="61"/>
  <c r="F32" i="60"/>
  <c r="I32" i="60" s="1"/>
  <c r="J32" i="60" s="1"/>
  <c r="G34" i="60"/>
  <c r="D34" i="60"/>
  <c r="F33" i="60"/>
  <c r="I33" i="60" s="1"/>
  <c r="J33" i="60" s="1"/>
  <c r="K34" i="60"/>
  <c r="H35" i="60"/>
  <c r="I73" i="60"/>
  <c r="D34" i="59"/>
  <c r="F33" i="59"/>
  <c r="I33" i="59" s="1"/>
  <c r="J33" i="59" s="1"/>
  <c r="E34" i="59"/>
  <c r="K35" i="59"/>
  <c r="I73" i="59"/>
  <c r="K35" i="58"/>
  <c r="E35" i="58"/>
  <c r="F34" i="58"/>
  <c r="I34" i="58" s="1"/>
  <c r="J34" i="58" s="1"/>
  <c r="D35" i="58"/>
  <c r="I74" i="58"/>
  <c r="H36" i="58"/>
  <c r="G35" i="58"/>
  <c r="K36" i="57"/>
  <c r="I74" i="57"/>
  <c r="E35" i="57"/>
  <c r="G35" i="57"/>
  <c r="H35" i="57"/>
  <c r="F34" i="57"/>
  <c r="I34" i="57" s="1"/>
  <c r="J34" i="57" s="1"/>
  <c r="D35" i="57"/>
  <c r="F34" i="56"/>
  <c r="I34" i="56" s="1"/>
  <c r="J34" i="56" s="1"/>
  <c r="D35" i="56"/>
  <c r="I74" i="56"/>
  <c r="D35" i="55"/>
  <c r="I73" i="55"/>
  <c r="F33" i="55"/>
  <c r="I33" i="55" s="1"/>
  <c r="J33" i="55" s="1"/>
  <c r="I73" i="54"/>
  <c r="D34" i="54"/>
  <c r="F33" i="54"/>
  <c r="I33" i="54" s="1"/>
  <c r="J33" i="54" s="1"/>
  <c r="F33" i="53"/>
  <c r="I33" i="53" s="1"/>
  <c r="J33" i="53" s="1"/>
  <c r="D34" i="53"/>
  <c r="I73" i="53"/>
  <c r="K33" i="52"/>
  <c r="I32" i="52"/>
  <c r="J32" i="52" s="1"/>
  <c r="H33" i="52"/>
  <c r="P33" i="52"/>
  <c r="E33" i="52"/>
  <c r="D34" i="52"/>
  <c r="I72" i="52"/>
  <c r="G33" i="52"/>
  <c r="P35" i="50"/>
  <c r="I73" i="50"/>
  <c r="G34" i="50"/>
  <c r="D34" i="50"/>
  <c r="F33" i="50"/>
  <c r="I33" i="50" s="1"/>
  <c r="J33" i="50" s="1"/>
  <c r="D36" i="49"/>
  <c r="E33" i="49"/>
  <c r="F32" i="49"/>
  <c r="J32" i="49" s="1"/>
  <c r="K32" i="49" s="1"/>
  <c r="P35" i="53" l="1"/>
  <c r="P36" i="53" s="1"/>
  <c r="E36" i="56"/>
  <c r="P35" i="54"/>
  <c r="H36" i="57"/>
  <c r="G35" i="55"/>
  <c r="I34" i="55"/>
  <c r="J34" i="55" s="1"/>
  <c r="G36" i="58"/>
  <c r="G35" i="54"/>
  <c r="H35" i="55"/>
  <c r="G36" i="56"/>
  <c r="H36" i="56"/>
  <c r="K36" i="56"/>
  <c r="E35" i="54"/>
  <c r="G34" i="61"/>
  <c r="H34" i="61"/>
  <c r="E35" i="61"/>
  <c r="I73" i="61"/>
  <c r="K34" i="61"/>
  <c r="D34" i="61"/>
  <c r="F33" i="61"/>
  <c r="I33" i="61" s="1"/>
  <c r="J33" i="61" s="1"/>
  <c r="D35" i="60"/>
  <c r="F34" i="60"/>
  <c r="I34" i="60" s="1"/>
  <c r="J34" i="60" s="1"/>
  <c r="K35" i="60"/>
  <c r="G35" i="60"/>
  <c r="E35" i="60"/>
  <c r="I74" i="60"/>
  <c r="H36" i="60"/>
  <c r="E35" i="59"/>
  <c r="H35" i="59"/>
  <c r="I74" i="59"/>
  <c r="K36" i="59"/>
  <c r="F34" i="59"/>
  <c r="I34" i="59" s="1"/>
  <c r="J34" i="59" s="1"/>
  <c r="D35" i="59"/>
  <c r="G35" i="59"/>
  <c r="E36" i="58"/>
  <c r="K36" i="58"/>
  <c r="F35" i="58"/>
  <c r="I35" i="58" s="1"/>
  <c r="J35" i="58" s="1"/>
  <c r="D36" i="58"/>
  <c r="G36" i="57"/>
  <c r="D36" i="57"/>
  <c r="F35" i="57"/>
  <c r="I35" i="57" s="1"/>
  <c r="J35" i="57" s="1"/>
  <c r="E36" i="57"/>
  <c r="D36" i="56"/>
  <c r="F35" i="56"/>
  <c r="I35" i="56" s="1"/>
  <c r="J35" i="56" s="1"/>
  <c r="K35" i="55"/>
  <c r="E35" i="55"/>
  <c r="I74" i="55"/>
  <c r="D36" i="55"/>
  <c r="H35" i="54"/>
  <c r="D35" i="54"/>
  <c r="F34" i="54"/>
  <c r="I34" i="54" s="1"/>
  <c r="J34" i="54" s="1"/>
  <c r="I74" i="54"/>
  <c r="E36" i="54"/>
  <c r="K35" i="54"/>
  <c r="H35" i="53"/>
  <c r="G35" i="53"/>
  <c r="K35" i="53"/>
  <c r="I74" i="53"/>
  <c r="E35" i="53"/>
  <c r="D35" i="53"/>
  <c r="F34" i="53"/>
  <c r="I34" i="53" s="1"/>
  <c r="J34" i="53" s="1"/>
  <c r="K34" i="52"/>
  <c r="E34" i="52"/>
  <c r="F34" i="52" s="1"/>
  <c r="G34" i="52"/>
  <c r="P34" i="52"/>
  <c r="F33" i="52"/>
  <c r="I33" i="52" s="1"/>
  <c r="J33" i="52" s="1"/>
  <c r="D35" i="52"/>
  <c r="I73" i="52"/>
  <c r="H34" i="52"/>
  <c r="F34" i="50"/>
  <c r="I34" i="50" s="1"/>
  <c r="J34" i="50" s="1"/>
  <c r="D35" i="50"/>
  <c r="P36" i="50"/>
  <c r="I74" i="50"/>
  <c r="G35" i="50"/>
  <c r="E35" i="50"/>
  <c r="H35" i="50"/>
  <c r="K35" i="50"/>
  <c r="E34" i="49"/>
  <c r="F33" i="49"/>
  <c r="J33" i="49" s="1"/>
  <c r="K33" i="49" s="1"/>
  <c r="F36" i="56" l="1"/>
  <c r="I36" i="56" s="1"/>
  <c r="J36" i="56" s="1"/>
  <c r="G36" i="59"/>
  <c r="E36" i="53"/>
  <c r="H36" i="50"/>
  <c r="H35" i="61"/>
  <c r="G36" i="54"/>
  <c r="K35" i="61"/>
  <c r="G35" i="61"/>
  <c r="G36" i="50"/>
  <c r="P36" i="54"/>
  <c r="H36" i="59"/>
  <c r="K36" i="54"/>
  <c r="F36" i="57"/>
  <c r="I36" i="57" s="1"/>
  <c r="J36" i="57" s="1"/>
  <c r="D35" i="61"/>
  <c r="F34" i="61"/>
  <c r="I34" i="61" s="1"/>
  <c r="J34" i="61" s="1"/>
  <c r="I74" i="61"/>
  <c r="E36" i="61"/>
  <c r="K36" i="60"/>
  <c r="E36" i="60"/>
  <c r="F35" i="60"/>
  <c r="I35" i="60" s="1"/>
  <c r="J35" i="60" s="1"/>
  <c r="D36" i="60"/>
  <c r="G36" i="60"/>
  <c r="E36" i="59"/>
  <c r="D36" i="59"/>
  <c r="F35" i="59"/>
  <c r="I35" i="59" s="1"/>
  <c r="J35" i="59" s="1"/>
  <c r="F36" i="58"/>
  <c r="I36" i="58" s="1"/>
  <c r="J36" i="58" s="1"/>
  <c r="H36" i="55"/>
  <c r="G36" i="55"/>
  <c r="E36" i="55"/>
  <c r="F36" i="55" s="1"/>
  <c r="F35" i="55"/>
  <c r="I35" i="55" s="1"/>
  <c r="J35" i="55" s="1"/>
  <c r="K36" i="55"/>
  <c r="D36" i="54"/>
  <c r="F36" i="54" s="1"/>
  <c r="F35" i="54"/>
  <c r="I35" i="54" s="1"/>
  <c r="J35" i="54" s="1"/>
  <c r="H36" i="54"/>
  <c r="H36" i="53"/>
  <c r="F35" i="53"/>
  <c r="I35" i="53" s="1"/>
  <c r="J35" i="53" s="1"/>
  <c r="D36" i="53"/>
  <c r="K36" i="53"/>
  <c r="G36" i="53"/>
  <c r="I34" i="52"/>
  <c r="J34" i="52" s="1"/>
  <c r="H35" i="52"/>
  <c r="E35" i="52"/>
  <c r="K35" i="52"/>
  <c r="P35" i="52"/>
  <c r="I74" i="52"/>
  <c r="D36" i="52"/>
  <c r="G35" i="52"/>
  <c r="E36" i="50"/>
  <c r="D36" i="50"/>
  <c r="F35" i="50"/>
  <c r="I35" i="50" s="1"/>
  <c r="J35" i="50" s="1"/>
  <c r="K36" i="50"/>
  <c r="E35" i="49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D36" i="61"/>
  <c r="F36" i="61" s="1"/>
  <c r="F35" i="61"/>
  <c r="I35" i="61" s="1"/>
  <c r="J35" i="61" s="1"/>
  <c r="G36" i="61"/>
  <c r="H36" i="61"/>
  <c r="K36" i="61"/>
  <c r="F36" i="60"/>
  <c r="I36" i="60" s="1"/>
  <c r="J36" i="60" s="1"/>
  <c r="F36" i="59"/>
  <c r="I36" i="59" s="1"/>
  <c r="J36" i="59" s="1"/>
  <c r="I36" i="55"/>
  <c r="J36" i="55" s="1"/>
  <c r="H36" i="52"/>
  <c r="E36" i="52"/>
  <c r="F36" i="52" s="1"/>
  <c r="P36" i="52"/>
  <c r="F35" i="52"/>
  <c r="I35" i="52" s="1"/>
  <c r="J35" i="52" s="1"/>
  <c r="G36" i="52"/>
  <c r="K36" i="52"/>
  <c r="E36" i="49"/>
  <c r="F36" i="49" s="1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C14" i="43"/>
  <c r="B11" i="43" l="1"/>
  <c r="B12" i="43"/>
  <c r="B13" i="43" s="1"/>
  <c r="H11" i="43" l="1"/>
  <c r="D14" i="43"/>
  <c r="G11" i="43" l="1"/>
  <c r="L11" i="43"/>
  <c r="E11" i="43"/>
  <c r="H12" i="43" l="1"/>
  <c r="H13" i="43" l="1"/>
  <c r="H14" i="43" s="1"/>
  <c r="H15" i="43" s="1"/>
  <c r="H16" i="43" s="1"/>
  <c r="H17" i="43" s="1"/>
  <c r="H18" i="43" s="1"/>
  <c r="H19" i="43" s="1"/>
  <c r="C65" i="62"/>
  <c r="C65" i="49"/>
  <c r="C65" i="58"/>
  <c r="C65" i="61"/>
  <c r="C65" i="56"/>
  <c r="C65" i="55"/>
  <c r="C65" i="54"/>
  <c r="C65" i="52"/>
  <c r="C65" i="60"/>
  <c r="C65" i="59"/>
  <c r="C65" i="57"/>
  <c r="C65" i="53"/>
  <c r="C65" i="50"/>
  <c r="C11" i="47" l="1"/>
  <c r="CX5" i="25"/>
  <c r="B66" i="25" l="1"/>
  <c r="B56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C12" i="47"/>
  <c r="E12" i="47" l="1"/>
  <c r="C13" i="47"/>
  <c r="C48" i="47"/>
  <c r="C10" i="25"/>
  <c r="E13" i="47" l="1"/>
  <c r="C49" i="47"/>
  <c r="C14" i="47"/>
  <c r="E14" i="47" l="1"/>
  <c r="C15" i="47"/>
  <c r="F41" i="47"/>
  <c r="E15" i="47" l="1"/>
  <c r="C16" i="47"/>
  <c r="F42" i="47"/>
  <c r="E16" i="47" l="1"/>
  <c r="C17" i="47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C18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C19" i="47"/>
  <c r="F45" i="47"/>
  <c r="L12" i="43"/>
  <c r="L13" i="43" s="1"/>
  <c r="K12" i="44"/>
  <c r="K13" i="44" s="1"/>
  <c r="E12" i="43"/>
  <c r="E13" i="43" s="1"/>
  <c r="F11" i="44"/>
  <c r="I11" i="44" s="1"/>
  <c r="J11" i="44" s="1"/>
  <c r="F11" i="43"/>
  <c r="J11" i="43" s="1"/>
  <c r="G12" i="43"/>
  <c r="G13" i="43" s="1"/>
  <c r="C71" i="44"/>
  <c r="G12" i="44"/>
  <c r="G13" i="44" s="1"/>
  <c r="E12" i="44"/>
  <c r="E13" i="44" s="1"/>
  <c r="H12" i="44"/>
  <c r="H13" i="44" s="1"/>
  <c r="P12" i="44"/>
  <c r="B16" i="44"/>
  <c r="C70" i="43"/>
  <c r="K11" i="43" l="1"/>
  <c r="E19" i="47"/>
  <c r="C20" i="47"/>
  <c r="F46" i="47"/>
  <c r="F12" i="43"/>
  <c r="J12" i="43" s="1"/>
  <c r="K14" i="44"/>
  <c r="K15" i="44" s="1"/>
  <c r="E14" i="43"/>
  <c r="H14" i="44"/>
  <c r="H15" i="44" s="1"/>
  <c r="H16" i="44" s="1"/>
  <c r="G14" i="44"/>
  <c r="G15" i="44" s="1"/>
  <c r="E14" i="44"/>
  <c r="E15" i="44" s="1"/>
  <c r="C72" i="44"/>
  <c r="B17" i="44"/>
  <c r="P13" i="44"/>
  <c r="C71" i="43"/>
  <c r="G14" i="43"/>
  <c r="L14" i="43"/>
  <c r="B14" i="43"/>
  <c r="F13" i="43"/>
  <c r="J13" i="43" s="1"/>
  <c r="K12" i="43" l="1"/>
  <c r="E20" i="47"/>
  <c r="C21" i="47"/>
  <c r="F47" i="47"/>
  <c r="F12" i="44"/>
  <c r="I12" i="44" s="1"/>
  <c r="J12" i="44" s="1"/>
  <c r="K16" i="44"/>
  <c r="E15" i="43"/>
  <c r="E16" i="44"/>
  <c r="G16" i="44"/>
  <c r="C73" i="44"/>
  <c r="F13" i="44"/>
  <c r="P14" i="44"/>
  <c r="B18" i="44"/>
  <c r="B15" i="43"/>
  <c r="D15" i="43"/>
  <c r="F14" i="43"/>
  <c r="J14" i="43" s="1"/>
  <c r="L15" i="43"/>
  <c r="C72" i="43"/>
  <c r="K13" i="43"/>
  <c r="G15" i="43"/>
  <c r="K14" i="43" l="1"/>
  <c r="E21" i="47"/>
  <c r="C22" i="47"/>
  <c r="F48" i="47"/>
  <c r="E16" i="43"/>
  <c r="K17" i="44"/>
  <c r="G17" i="44"/>
  <c r="H17" i="44"/>
  <c r="C74" i="44"/>
  <c r="E17" i="44"/>
  <c r="B19" i="44"/>
  <c r="I13" i="44"/>
  <c r="J13" i="44" s="1"/>
  <c r="P15" i="44"/>
  <c r="F14" i="44"/>
  <c r="I14" i="44" s="1"/>
  <c r="J14" i="44" s="1"/>
  <c r="F15" i="43"/>
  <c r="J15" i="43" s="1"/>
  <c r="D16" i="43"/>
  <c r="C73" i="43"/>
  <c r="G16" i="43"/>
  <c r="L16" i="43"/>
  <c r="B16" i="43"/>
  <c r="E22" i="47" l="1"/>
  <c r="C23" i="47"/>
  <c r="F49" i="47"/>
  <c r="E17" i="43"/>
  <c r="E18" i="44"/>
  <c r="K18" i="44"/>
  <c r="L17" i="43"/>
  <c r="G18" i="44"/>
  <c r="G17" i="43"/>
  <c r="H18" i="44"/>
  <c r="F66" i="44"/>
  <c r="F15" i="44"/>
  <c r="B20" i="44"/>
  <c r="P16" i="44"/>
  <c r="B17" i="43"/>
  <c r="C74" i="43"/>
  <c r="D17" i="43"/>
  <c r="F16" i="43"/>
  <c r="J16" i="43" s="1"/>
  <c r="K15" i="43"/>
  <c r="E23" i="47" l="1"/>
  <c r="I41" i="47"/>
  <c r="C24" i="47"/>
  <c r="L18" i="43"/>
  <c r="E19" i="44"/>
  <c r="K19" i="44"/>
  <c r="G18" i="43"/>
  <c r="G19" i="44"/>
  <c r="H19" i="44"/>
  <c r="F67" i="44"/>
  <c r="E18" i="43"/>
  <c r="F16" i="44"/>
  <c r="B21" i="44"/>
  <c r="P17" i="44"/>
  <c r="I15" i="44"/>
  <c r="J15" i="44" s="1"/>
  <c r="F17" i="43"/>
  <c r="J17" i="43" s="1"/>
  <c r="D18" i="43"/>
  <c r="F66" i="43"/>
  <c r="H20" i="43" s="1"/>
  <c r="K16" i="43"/>
  <c r="B18" i="43"/>
  <c r="E24" i="47" l="1"/>
  <c r="C25" i="47"/>
  <c r="I42" i="47"/>
  <c r="E20" i="44"/>
  <c r="K20" i="44"/>
  <c r="H20" i="44"/>
  <c r="E19" i="43"/>
  <c r="G20" i="44"/>
  <c r="F68" i="44"/>
  <c r="L19" i="43"/>
  <c r="G19" i="43"/>
  <c r="F17" i="44"/>
  <c r="B22" i="44"/>
  <c r="I16" i="44"/>
  <c r="J16" i="44" s="1"/>
  <c r="P18" i="44"/>
  <c r="F67" i="43"/>
  <c r="H21" i="43" s="1"/>
  <c r="D19" i="43"/>
  <c r="F18" i="43"/>
  <c r="J18" i="43" s="1"/>
  <c r="B19" i="43"/>
  <c r="K17" i="43"/>
  <c r="E25" i="47" l="1"/>
  <c r="C26" i="47"/>
  <c r="I43" i="47"/>
  <c r="E21" i="44"/>
  <c r="K21" i="44"/>
  <c r="E20" i="43"/>
  <c r="L20" i="43"/>
  <c r="F69" i="44"/>
  <c r="G21" i="44"/>
  <c r="H21" i="44"/>
  <c r="P19" i="44"/>
  <c r="I17" i="44"/>
  <c r="J17" i="44" s="1"/>
  <c r="F18" i="44"/>
  <c r="B23" i="44"/>
  <c r="F68" i="43"/>
  <c r="H22" i="43" s="1"/>
  <c r="F19" i="43"/>
  <c r="J19" i="43" s="1"/>
  <c r="D20" i="43"/>
  <c r="G20" i="43"/>
  <c r="K18" i="43"/>
  <c r="B20" i="43"/>
  <c r="E26" i="47" l="1"/>
  <c r="C27" i="47"/>
  <c r="I44" i="47"/>
  <c r="E22" i="44"/>
  <c r="E21" i="43"/>
  <c r="E22" i="43" s="1"/>
  <c r="K22" i="44"/>
  <c r="H22" i="44"/>
  <c r="G22" i="44"/>
  <c r="F70" i="44"/>
  <c r="G21" i="43"/>
  <c r="L21" i="43"/>
  <c r="F19" i="44"/>
  <c r="I19" i="44" s="1"/>
  <c r="J19" i="44" s="1"/>
  <c r="B24" i="44"/>
  <c r="P20" i="44"/>
  <c r="I18" i="44"/>
  <c r="J18" i="44" s="1"/>
  <c r="K19" i="43"/>
  <c r="B21" i="43"/>
  <c r="D21" i="43"/>
  <c r="F20" i="43"/>
  <c r="J20" i="43" s="1"/>
  <c r="F69" i="43"/>
  <c r="H23" i="43" s="1"/>
  <c r="E27" i="47" l="1"/>
  <c r="I45" i="47"/>
  <c r="C28" i="47"/>
  <c r="E23" i="44"/>
  <c r="E24" i="44" s="1"/>
  <c r="K23" i="44"/>
  <c r="L22" i="43"/>
  <c r="G23" i="44"/>
  <c r="F71" i="44"/>
  <c r="H23" i="44"/>
  <c r="G22" i="43"/>
  <c r="P21" i="44"/>
  <c r="F20" i="44"/>
  <c r="B25" i="44"/>
  <c r="K20" i="43"/>
  <c r="F70" i="43"/>
  <c r="H24" i="43" s="1"/>
  <c r="E23" i="43"/>
  <c r="B22" i="43"/>
  <c r="F21" i="43"/>
  <c r="J21" i="43" s="1"/>
  <c r="D22" i="43"/>
  <c r="K21" i="43" l="1"/>
  <c r="C29" i="47"/>
  <c r="E28" i="47"/>
  <c r="I46" i="47"/>
  <c r="K24" i="44"/>
  <c r="H24" i="44"/>
  <c r="G24" i="44"/>
  <c r="E25" i="44"/>
  <c r="F72" i="44"/>
  <c r="G23" i="43"/>
  <c r="B26" i="44"/>
  <c r="F21" i="44"/>
  <c r="I21" i="44" s="1"/>
  <c r="J21" i="44" s="1"/>
  <c r="P22" i="44"/>
  <c r="I20" i="44"/>
  <c r="J20" i="44" s="1"/>
  <c r="B23" i="43"/>
  <c r="L23" i="43"/>
  <c r="F71" i="43"/>
  <c r="H25" i="43" s="1"/>
  <c r="E24" i="43"/>
  <c r="D23" i="43"/>
  <c r="F22" i="43"/>
  <c r="J22" i="43" s="1"/>
  <c r="E29" i="47" l="1"/>
  <c r="C30" i="47"/>
  <c r="I47" i="47"/>
  <c r="K25" i="44"/>
  <c r="H25" i="44"/>
  <c r="F73" i="44"/>
  <c r="E26" i="44"/>
  <c r="G25" i="44"/>
  <c r="P23" i="44"/>
  <c r="B27" i="44"/>
  <c r="F22" i="44"/>
  <c r="I22" i="44" s="1"/>
  <c r="J22" i="44" s="1"/>
  <c r="K22" i="43"/>
  <c r="L24" i="43"/>
  <c r="B24" i="43"/>
  <c r="G24" i="43"/>
  <c r="F72" i="43"/>
  <c r="H26" i="43" s="1"/>
  <c r="E25" i="43"/>
  <c r="F23" i="43"/>
  <c r="J23" i="43" s="1"/>
  <c r="D24" i="43"/>
  <c r="K23" i="43" l="1"/>
  <c r="E30" i="47"/>
  <c r="C31" i="47"/>
  <c r="I48" i="47"/>
  <c r="K26" i="44"/>
  <c r="G26" i="44"/>
  <c r="E27" i="44"/>
  <c r="F74" i="44"/>
  <c r="H26" i="44"/>
  <c r="B28" i="44"/>
  <c r="P24" i="44"/>
  <c r="F23" i="44"/>
  <c r="I23" i="44" s="1"/>
  <c r="J23" i="44" s="1"/>
  <c r="B25" i="43"/>
  <c r="F73" i="43"/>
  <c r="H27" i="43" s="1"/>
  <c r="E26" i="43"/>
  <c r="L25" i="43"/>
  <c r="D25" i="43"/>
  <c r="F24" i="43"/>
  <c r="J24" i="43" s="1"/>
  <c r="G25" i="43"/>
  <c r="K24" i="43" l="1"/>
  <c r="E31" i="47"/>
  <c r="C32" i="47"/>
  <c r="E32" i="47" s="1"/>
  <c r="I49" i="47"/>
  <c r="K27" i="44"/>
  <c r="H27" i="44"/>
  <c r="L26" i="43"/>
  <c r="G27" i="44"/>
  <c r="E28" i="44"/>
  <c r="I66" i="44"/>
  <c r="G26" i="43"/>
  <c r="P25" i="44"/>
  <c r="B29" i="44"/>
  <c r="F24" i="44"/>
  <c r="I24" i="44" s="1"/>
  <c r="J24" i="44" s="1"/>
  <c r="F74" i="43"/>
  <c r="H28" i="43" s="1"/>
  <c r="F25" i="43"/>
  <c r="J25" i="43" s="1"/>
  <c r="D26" i="43"/>
  <c r="B26" i="43"/>
  <c r="L27" i="43" l="1"/>
  <c r="K28" i="44"/>
  <c r="K29" i="44" s="1"/>
  <c r="H28" i="44"/>
  <c r="G28" i="44"/>
  <c r="E29" i="44"/>
  <c r="I67" i="44"/>
  <c r="G27" i="43"/>
  <c r="E27" i="43"/>
  <c r="B30" i="44"/>
  <c r="P26" i="44"/>
  <c r="F25" i="44"/>
  <c r="K25" i="43"/>
  <c r="B27" i="43"/>
  <c r="D27" i="43"/>
  <c r="F26" i="43"/>
  <c r="J26" i="43" s="1"/>
  <c r="J66" i="43"/>
  <c r="H29" i="43" s="1"/>
  <c r="G28" i="43" l="1"/>
  <c r="K30" i="44"/>
  <c r="I68" i="44"/>
  <c r="E30" i="44"/>
  <c r="E28" i="43"/>
  <c r="H29" i="44"/>
  <c r="G29" i="44"/>
  <c r="P27" i="44"/>
  <c r="I25" i="44"/>
  <c r="J25" i="44" s="1"/>
  <c r="F26" i="44"/>
  <c r="B31" i="44"/>
  <c r="K26" i="43"/>
  <c r="B28" i="43"/>
  <c r="L28" i="43"/>
  <c r="F27" i="43"/>
  <c r="J27" i="43" s="1"/>
  <c r="D28" i="43"/>
  <c r="J67" i="43"/>
  <c r="H30" i="43" s="1"/>
  <c r="K27" i="43" l="1"/>
  <c r="G29" i="43"/>
  <c r="K31" i="44"/>
  <c r="G30" i="44"/>
  <c r="H30" i="44"/>
  <c r="E31" i="44"/>
  <c r="I69" i="44"/>
  <c r="E29" i="43"/>
  <c r="B32" i="44"/>
  <c r="P28" i="44"/>
  <c r="I26" i="44"/>
  <c r="J26" i="44" s="1"/>
  <c r="D28" i="44"/>
  <c r="F27" i="44"/>
  <c r="I27" i="44" s="1"/>
  <c r="J27" i="44" s="1"/>
  <c r="B29" i="43"/>
  <c r="L29" i="43"/>
  <c r="D29" i="43"/>
  <c r="F28" i="43"/>
  <c r="J28" i="43" s="1"/>
  <c r="J68" i="43"/>
  <c r="H31" i="43" s="1"/>
  <c r="G30" i="43" l="1"/>
  <c r="K32" i="44"/>
  <c r="H31" i="44"/>
  <c r="G31" i="44"/>
  <c r="I70" i="44"/>
  <c r="E32" i="44"/>
  <c r="E30" i="43"/>
  <c r="B33" i="44"/>
  <c r="F28" i="44"/>
  <c r="D29" i="44"/>
  <c r="P29" i="44"/>
  <c r="K28" i="43"/>
  <c r="B30" i="43"/>
  <c r="F29" i="43"/>
  <c r="J29" i="43" s="1"/>
  <c r="D30" i="43"/>
  <c r="J69" i="43"/>
  <c r="H32" i="43" s="1"/>
  <c r="L30" i="43"/>
  <c r="G31" i="43" l="1"/>
  <c r="K33" i="44"/>
  <c r="G32" i="44"/>
  <c r="H32" i="44"/>
  <c r="E33" i="44"/>
  <c r="I71" i="44"/>
  <c r="L31" i="43"/>
  <c r="B34" i="44"/>
  <c r="D30" i="44"/>
  <c r="F29" i="44"/>
  <c r="P30" i="44"/>
  <c r="I28" i="44"/>
  <c r="J28" i="44" s="1"/>
  <c r="J70" i="43"/>
  <c r="H33" i="43" s="1"/>
  <c r="B31" i="43"/>
  <c r="K29" i="43"/>
  <c r="D31" i="43"/>
  <c r="F30" i="43"/>
  <c r="J30" i="43" s="1"/>
  <c r="E31" i="43"/>
  <c r="G32" i="43" l="1"/>
  <c r="K34" i="44"/>
  <c r="H33" i="44"/>
  <c r="I72" i="44"/>
  <c r="E34" i="44"/>
  <c r="G33" i="44"/>
  <c r="B35" i="44"/>
  <c r="I29" i="44"/>
  <c r="J29" i="44" s="1"/>
  <c r="P31" i="44"/>
  <c r="D31" i="44"/>
  <c r="F30" i="44"/>
  <c r="I30" i="44" s="1"/>
  <c r="J30" i="44" s="1"/>
  <c r="B32" i="43"/>
  <c r="E32" i="43"/>
  <c r="K30" i="43"/>
  <c r="L32" i="43"/>
  <c r="J71" i="43"/>
  <c r="H34" i="43" s="1"/>
  <c r="F31" i="43"/>
  <c r="J31" i="43" s="1"/>
  <c r="D32" i="43"/>
  <c r="G33" i="43" l="1"/>
  <c r="K35" i="44"/>
  <c r="G34" i="44"/>
  <c r="I73" i="44"/>
  <c r="E35" i="44"/>
  <c r="H34" i="44"/>
  <c r="D32" i="44"/>
  <c r="F31" i="44"/>
  <c r="P32" i="44"/>
  <c r="B36" i="44"/>
  <c r="E33" i="43"/>
  <c r="D33" i="43"/>
  <c r="F32" i="43"/>
  <c r="J32" i="43" s="1"/>
  <c r="J72" i="43"/>
  <c r="H35" i="43" s="1"/>
  <c r="K31" i="43"/>
  <c r="L33" i="43"/>
  <c r="B33" i="43"/>
  <c r="G34" i="43" l="1"/>
  <c r="K36" i="44"/>
  <c r="L34" i="43"/>
  <c r="H35" i="44"/>
  <c r="G35" i="44"/>
  <c r="E36" i="44"/>
  <c r="I74" i="44"/>
  <c r="P33" i="44"/>
  <c r="I31" i="44"/>
  <c r="J31" i="44" s="1"/>
  <c r="F32" i="44"/>
  <c r="D33" i="44"/>
  <c r="K32" i="43"/>
  <c r="E34" i="43"/>
  <c r="F33" i="43"/>
  <c r="J33" i="43" s="1"/>
  <c r="D34" i="43"/>
  <c r="B34" i="43"/>
  <c r="J73" i="43"/>
  <c r="H36" i="43" s="1"/>
  <c r="G35" i="43" l="1"/>
  <c r="G36" i="44"/>
  <c r="H36" i="44"/>
  <c r="D34" i="44"/>
  <c r="F33" i="44"/>
  <c r="I33" i="44" s="1"/>
  <c r="J33" i="44" s="1"/>
  <c r="I32" i="44"/>
  <c r="J32" i="44" s="1"/>
  <c r="P34" i="44"/>
  <c r="E35" i="43"/>
  <c r="B35" i="43"/>
  <c r="L35" i="43"/>
  <c r="D35" i="43"/>
  <c r="F34" i="43"/>
  <c r="J34" i="43" s="1"/>
  <c r="J74" i="43"/>
  <c r="K33" i="43"/>
  <c r="G36" i="43" l="1"/>
  <c r="P35" i="44"/>
  <c r="D35" i="44"/>
  <c r="F34" i="44"/>
  <c r="I34" i="44" s="1"/>
  <c r="J34" i="44" s="1"/>
  <c r="F35" i="43"/>
  <c r="J35" i="43" s="1"/>
  <c r="D36" i="43"/>
  <c r="L36" i="43"/>
  <c r="E36" i="43"/>
  <c r="K34" i="43"/>
  <c r="B36" i="43"/>
  <c r="F35" i="44" l="1"/>
  <c r="D36" i="44"/>
  <c r="F36" i="44" s="1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G12" i="42"/>
  <c r="G13" i="42" s="1"/>
  <c r="B26" i="42"/>
  <c r="C69" i="42"/>
  <c r="B3" i="42"/>
  <c r="C52" i="42" s="1"/>
  <c r="B9" i="42" s="1"/>
  <c r="D47" i="42"/>
  <c r="E12" i="42" l="1"/>
  <c r="E13" i="42" s="1"/>
  <c r="H12" i="42"/>
  <c r="H13" i="42" s="1"/>
  <c r="P12" i="42"/>
  <c r="F11" i="42"/>
  <c r="I11" i="42" s="1"/>
  <c r="K12" i="42"/>
  <c r="K13" i="42" s="1"/>
  <c r="C70" i="42"/>
  <c r="G14" i="42"/>
  <c r="B27" i="42"/>
  <c r="J11" i="42" l="1"/>
  <c r="H14" i="42"/>
  <c r="P13" i="42"/>
  <c r="P14" i="42" s="1"/>
  <c r="K14" i="42"/>
  <c r="G15" i="42"/>
  <c r="C71" i="42"/>
  <c r="F12" i="42"/>
  <c r="B28" i="42"/>
  <c r="E14" i="42"/>
  <c r="K15" i="42" l="1"/>
  <c r="E15" i="42"/>
  <c r="H15" i="42"/>
  <c r="I12" i="42"/>
  <c r="C72" i="42"/>
  <c r="G16" i="42"/>
  <c r="F13" i="42"/>
  <c r="I13" i="42" s="1"/>
  <c r="B29" i="42"/>
  <c r="P15" i="42"/>
  <c r="J13" i="42" l="1"/>
  <c r="J12" i="42"/>
  <c r="H16" i="42"/>
  <c r="E16" i="42"/>
  <c r="K16" i="42"/>
  <c r="P16" i="42"/>
  <c r="G17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E17" i="42"/>
  <c r="G12" i="41"/>
  <c r="G13" i="41" s="1"/>
  <c r="E12" i="41"/>
  <c r="K12" i="41"/>
  <c r="H17" i="42"/>
  <c r="P17" i="42"/>
  <c r="C74" i="42"/>
  <c r="G18" i="42"/>
  <c r="B31" i="42"/>
  <c r="K17" i="42"/>
  <c r="F15" i="42"/>
  <c r="I15" i="42" s="1"/>
  <c r="B26" i="41"/>
  <c r="B3" i="41"/>
  <c r="C52" i="41" s="1"/>
  <c r="B9" i="41" s="1"/>
  <c r="D47" i="41"/>
  <c r="C69" i="41"/>
  <c r="J15" i="42" l="1"/>
  <c r="K13" i="41"/>
  <c r="F11" i="41"/>
  <c r="H18" i="42"/>
  <c r="E13" i="41"/>
  <c r="P18" i="42"/>
  <c r="E18" i="42"/>
  <c r="K18" i="42"/>
  <c r="G19" i="42"/>
  <c r="F66" i="42"/>
  <c r="F16" i="42"/>
  <c r="I16" i="42" s="1"/>
  <c r="B32" i="42"/>
  <c r="C70" i="41"/>
  <c r="G14" i="41"/>
  <c r="B27" i="41"/>
  <c r="J16" i="42" l="1"/>
  <c r="F12" i="41"/>
  <c r="H12" i="41"/>
  <c r="H13" i="41" s="1"/>
  <c r="H14" i="41" s="1"/>
  <c r="E19" i="42"/>
  <c r="K19" i="42"/>
  <c r="H19" i="42"/>
  <c r="F67" i="42"/>
  <c r="G20" i="42"/>
  <c r="P19" i="42"/>
  <c r="F17" i="42"/>
  <c r="I17" i="42" s="1"/>
  <c r="B33" i="42"/>
  <c r="E14" i="41"/>
  <c r="G15" i="41"/>
  <c r="C71" i="41"/>
  <c r="B28" i="41"/>
  <c r="K14" i="41"/>
  <c r="J17" i="42" l="1"/>
  <c r="I12" i="41"/>
  <c r="J12" i="41" s="1"/>
  <c r="H20" i="42"/>
  <c r="I11" i="41"/>
  <c r="J11" i="41" s="1"/>
  <c r="H15" i="41"/>
  <c r="G21" i="42"/>
  <c r="F68" i="42"/>
  <c r="F18" i="42"/>
  <c r="I18" i="42" s="1"/>
  <c r="E20" i="42"/>
  <c r="P20" i="42"/>
  <c r="K20" i="42"/>
  <c r="B34" i="42"/>
  <c r="B29" i="41"/>
  <c r="C72" i="41"/>
  <c r="G16" i="41"/>
  <c r="K15" i="41"/>
  <c r="E15" i="41"/>
  <c r="F13" i="41" l="1"/>
  <c r="I13" i="41" s="1"/>
  <c r="J13" i="41" s="1"/>
  <c r="J18" i="42"/>
  <c r="E21" i="42"/>
  <c r="E16" i="41"/>
  <c r="H16" i="41"/>
  <c r="K16" i="41"/>
  <c r="H21" i="42"/>
  <c r="P21" i="42"/>
  <c r="B35" i="42"/>
  <c r="K21" i="42"/>
  <c r="F19" i="42"/>
  <c r="I19" i="42" s="1"/>
  <c r="F69" i="42"/>
  <c r="G22" i="42"/>
  <c r="G17" i="41"/>
  <c r="C73" i="41"/>
  <c r="F14" i="41"/>
  <c r="I14" i="41" s="1"/>
  <c r="J14" i="41" s="1"/>
  <c r="B30" i="41"/>
  <c r="G23" i="42" l="1"/>
  <c r="J19" i="42"/>
  <c r="H22" i="42"/>
  <c r="H23" i="42" s="1"/>
  <c r="H17" i="41"/>
  <c r="B36" i="42"/>
  <c r="F70" i="42"/>
  <c r="E22" i="42"/>
  <c r="E23" i="42" s="1"/>
  <c r="F23" i="42" s="1"/>
  <c r="F20" i="42"/>
  <c r="I20" i="42" s="1"/>
  <c r="P22" i="42"/>
  <c r="K22" i="42"/>
  <c r="K23" i="42" s="1"/>
  <c r="C74" i="41"/>
  <c r="G18" i="41"/>
  <c r="F15" i="41"/>
  <c r="I15" i="41" s="1"/>
  <c r="J15" i="41" s="1"/>
  <c r="K17" i="41"/>
  <c r="E17" i="41"/>
  <c r="B31" i="41"/>
  <c r="I23" i="42" l="1"/>
  <c r="J23" i="42" s="1"/>
  <c r="J20" i="42"/>
  <c r="H18" i="41"/>
  <c r="P23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J21" i="42" l="1"/>
  <c r="H24" i="42"/>
  <c r="H19" i="41"/>
  <c r="E19" i="41"/>
  <c r="K19" i="41"/>
  <c r="E24" i="42"/>
  <c r="K24" i="42"/>
  <c r="P24" i="42"/>
  <c r="G25" i="42"/>
  <c r="F72" i="42"/>
  <c r="F22" i="42"/>
  <c r="I22" i="42" s="1"/>
  <c r="F17" i="41"/>
  <c r="I17" i="41" s="1"/>
  <c r="J17" i="41" s="1"/>
  <c r="B33" i="41"/>
  <c r="F67" i="41"/>
  <c r="G20" i="41"/>
  <c r="J22" i="42" l="1"/>
  <c r="K20" i="41"/>
  <c r="E25" i="42"/>
  <c r="K25" i="42"/>
  <c r="H20" i="41"/>
  <c r="H25" i="42"/>
  <c r="F73" i="42"/>
  <c r="G26" i="42"/>
  <c r="P25" i="42"/>
  <c r="B34" i="41"/>
  <c r="E20" i="41"/>
  <c r="G21" i="41"/>
  <c r="F68" i="41"/>
  <c r="F18" i="41"/>
  <c r="I18" i="41" s="1"/>
  <c r="J18" i="41" s="1"/>
  <c r="K26" i="42" l="1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G12" i="40" l="1"/>
  <c r="G13" i="40" s="1"/>
  <c r="B27" i="40"/>
  <c r="E12" i="40"/>
  <c r="E13" i="40" s="1"/>
  <c r="D12" i="40"/>
  <c r="D13" i="40" s="1"/>
  <c r="K12" i="40"/>
  <c r="K13" i="40" s="1"/>
  <c r="F11" i="40"/>
  <c r="C70" i="40"/>
  <c r="G14" i="40" l="1"/>
  <c r="H12" i="40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70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25" i="31" l="1"/>
  <c r="I14" i="31"/>
  <c r="K9" i="31"/>
  <c r="I26" i="31" l="1"/>
  <c r="I15" i="31"/>
  <c r="I37" i="31"/>
  <c r="I49" i="31" l="1"/>
  <c r="I38" i="31"/>
  <c r="I27" i="31"/>
  <c r="I16" i="31"/>
  <c r="I39" i="31" l="1"/>
  <c r="I61" i="31"/>
  <c r="I17" i="31"/>
  <c r="I28" i="31"/>
  <c r="I50" i="31"/>
  <c r="I62" i="31" l="1"/>
  <c r="I40" i="31"/>
  <c r="I51" i="31"/>
  <c r="I29" i="31"/>
  <c r="I18" i="31"/>
  <c r="I73" i="31"/>
  <c r="I19" i="31" l="1"/>
  <c r="I30" i="31"/>
  <c r="I74" i="31"/>
  <c r="I85" i="31"/>
  <c r="I41" i="31"/>
  <c r="I63" i="31"/>
  <c r="I52" i="31"/>
  <c r="I64" i="31" l="1"/>
  <c r="I53" i="31"/>
  <c r="I97" i="31"/>
  <c r="I42" i="31"/>
  <c r="I75" i="31"/>
  <c r="I86" i="31"/>
  <c r="I31" i="31"/>
  <c r="I20" i="31"/>
  <c r="I43" i="31" l="1"/>
  <c r="I87" i="31"/>
  <c r="I54" i="31"/>
  <c r="I109" i="31"/>
  <c r="I76" i="31"/>
  <c r="I21" i="31"/>
  <c r="I32" i="31"/>
  <c r="I98" i="31"/>
  <c r="I65" i="31"/>
  <c r="I44" i="31" l="1"/>
  <c r="I66" i="31"/>
  <c r="I77" i="31"/>
  <c r="I110" i="31"/>
  <c r="I33" i="31"/>
  <c r="I22" i="31"/>
  <c r="I88" i="31"/>
  <c r="I121" i="31"/>
  <c r="I99" i="31"/>
  <c r="I55" i="31"/>
  <c r="I67" i="31" l="1"/>
  <c r="I100" i="31"/>
  <c r="I45" i="31"/>
  <c r="I122" i="31"/>
  <c r="I56" i="31"/>
  <c r="I111" i="31"/>
  <c r="I23" i="31"/>
  <c r="I34" i="31"/>
  <c r="I89" i="31"/>
  <c r="I78" i="31"/>
  <c r="I90" i="31" l="1"/>
  <c r="I35" i="31"/>
  <c r="I24" i="31"/>
  <c r="I123" i="31"/>
  <c r="I79" i="31"/>
  <c r="I101" i="31"/>
  <c r="I46" i="31"/>
  <c r="I68" i="31"/>
  <c r="I57" i="31"/>
  <c r="I112" i="31"/>
  <c r="I69" i="31" l="1"/>
  <c r="I80" i="31"/>
  <c r="I113" i="31"/>
  <c r="I91" i="31"/>
  <c r="I47" i="31"/>
  <c r="I124" i="31"/>
  <c r="I58" i="31"/>
  <c r="I36" i="31"/>
  <c r="I102" i="31"/>
  <c r="I114" i="31" l="1"/>
  <c r="I103" i="31"/>
  <c r="I81" i="31"/>
  <c r="I48" i="31"/>
  <c r="I70" i="31"/>
  <c r="I59" i="31"/>
  <c r="I125" i="31"/>
  <c r="I92" i="31"/>
  <c r="I104" i="31" l="1"/>
  <c r="I82" i="31"/>
  <c r="I93" i="31"/>
  <c r="I71" i="31"/>
  <c r="I60" i="31"/>
  <c r="I115" i="31"/>
  <c r="I126" i="31"/>
  <c r="I127" i="31" l="1"/>
  <c r="I83" i="31"/>
  <c r="I105" i="31"/>
  <c r="I94" i="31"/>
  <c r="I72" i="31"/>
  <c r="I116" i="31"/>
  <c r="I117" i="31" l="1"/>
  <c r="I95" i="31"/>
  <c r="I128" i="31"/>
  <c r="I84" i="31"/>
  <c r="I106" i="31"/>
  <c r="I118" i="31" l="1"/>
  <c r="I107" i="31"/>
  <c r="I96" i="31"/>
  <c r="I129" i="31"/>
  <c r="I119" i="31" l="1"/>
  <c r="I108" i="31"/>
  <c r="I130" i="31"/>
  <c r="I131" i="31" l="1"/>
  <c r="I120" i="31"/>
  <c r="I132" i="31" l="1"/>
  <c r="B73" i="25" l="1"/>
  <c r="B74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B266" i="31" l="1"/>
  <c r="A65" i="25" l="1"/>
  <c r="E58" i="25" l="1"/>
  <c r="E68" i="25" l="1"/>
  <c r="G58" i="25"/>
  <c r="G68" i="25" l="1"/>
  <c r="M14" i="31" l="1"/>
  <c r="B13" i="31" l="1"/>
  <c r="J13" i="31" l="1"/>
  <c r="B13" i="25" s="1"/>
  <c r="B14" i="31"/>
  <c r="L16" i="31"/>
  <c r="L14" i="31" l="1"/>
  <c r="B15" i="31"/>
  <c r="J14" i="31"/>
  <c r="L17" i="31"/>
  <c r="L18" i="31" s="1"/>
  <c r="L19" i="31" s="1"/>
  <c r="L20" i="31" s="1"/>
  <c r="L21" i="31" s="1"/>
  <c r="L22" i="31" s="1"/>
  <c r="L23" i="31" s="1"/>
  <c r="L24" i="31" s="1"/>
  <c r="L25" i="31" s="1"/>
  <c r="L26" i="31" s="1"/>
  <c r="B14" i="25"/>
  <c r="O13" i="25"/>
  <c r="O14" i="25" l="1"/>
  <c r="B15" i="25"/>
  <c r="J15" i="31"/>
  <c r="B16" i="31"/>
  <c r="AZ13" i="25"/>
  <c r="AQ13" i="25"/>
  <c r="AP13" i="25"/>
  <c r="AO13" i="25"/>
  <c r="AY13" i="25"/>
  <c r="BF13" i="25"/>
  <c r="BQ13" i="25"/>
  <c r="BU13" i="25"/>
  <c r="BG13" i="25"/>
  <c r="BP13" i="25"/>
  <c r="AR13" i="25"/>
  <c r="AM13" i="25"/>
  <c r="AL13" i="25"/>
  <c r="BO13" i="25"/>
  <c r="BW13" i="25"/>
  <c r="BS13" i="25"/>
  <c r="BM13" i="25"/>
  <c r="BX13" i="25"/>
  <c r="BL13" i="25"/>
  <c r="AN13" i="25"/>
  <c r="BD13" i="25"/>
  <c r="BA13" i="25"/>
  <c r="AX13" i="25"/>
  <c r="BB13" i="25"/>
  <c r="BR13" i="25"/>
  <c r="BY13" i="25"/>
  <c r="BJ13" i="25"/>
  <c r="CW13" i="25"/>
  <c r="CX13" i="25" s="1"/>
  <c r="CY13" i="25" s="1"/>
  <c r="BT13" i="25"/>
  <c r="AW13" i="25"/>
  <c r="AV13" i="25"/>
  <c r="AS13" i="25"/>
  <c r="AU13" i="25"/>
  <c r="BC13" i="25"/>
  <c r="BK13" i="25"/>
  <c r="BN13" i="25"/>
  <c r="BV13" i="25"/>
  <c r="BI13" i="25"/>
  <c r="BH13" i="25"/>
  <c r="AT13" i="25"/>
  <c r="L27" i="31"/>
  <c r="L28" i="31" l="1"/>
  <c r="AK13" i="25"/>
  <c r="CJ13" i="25"/>
  <c r="CI13" i="25"/>
  <c r="CR13" i="25"/>
  <c r="CD13" i="25"/>
  <c r="CB13" i="25"/>
  <c r="CO13" i="25"/>
  <c r="CP13" i="25"/>
  <c r="CT13" i="25"/>
  <c r="CG13" i="25"/>
  <c r="CL13" i="25"/>
  <c r="CN13" i="25"/>
  <c r="CC13" i="25"/>
  <c r="CE13" i="25"/>
  <c r="O15" i="25"/>
  <c r="B16" i="25"/>
  <c r="CK13" i="25"/>
  <c r="J16" i="31"/>
  <c r="B17" i="31"/>
  <c r="CS13" i="25"/>
  <c r="CM13" i="25"/>
  <c r="CQ13" i="25"/>
  <c r="CH13" i="25"/>
  <c r="CF13" i="25"/>
  <c r="BD14" i="25"/>
  <c r="BA14" i="25"/>
  <c r="AZ14" i="25"/>
  <c r="AM14" i="25"/>
  <c r="AN14" i="25"/>
  <c r="BQ14" i="25"/>
  <c r="BK14" i="25"/>
  <c r="BO14" i="25"/>
  <c r="BS14" i="25"/>
  <c r="BF14" i="25"/>
  <c r="AP14" i="25"/>
  <c r="AU14" i="25"/>
  <c r="BB14" i="25"/>
  <c r="BJ14" i="25"/>
  <c r="CW14" i="25"/>
  <c r="CX14" i="25" s="1"/>
  <c r="CY14" i="25" s="1"/>
  <c r="BN14" i="25"/>
  <c r="AK14" i="25"/>
  <c r="AW14" i="25"/>
  <c r="AX14" i="25"/>
  <c r="BX14" i="25"/>
  <c r="BV14" i="25"/>
  <c r="BL14" i="25"/>
  <c r="AV14" i="25"/>
  <c r="AT14" i="25"/>
  <c r="AS14" i="25"/>
  <c r="AR14" i="25"/>
  <c r="BC14" i="25"/>
  <c r="BT14" i="25"/>
  <c r="BI14" i="25"/>
  <c r="CD14" i="25" s="1"/>
  <c r="BY14" i="25"/>
  <c r="CT14" i="25" s="1"/>
  <c r="BH14" i="25"/>
  <c r="BW14" i="25"/>
  <c r="CR14" i="25" s="1"/>
  <c r="AQ14" i="25"/>
  <c r="AO14" i="25"/>
  <c r="BG14" i="25"/>
  <c r="BM14" i="25"/>
  <c r="BR14" i="25"/>
  <c r="AL14" i="25"/>
  <c r="AY14" i="25"/>
  <c r="BU14" i="25"/>
  <c r="CP14" i="25" s="1"/>
  <c r="BP14" i="25"/>
  <c r="CO14" i="25" l="1"/>
  <c r="CS14" i="25"/>
  <c r="CL14" i="25"/>
  <c r="CK14" i="25"/>
  <c r="CN14" i="25"/>
  <c r="CG14" i="25"/>
  <c r="CE14" i="25"/>
  <c r="CB14" i="25"/>
  <c r="CC14" i="25"/>
  <c r="CF14" i="25"/>
  <c r="CM14" i="25"/>
  <c r="CQ14" i="25"/>
  <c r="CH14" i="25"/>
  <c r="CI14" i="25"/>
  <c r="CJ14" i="25"/>
  <c r="AZ15" i="25"/>
  <c r="AR15" i="25"/>
  <c r="AQ15" i="25"/>
  <c r="BA15" i="25"/>
  <c r="AN15" i="25"/>
  <c r="BS15" i="25"/>
  <c r="BM15" i="25"/>
  <c r="CH15" i="25" s="1"/>
  <c r="BW15" i="25"/>
  <c r="BF15" i="25"/>
  <c r="BQ15" i="25"/>
  <c r="AO15" i="25"/>
  <c r="AT15" i="25"/>
  <c r="BG15" i="25"/>
  <c r="AW15" i="25"/>
  <c r="AV15" i="25"/>
  <c r="AU15" i="25"/>
  <c r="BJ15" i="25"/>
  <c r="BH15" i="25"/>
  <c r="AS15" i="25"/>
  <c r="AM15" i="25"/>
  <c r="AL15" i="25"/>
  <c r="AP15" i="25"/>
  <c r="BC15" i="25"/>
  <c r="BX15" i="25"/>
  <c r="BV15" i="25"/>
  <c r="BL15" i="25"/>
  <c r="BI15" i="25"/>
  <c r="CD15" i="25" s="1"/>
  <c r="BT15" i="25"/>
  <c r="BD15" i="25"/>
  <c r="AK15" i="25"/>
  <c r="BB15" i="25"/>
  <c r="BU15" i="25"/>
  <c r="CP15" i="25" s="1"/>
  <c r="BP15" i="25"/>
  <c r="CW15" i="25"/>
  <c r="CX15" i="25" s="1"/>
  <c r="CY15" i="25" s="1"/>
  <c r="BR15" i="25"/>
  <c r="CM15" i="25" s="1"/>
  <c r="AX15" i="25"/>
  <c r="AY15" i="25"/>
  <c r="BO15" i="25"/>
  <c r="BY15" i="25"/>
  <c r="CT15" i="25" s="1"/>
  <c r="BN15" i="25"/>
  <c r="BK15" i="25"/>
  <c r="CA13" i="25"/>
  <c r="CU13" i="25" s="1"/>
  <c r="C13" i="25" s="1"/>
  <c r="CA14" i="25"/>
  <c r="B18" i="31"/>
  <c r="J17" i="31"/>
  <c r="B17" i="25"/>
  <c r="O16" i="25"/>
  <c r="L29" i="31"/>
  <c r="CF15" i="25" l="1"/>
  <c r="CG15" i="25"/>
  <c r="CE15" i="25"/>
  <c r="CI15" i="25"/>
  <c r="CO15" i="25"/>
  <c r="CS15" i="25"/>
  <c r="CR15" i="25"/>
  <c r="CU14" i="25"/>
  <c r="C14" i="25" s="1"/>
  <c r="CJ15" i="25"/>
  <c r="CA15" i="25"/>
  <c r="CC15" i="25"/>
  <c r="CL15" i="25"/>
  <c r="CN15" i="25"/>
  <c r="CK15" i="25"/>
  <c r="CQ15" i="25"/>
  <c r="CB15" i="25"/>
  <c r="L30" i="31"/>
  <c r="J18" i="31"/>
  <c r="B19" i="31"/>
  <c r="BB16" i="25"/>
  <c r="BA16" i="25"/>
  <c r="AZ16" i="25"/>
  <c r="BD16" i="25"/>
  <c r="AX16" i="25"/>
  <c r="BQ16" i="25"/>
  <c r="BP16" i="25"/>
  <c r="BN16" i="25"/>
  <c r="BM16" i="25"/>
  <c r="BX16" i="25"/>
  <c r="CW16" i="25"/>
  <c r="CX16" i="25" s="1"/>
  <c r="CY16" i="25" s="1"/>
  <c r="BO16" i="25"/>
  <c r="AP16" i="25"/>
  <c r="AQ16" i="25"/>
  <c r="BW16" i="25"/>
  <c r="BG16" i="25"/>
  <c r="BC16" i="25"/>
  <c r="AY16" i="25"/>
  <c r="BH16" i="25"/>
  <c r="BU16" i="25"/>
  <c r="CP16" i="25" s="1"/>
  <c r="AV16" i="25"/>
  <c r="AS16" i="25"/>
  <c r="AR16" i="25"/>
  <c r="AW16" i="25"/>
  <c r="AT16" i="25"/>
  <c r="BJ16" i="25"/>
  <c r="BS16" i="25"/>
  <c r="CN16" i="25" s="1"/>
  <c r="BR16" i="25"/>
  <c r="CM16" i="25" s="1"/>
  <c r="BI16" i="25"/>
  <c r="AO16" i="25"/>
  <c r="AN16" i="25"/>
  <c r="AU16" i="25"/>
  <c r="BL16" i="25"/>
  <c r="CG16" i="25" s="1"/>
  <c r="BV16" i="25"/>
  <c r="BY16" i="25"/>
  <c r="CT16" i="25" s="1"/>
  <c r="AL16" i="25"/>
  <c r="AM16" i="25"/>
  <c r="BK16" i="25"/>
  <c r="BT16" i="25"/>
  <c r="CO16" i="25" s="1"/>
  <c r="BF16" i="25"/>
  <c r="O17" i="25"/>
  <c r="B18" i="25"/>
  <c r="CF16" i="25" l="1"/>
  <c r="CQ16" i="25"/>
  <c r="CR16" i="25"/>
  <c r="CC16" i="25"/>
  <c r="CB16" i="25"/>
  <c r="CJ16" i="25"/>
  <c r="CI16" i="25"/>
  <c r="CE16" i="25"/>
  <c r="CK16" i="25"/>
  <c r="CD16" i="25"/>
  <c r="CS16" i="25"/>
  <c r="CL16" i="25"/>
  <c r="AK16" i="25"/>
  <c r="CA16" i="25" s="1"/>
  <c r="CH16" i="25"/>
  <c r="CU15" i="25"/>
  <c r="C15" i="25" s="1"/>
  <c r="O18" i="25"/>
  <c r="B19" i="25"/>
  <c r="AW17" i="25"/>
  <c r="AV17" i="25"/>
  <c r="AS17" i="25"/>
  <c r="AR17" i="25"/>
  <c r="BC17" i="25"/>
  <c r="BN17" i="25"/>
  <c r="CW17" i="25"/>
  <c r="CX17" i="25" s="1"/>
  <c r="CY17" i="25" s="1"/>
  <c r="BM17" i="25"/>
  <c r="CH17" i="25" s="1"/>
  <c r="BF17" i="25"/>
  <c r="BH17" i="25"/>
  <c r="BK17" i="25"/>
  <c r="AQ17" i="25"/>
  <c r="AZ17" i="25"/>
  <c r="BB17" i="25"/>
  <c r="BV17" i="25"/>
  <c r="BI17" i="25"/>
  <c r="AM17" i="25"/>
  <c r="AX17" i="25"/>
  <c r="BP17" i="25"/>
  <c r="BD17" i="25"/>
  <c r="BA17" i="25"/>
  <c r="AN17" i="25"/>
  <c r="AU17" i="25"/>
  <c r="AT17" i="25"/>
  <c r="BU17" i="25"/>
  <c r="CP17" i="25" s="1"/>
  <c r="BX17" i="25"/>
  <c r="BJ17" i="25"/>
  <c r="BS17" i="25"/>
  <c r="BG17" i="25"/>
  <c r="AP17" i="25"/>
  <c r="AO17" i="25"/>
  <c r="BY17" i="25"/>
  <c r="CT17" i="25" s="1"/>
  <c r="BR17" i="25"/>
  <c r="CM17" i="25" s="1"/>
  <c r="BL17" i="25"/>
  <c r="CG17" i="25" s="1"/>
  <c r="AL17" i="25"/>
  <c r="AK17" i="25"/>
  <c r="AY17" i="25"/>
  <c r="BW17" i="25"/>
  <c r="CR17" i="25" s="1"/>
  <c r="BQ17" i="25"/>
  <c r="BT17" i="25"/>
  <c r="BO17" i="25"/>
  <c r="L31" i="31"/>
  <c r="B20" i="31"/>
  <c r="J19" i="31"/>
  <c r="CS17" i="25" l="1"/>
  <c r="CO17" i="25"/>
  <c r="CN17" i="25"/>
  <c r="CD17" i="25"/>
  <c r="CL17" i="25"/>
  <c r="CU16" i="25"/>
  <c r="C16" i="25" s="1"/>
  <c r="CE17" i="25"/>
  <c r="CK17" i="25"/>
  <c r="CQ17" i="25"/>
  <c r="CF17" i="25"/>
  <c r="CC17" i="25"/>
  <c r="CI17" i="25"/>
  <c r="CJ17" i="25"/>
  <c r="CB17" i="25"/>
  <c r="CA17" i="25"/>
  <c r="BA18" i="25"/>
  <c r="AZ18" i="25"/>
  <c r="AR18" i="25"/>
  <c r="AL18" i="25"/>
  <c r="AN18" i="25"/>
  <c r="BV18" i="25"/>
  <c r="BO18" i="25"/>
  <c r="BF18" i="25"/>
  <c r="BX18" i="25"/>
  <c r="BW18" i="25"/>
  <c r="BH18" i="25"/>
  <c r="AP18" i="25"/>
  <c r="AQ18" i="25"/>
  <c r="BG18" i="25"/>
  <c r="CB18" i="25" s="1"/>
  <c r="BK18" i="25"/>
  <c r="BR18" i="25"/>
  <c r="AW18" i="25"/>
  <c r="BD18" i="25"/>
  <c r="BB18" i="25"/>
  <c r="BI18" i="25"/>
  <c r="BM18" i="25"/>
  <c r="AT18" i="25"/>
  <c r="AS18" i="25"/>
  <c r="AM18" i="25"/>
  <c r="AV18" i="25"/>
  <c r="AX18" i="25"/>
  <c r="BY18" i="25"/>
  <c r="BQ18" i="25"/>
  <c r="BN18" i="25"/>
  <c r="BU18" i="25"/>
  <c r="CP18" i="25" s="1"/>
  <c r="AO18" i="25"/>
  <c r="AU18" i="25"/>
  <c r="BC18" i="25"/>
  <c r="BJ18" i="25"/>
  <c r="BL18" i="25"/>
  <c r="CG18" i="25" s="1"/>
  <c r="CW18" i="25"/>
  <c r="CX18" i="25" s="1"/>
  <c r="CY18" i="25" s="1"/>
  <c r="AK18" i="25"/>
  <c r="AY18" i="25"/>
  <c r="BP18" i="25"/>
  <c r="BT18" i="25"/>
  <c r="BS18" i="25"/>
  <c r="J20" i="31"/>
  <c r="B21" i="31"/>
  <c r="L32" i="31"/>
  <c r="B20" i="25"/>
  <c r="O19" i="25"/>
  <c r="CN18" i="25" l="1"/>
  <c r="CK18" i="25"/>
  <c r="CT18" i="25"/>
  <c r="CF18" i="25"/>
  <c r="CI18" i="25"/>
  <c r="CH18" i="25"/>
  <c r="CO18" i="25"/>
  <c r="CL18" i="25"/>
  <c r="CD18" i="25"/>
  <c r="CM18" i="25"/>
  <c r="CA18" i="25"/>
  <c r="CU17" i="25"/>
  <c r="C17" i="25" s="1"/>
  <c r="CC18" i="25"/>
  <c r="CJ18" i="25"/>
  <c r="CE18" i="25"/>
  <c r="CR18" i="25"/>
  <c r="CQ18" i="25"/>
  <c r="CS18" i="25"/>
  <c r="L33" i="31"/>
  <c r="B21" i="25"/>
  <c r="O20" i="25"/>
  <c r="AX19" i="25"/>
  <c r="AW19" i="25"/>
  <c r="AV19" i="25"/>
  <c r="AO19" i="25"/>
  <c r="BC19" i="25"/>
  <c r="BF19" i="25"/>
  <c r="BX19" i="25"/>
  <c r="CS19" i="25" s="1"/>
  <c r="BQ19" i="25"/>
  <c r="BT19" i="25"/>
  <c r="BS19" i="25"/>
  <c r="CN19" i="25" s="1"/>
  <c r="BU19" i="25"/>
  <c r="BL19" i="25"/>
  <c r="BY19" i="25"/>
  <c r="AM19" i="25"/>
  <c r="AY19" i="25"/>
  <c r="BH19" i="25"/>
  <c r="BG19" i="25"/>
  <c r="CW19" i="25"/>
  <c r="CX19" i="25" s="1"/>
  <c r="CY19" i="25" s="1"/>
  <c r="BD19" i="25"/>
  <c r="AN19" i="25"/>
  <c r="BN19" i="25"/>
  <c r="BI19" i="25"/>
  <c r="BM19" i="25"/>
  <c r="AR19" i="25"/>
  <c r="AQ19" i="25"/>
  <c r="AP19" i="25"/>
  <c r="AZ19" i="25"/>
  <c r="BB19" i="25"/>
  <c r="BV19" i="25"/>
  <c r="BJ19" i="25"/>
  <c r="AL19" i="25"/>
  <c r="AK19" i="25"/>
  <c r="AT19" i="25"/>
  <c r="BW19" i="25"/>
  <c r="BK19" i="25"/>
  <c r="CF19" i="25" s="1"/>
  <c r="BA19" i="25"/>
  <c r="AS19" i="25"/>
  <c r="AU19" i="25"/>
  <c r="BR19" i="25"/>
  <c r="CM19" i="25" s="1"/>
  <c r="BO19" i="25"/>
  <c r="BP19" i="25"/>
  <c r="B22" i="31"/>
  <c r="J21" i="31"/>
  <c r="CH19" i="25" l="1"/>
  <c r="CE19" i="25"/>
  <c r="CK19" i="25"/>
  <c r="CJ19" i="25"/>
  <c r="CC19" i="25"/>
  <c r="CG19" i="25"/>
  <c r="CL19" i="25"/>
  <c r="CP19" i="25"/>
  <c r="CR19" i="25"/>
  <c r="CD19" i="25"/>
  <c r="CA19" i="25"/>
  <c r="CQ19" i="25"/>
  <c r="CI19" i="25"/>
  <c r="CB19" i="25"/>
  <c r="CT19" i="25"/>
  <c r="CO19" i="25"/>
  <c r="CU18" i="25"/>
  <c r="C18" i="25" s="1"/>
  <c r="L34" i="31"/>
  <c r="J22" i="31"/>
  <c r="B23" i="31"/>
  <c r="BA20" i="25"/>
  <c r="AZ20" i="25"/>
  <c r="AW20" i="25"/>
  <c r="AP20" i="25"/>
  <c r="BC20" i="25"/>
  <c r="BT20" i="25"/>
  <c r="BM20" i="25"/>
  <c r="BY20" i="25"/>
  <c r="BS20" i="25"/>
  <c r="CW20" i="25"/>
  <c r="CX20" i="25" s="1"/>
  <c r="CY20" i="25" s="1"/>
  <c r="BJ20" i="25"/>
  <c r="BL20" i="25"/>
  <c r="BF20" i="25"/>
  <c r="BH20" i="25"/>
  <c r="AO20" i="25"/>
  <c r="BB20" i="25"/>
  <c r="AY20" i="25"/>
  <c r="BK20" i="25"/>
  <c r="BI20" i="25"/>
  <c r="BD20" i="25"/>
  <c r="AX20" i="25"/>
  <c r="BX20" i="25"/>
  <c r="CS20" i="25" s="1"/>
  <c r="BU20" i="25"/>
  <c r="BQ20" i="25"/>
  <c r="AS20" i="25"/>
  <c r="AR20" i="25"/>
  <c r="AQ20" i="25"/>
  <c r="AL20" i="25"/>
  <c r="AU20" i="25"/>
  <c r="BR20" i="25"/>
  <c r="CM20" i="25" s="1"/>
  <c r="BN20" i="25"/>
  <c r="AN20" i="25"/>
  <c r="AM20" i="25"/>
  <c r="BV20" i="25"/>
  <c r="CQ20" i="25" s="1"/>
  <c r="BO20" i="25"/>
  <c r="BW20" i="25"/>
  <c r="CR20" i="25" s="1"/>
  <c r="AK20" i="25"/>
  <c r="AV20" i="25"/>
  <c r="AT20" i="25"/>
  <c r="BG20" i="25"/>
  <c r="CB20" i="25" s="1"/>
  <c r="BP20" i="25"/>
  <c r="CK20" i="25" s="1"/>
  <c r="B22" i="25"/>
  <c r="O21" i="25"/>
  <c r="CP20" i="25" l="1"/>
  <c r="CA20" i="25"/>
  <c r="CN20" i="25"/>
  <c r="CL20" i="25"/>
  <c r="CG20" i="25"/>
  <c r="CT20" i="25"/>
  <c r="CU19" i="25"/>
  <c r="C19" i="25" s="1"/>
  <c r="CJ20" i="25"/>
  <c r="CI20" i="25"/>
  <c r="CD20" i="25"/>
  <c r="CE20" i="25"/>
  <c r="CH20" i="25"/>
  <c r="CF20" i="25"/>
  <c r="CC20" i="25"/>
  <c r="CO20" i="25"/>
  <c r="BD21" i="25"/>
  <c r="BA21" i="25"/>
  <c r="AZ21" i="25"/>
  <c r="AM21" i="25"/>
  <c r="AU21" i="25"/>
  <c r="BO21" i="25"/>
  <c r="BQ21" i="25"/>
  <c r="BS21" i="25"/>
  <c r="BJ21" i="25"/>
  <c r="BM21" i="25"/>
  <c r="BP21" i="25"/>
  <c r="CK21" i="25" s="1"/>
  <c r="AV21" i="25"/>
  <c r="AS21" i="25"/>
  <c r="AR21" i="25"/>
  <c r="AQ21" i="25"/>
  <c r="AY21" i="25"/>
  <c r="BW21" i="25"/>
  <c r="BR21" i="25"/>
  <c r="BX21" i="25"/>
  <c r="AP21" i="25"/>
  <c r="AO21" i="25"/>
  <c r="AN21" i="25"/>
  <c r="AX21" i="25"/>
  <c r="AT21" i="25"/>
  <c r="BH21" i="25"/>
  <c r="BY21" i="25"/>
  <c r="CT21" i="25" s="1"/>
  <c r="BN21" i="25"/>
  <c r="CI21" i="25" s="1"/>
  <c r="BV21" i="25"/>
  <c r="CQ21" i="25" s="1"/>
  <c r="BL21" i="25"/>
  <c r="AL21" i="25"/>
  <c r="AK21" i="25"/>
  <c r="AW21" i="25"/>
  <c r="BB21" i="25"/>
  <c r="BC21" i="25"/>
  <c r="BK21" i="25"/>
  <c r="BU21" i="25"/>
  <c r="BG21" i="25"/>
  <c r="BI21" i="25"/>
  <c r="CD21" i="25" s="1"/>
  <c r="BF21" i="25"/>
  <c r="CA21" i="25" s="1"/>
  <c r="CW21" i="25"/>
  <c r="CX21" i="25" s="1"/>
  <c r="CY21" i="25" s="1"/>
  <c r="BT21" i="25"/>
  <c r="O22" i="25"/>
  <c r="B23" i="25"/>
  <c r="J23" i="31"/>
  <c r="B24" i="31"/>
  <c r="L35" i="31"/>
  <c r="CP21" i="25" l="1"/>
  <c r="CF21" i="25"/>
  <c r="CO21" i="25"/>
  <c r="CB21" i="25"/>
  <c r="CG21" i="25"/>
  <c r="CC21" i="25"/>
  <c r="CN21" i="25"/>
  <c r="CS21" i="25"/>
  <c r="CL21" i="25"/>
  <c r="CM21" i="25"/>
  <c r="CH21" i="25"/>
  <c r="CJ21" i="25"/>
  <c r="CR21" i="25"/>
  <c r="CE21" i="25"/>
  <c r="CU20" i="25"/>
  <c r="C20" i="25" s="1"/>
  <c r="L36" i="31"/>
  <c r="B24" i="25"/>
  <c r="O23" i="25"/>
  <c r="B25" i="31"/>
  <c r="J24" i="31"/>
  <c r="AZ22" i="25"/>
  <c r="AR22" i="25"/>
  <c r="AQ22" i="25"/>
  <c r="AK22" i="25"/>
  <c r="AN22" i="25"/>
  <c r="BL22" i="25"/>
  <c r="BU22" i="25"/>
  <c r="BI22" i="25"/>
  <c r="BO22" i="25"/>
  <c r="BX22" i="25"/>
  <c r="BD22" i="25"/>
  <c r="BA22" i="25"/>
  <c r="BB22" i="25"/>
  <c r="BV22" i="25"/>
  <c r="BQ22" i="25"/>
  <c r="AW22" i="25"/>
  <c r="AY22" i="25"/>
  <c r="AX22" i="25"/>
  <c r="BM22" i="25"/>
  <c r="CH22" i="25" s="1"/>
  <c r="BH22" i="25"/>
  <c r="AS22" i="25"/>
  <c r="AM22" i="25"/>
  <c r="AL22" i="25"/>
  <c r="AP22" i="25"/>
  <c r="BC22" i="25"/>
  <c r="BK22" i="25"/>
  <c r="BF22" i="25"/>
  <c r="BP22" i="25"/>
  <c r="BY22" i="25"/>
  <c r="CT22" i="25" s="1"/>
  <c r="BN22" i="25"/>
  <c r="AO22" i="25"/>
  <c r="AU22" i="25"/>
  <c r="BS22" i="25"/>
  <c r="CN22" i="25" s="1"/>
  <c r="BW22" i="25"/>
  <c r="BT22" i="25"/>
  <c r="AV22" i="25"/>
  <c r="AT22" i="25"/>
  <c r="BJ22" i="25"/>
  <c r="BG22" i="25"/>
  <c r="CB22" i="25" s="1"/>
  <c r="CW22" i="25"/>
  <c r="CX22" i="25" s="1"/>
  <c r="CY22" i="25" s="1"/>
  <c r="BR22" i="25"/>
  <c r="CD22" i="25" l="1"/>
  <c r="CO22" i="25"/>
  <c r="CP22" i="25"/>
  <c r="CE22" i="25"/>
  <c r="CR22" i="25"/>
  <c r="CI22" i="25"/>
  <c r="CG22" i="25"/>
  <c r="CM22" i="25"/>
  <c r="CA22" i="25"/>
  <c r="CU21" i="25"/>
  <c r="C21" i="25" s="1"/>
  <c r="CJ22" i="25"/>
  <c r="CK22" i="25"/>
  <c r="CC22" i="25"/>
  <c r="CL22" i="25"/>
  <c r="CF22" i="25"/>
  <c r="CQ22" i="25"/>
  <c r="CS22" i="25"/>
  <c r="BD23" i="25"/>
  <c r="BA23" i="25"/>
  <c r="AZ23" i="25"/>
  <c r="AR23" i="25"/>
  <c r="BB23" i="25"/>
  <c r="BJ23" i="25"/>
  <c r="BW23" i="25"/>
  <c r="BR23" i="25"/>
  <c r="BV23" i="25"/>
  <c r="CQ23" i="25" s="1"/>
  <c r="BH23" i="25"/>
  <c r="BM23" i="25"/>
  <c r="AP23" i="25"/>
  <c r="AN23" i="25"/>
  <c r="BX23" i="25"/>
  <c r="BS23" i="25"/>
  <c r="BO23" i="25"/>
  <c r="AK23" i="25"/>
  <c r="AX23" i="25"/>
  <c r="AU23" i="25"/>
  <c r="BY23" i="25"/>
  <c r="BN23" i="25"/>
  <c r="BL23" i="25"/>
  <c r="AW23" i="25"/>
  <c r="AV23" i="25"/>
  <c r="AS23" i="25"/>
  <c r="AM23" i="25"/>
  <c r="BC23" i="25"/>
  <c r="BP23" i="25"/>
  <c r="CW23" i="25"/>
  <c r="CX23" i="25" s="1"/>
  <c r="CY23" i="25" s="1"/>
  <c r="BU23" i="25"/>
  <c r="BF23" i="25"/>
  <c r="BK23" i="25"/>
  <c r="CF23" i="25" s="1"/>
  <c r="AQ23" i="25"/>
  <c r="AO23" i="25"/>
  <c r="AT23" i="25"/>
  <c r="BQ23" i="25"/>
  <c r="CL23" i="25" s="1"/>
  <c r="BG23" i="25"/>
  <c r="CB23" i="25" s="1"/>
  <c r="AL23" i="25"/>
  <c r="AY23" i="25"/>
  <c r="BT23" i="25"/>
  <c r="BI23" i="25"/>
  <c r="CD23" i="25" s="1"/>
  <c r="B26" i="31"/>
  <c r="J25" i="31"/>
  <c r="B25" i="25"/>
  <c r="O24" i="25"/>
  <c r="CN23" i="25" l="1"/>
  <c r="CU22" i="25"/>
  <c r="C22" i="25" s="1"/>
  <c r="CA23" i="25"/>
  <c r="CH23" i="25"/>
  <c r="CO23" i="25"/>
  <c r="CK23" i="25"/>
  <c r="CT23" i="25"/>
  <c r="CJ23" i="25"/>
  <c r="CM23" i="25"/>
  <c r="CR23" i="25"/>
  <c r="CP23" i="25"/>
  <c r="CG23" i="25"/>
  <c r="CS23" i="25"/>
  <c r="CC23" i="25"/>
  <c r="CE23" i="25"/>
  <c r="CI23" i="25"/>
  <c r="AZ24" i="25"/>
  <c r="BD24" i="25"/>
  <c r="AS24" i="25"/>
  <c r="AL24" i="25"/>
  <c r="AT24" i="25"/>
  <c r="BT24" i="25"/>
  <c r="BR24" i="25"/>
  <c r="BQ24" i="25"/>
  <c r="BS24" i="25"/>
  <c r="BK24" i="25"/>
  <c r="BH24" i="25"/>
  <c r="CW24" i="25"/>
  <c r="CX24" i="25" s="1"/>
  <c r="CY24" i="25" s="1"/>
  <c r="AQ24" i="25"/>
  <c r="AO24" i="25"/>
  <c r="BL24" i="25"/>
  <c r="BW24" i="25"/>
  <c r="AM24" i="25"/>
  <c r="BC24" i="25"/>
  <c r="BJ24" i="25"/>
  <c r="BI24" i="25"/>
  <c r="BM24" i="25"/>
  <c r="AR24" i="25"/>
  <c r="AW24" i="25"/>
  <c r="BB24" i="25"/>
  <c r="AK24" i="25"/>
  <c r="AU24" i="25"/>
  <c r="BX24" i="25"/>
  <c r="BO24" i="25"/>
  <c r="CJ24" i="25" s="1"/>
  <c r="BG24" i="25"/>
  <c r="BP24" i="25"/>
  <c r="CK24" i="25" s="1"/>
  <c r="AN24" i="25"/>
  <c r="AV24" i="25"/>
  <c r="AX24" i="25"/>
  <c r="BV24" i="25"/>
  <c r="BF24" i="25"/>
  <c r="CA24" i="25" s="1"/>
  <c r="BA24" i="25"/>
  <c r="AP24" i="25"/>
  <c r="AY24" i="25"/>
  <c r="BY24" i="25"/>
  <c r="CT24" i="25" s="1"/>
  <c r="BN24" i="25"/>
  <c r="BU24" i="25"/>
  <c r="CP24" i="25" s="1"/>
  <c r="B26" i="25"/>
  <c r="O25" i="25"/>
  <c r="J26" i="31"/>
  <c r="B27" i="31"/>
  <c r="CI24" i="25" l="1"/>
  <c r="CB24" i="25"/>
  <c r="CS24" i="25"/>
  <c r="CQ24" i="25"/>
  <c r="CU23" i="25"/>
  <c r="C23" i="25" s="1"/>
  <c r="CE24" i="25"/>
  <c r="CG24" i="25"/>
  <c r="CC24" i="25"/>
  <c r="CU24" i="25" s="1"/>
  <c r="C24" i="25" s="1"/>
  <c r="CM24" i="25"/>
  <c r="CF24" i="25"/>
  <c r="CO24" i="25"/>
  <c r="CH24" i="25"/>
  <c r="CN24" i="25"/>
  <c r="CD24" i="25"/>
  <c r="CR24" i="25"/>
  <c r="CL24" i="25"/>
  <c r="BA25" i="25"/>
  <c r="AP25" i="25"/>
  <c r="BD25" i="25"/>
  <c r="AV25" i="25"/>
  <c r="AU25" i="25"/>
  <c r="BV25" i="25"/>
  <c r="CQ25" i="25" s="1"/>
  <c r="CW25" i="25"/>
  <c r="CX25" i="25" s="1"/>
  <c r="CY25" i="25" s="1"/>
  <c r="BR25" i="25"/>
  <c r="BT25" i="25"/>
  <c r="BS25" i="25"/>
  <c r="AR25" i="25"/>
  <c r="BB25" i="25"/>
  <c r="AY25" i="25"/>
  <c r="BP25" i="25"/>
  <c r="CK25" i="25" s="1"/>
  <c r="BL25" i="25"/>
  <c r="AK25" i="25"/>
  <c r="AM25" i="25"/>
  <c r="BI25" i="25"/>
  <c r="BG25" i="25"/>
  <c r="BM25" i="25"/>
  <c r="CH25" i="25" s="1"/>
  <c r="BJ25" i="25"/>
  <c r="BW25" i="25"/>
  <c r="AS25" i="25"/>
  <c r="AZ25" i="25"/>
  <c r="AW25" i="25"/>
  <c r="AL25" i="25"/>
  <c r="AT25" i="25"/>
  <c r="BH25" i="25"/>
  <c r="BN25" i="25"/>
  <c r="BO25" i="25"/>
  <c r="BX25" i="25"/>
  <c r="BY25" i="25"/>
  <c r="CT25" i="25" s="1"/>
  <c r="AO25" i="25"/>
  <c r="AQ25" i="25"/>
  <c r="BQ25" i="25"/>
  <c r="CL25" i="25" s="1"/>
  <c r="BF25" i="25"/>
  <c r="CA25" i="25" s="1"/>
  <c r="BK25" i="25"/>
  <c r="AN25" i="25"/>
  <c r="AX25" i="25"/>
  <c r="BC25" i="25"/>
  <c r="BU25" i="25"/>
  <c r="CP25" i="25" s="1"/>
  <c r="J27" i="31"/>
  <c r="B28" i="31"/>
  <c r="O26" i="25"/>
  <c r="B27" i="25"/>
  <c r="CC25" i="25" l="1"/>
  <c r="CB25" i="25"/>
  <c r="CG25" i="25"/>
  <c r="CF25" i="25"/>
  <c r="CJ25" i="25"/>
  <c r="CR25" i="25"/>
  <c r="CD25" i="25"/>
  <c r="CN25" i="25"/>
  <c r="CI25" i="25"/>
  <c r="CE25" i="25"/>
  <c r="CO25" i="25"/>
  <c r="CM25" i="25"/>
  <c r="CS25" i="25"/>
  <c r="AW26" i="25"/>
  <c r="BD26" i="25"/>
  <c r="AZ26" i="25"/>
  <c r="AK26" i="25"/>
  <c r="AN26" i="25"/>
  <c r="BT26" i="25"/>
  <c r="BS26" i="25"/>
  <c r="BQ26" i="25"/>
  <c r="BF26" i="25"/>
  <c r="CA26" i="25" s="1"/>
  <c r="BI26" i="25"/>
  <c r="AM26" i="25"/>
  <c r="AT26" i="25"/>
  <c r="BH26" i="25"/>
  <c r="BO26" i="25"/>
  <c r="CW26" i="25"/>
  <c r="CX26" i="25" s="1"/>
  <c r="CY26" i="25" s="1"/>
  <c r="BW26" i="25"/>
  <c r="AO26" i="25"/>
  <c r="AY26" i="25"/>
  <c r="AX26" i="25"/>
  <c r="BY26" i="25"/>
  <c r="BX26" i="25"/>
  <c r="AR26" i="25"/>
  <c r="AV26" i="25"/>
  <c r="BA26" i="25"/>
  <c r="AS26" i="25"/>
  <c r="BB26" i="25"/>
  <c r="BJ26" i="25"/>
  <c r="BM26" i="25"/>
  <c r="BL26" i="25"/>
  <c r="BU26" i="25"/>
  <c r="BK26" i="25"/>
  <c r="AQ26" i="25"/>
  <c r="AU26" i="25"/>
  <c r="BC26" i="25"/>
  <c r="BG26" i="25"/>
  <c r="BV26" i="25"/>
  <c r="CQ26" i="25" s="1"/>
  <c r="AL26" i="25"/>
  <c r="AP26" i="25"/>
  <c r="BR26" i="25"/>
  <c r="CM26" i="25" s="1"/>
  <c r="BN26" i="25"/>
  <c r="BP26" i="25"/>
  <c r="CK26" i="25" s="1"/>
  <c r="J28" i="31"/>
  <c r="B29" i="31"/>
  <c r="O27" i="25"/>
  <c r="B28" i="25"/>
  <c r="CG26" i="25" l="1"/>
  <c r="CS26" i="25"/>
  <c r="CT26" i="25"/>
  <c r="CP26" i="25"/>
  <c r="CU25" i="25"/>
  <c r="C25" i="25" s="1"/>
  <c r="CC26" i="25"/>
  <c r="CI26" i="25"/>
  <c r="CH26" i="25"/>
  <c r="CR26" i="25"/>
  <c r="CL26" i="25"/>
  <c r="CB26" i="25"/>
  <c r="CF26" i="25"/>
  <c r="CE26" i="25"/>
  <c r="CN26" i="25"/>
  <c r="CJ26" i="25"/>
  <c r="CD26" i="25"/>
  <c r="CO26" i="25"/>
  <c r="BD27" i="25"/>
  <c r="AL27" i="25"/>
  <c r="AQ27" i="25"/>
  <c r="AW27" i="25"/>
  <c r="AX27" i="25"/>
  <c r="BS27" i="25"/>
  <c r="BL27" i="25"/>
  <c r="CG27" i="25" s="1"/>
  <c r="BW27" i="25"/>
  <c r="BP27" i="25"/>
  <c r="BX27" i="25"/>
  <c r="AS27" i="25"/>
  <c r="AR27" i="25"/>
  <c r="CW27" i="25"/>
  <c r="CX27" i="25" s="1"/>
  <c r="CY27" i="25" s="1"/>
  <c r="BT27" i="25"/>
  <c r="AO27" i="25"/>
  <c r="BC27" i="25"/>
  <c r="AU27" i="25"/>
  <c r="BR27" i="25"/>
  <c r="CM27" i="25" s="1"/>
  <c r="BF27" i="25"/>
  <c r="BI27" i="25"/>
  <c r="AV27" i="25"/>
  <c r="BA27" i="25"/>
  <c r="AZ27" i="25"/>
  <c r="AY27" i="25"/>
  <c r="AN27" i="25"/>
  <c r="BO27" i="25"/>
  <c r="BU27" i="25"/>
  <c r="CP27" i="25" s="1"/>
  <c r="BK27" i="25"/>
  <c r="BH27" i="25"/>
  <c r="BG27" i="25"/>
  <c r="CB27" i="25" s="1"/>
  <c r="BM27" i="25"/>
  <c r="AP27" i="25"/>
  <c r="BB27" i="25"/>
  <c r="AT27" i="25"/>
  <c r="BY27" i="25"/>
  <c r="CT27" i="25" s="1"/>
  <c r="BV27" i="25"/>
  <c r="BQ27" i="25"/>
  <c r="CL27" i="25" s="1"/>
  <c r="AK27" i="25"/>
  <c r="AM27" i="25"/>
  <c r="BJ27" i="25"/>
  <c r="BN27" i="25"/>
  <c r="B30" i="31"/>
  <c r="J29" i="31"/>
  <c r="B29" i="25"/>
  <c r="O28" i="25"/>
  <c r="CI27" i="25" l="1"/>
  <c r="CE27" i="25"/>
  <c r="CQ27" i="25"/>
  <c r="CU26" i="25"/>
  <c r="C26" i="25" s="1"/>
  <c r="CH27" i="25"/>
  <c r="CJ27" i="25"/>
  <c r="CO27" i="25"/>
  <c r="CS27" i="25"/>
  <c r="CN27" i="25"/>
  <c r="CC27" i="25"/>
  <c r="CK27" i="25"/>
  <c r="CF27" i="25"/>
  <c r="CD27" i="25"/>
  <c r="CR27" i="25"/>
  <c r="CA27" i="25"/>
  <c r="AZ28" i="25"/>
  <c r="AO28" i="25"/>
  <c r="AL28" i="25"/>
  <c r="AX28" i="25"/>
  <c r="BN28" i="25"/>
  <c r="BU28" i="25"/>
  <c r="BJ28" i="25"/>
  <c r="BO28" i="25"/>
  <c r="BM28" i="25"/>
  <c r="BY28" i="25"/>
  <c r="BS28" i="25"/>
  <c r="BR28" i="25"/>
  <c r="BQ28" i="25"/>
  <c r="AN28" i="25"/>
  <c r="AV28" i="25"/>
  <c r="BB28" i="25"/>
  <c r="BG28" i="25"/>
  <c r="CW28" i="25"/>
  <c r="CX28" i="25" s="1"/>
  <c r="CY28" i="25" s="1"/>
  <c r="BA28" i="25"/>
  <c r="AP28" i="25"/>
  <c r="AY28" i="25"/>
  <c r="BW28" i="25"/>
  <c r="BK28" i="25"/>
  <c r="AR28" i="25"/>
  <c r="AW28" i="25"/>
  <c r="AS28" i="25"/>
  <c r="AT28" i="25"/>
  <c r="BX28" i="25"/>
  <c r="BI28" i="25"/>
  <c r="CD28" i="25" s="1"/>
  <c r="AQ28" i="25"/>
  <c r="AU28" i="25"/>
  <c r="BH28" i="25"/>
  <c r="BV28" i="25"/>
  <c r="BP28" i="25"/>
  <c r="AM28" i="25"/>
  <c r="BC28" i="25"/>
  <c r="BL28" i="25"/>
  <c r="BF28" i="25"/>
  <c r="BT28" i="25"/>
  <c r="B30" i="25"/>
  <c r="O29" i="25"/>
  <c r="B31" i="31"/>
  <c r="J30" i="31"/>
  <c r="CR28" i="25" l="1"/>
  <c r="CP28" i="25"/>
  <c r="CG28" i="25"/>
  <c r="CQ28" i="25"/>
  <c r="CB28" i="25"/>
  <c r="CO28" i="25"/>
  <c r="CC28" i="25"/>
  <c r="CS28" i="25"/>
  <c r="CL28" i="25"/>
  <c r="CH28" i="25"/>
  <c r="CI28" i="25"/>
  <c r="AK28" i="25"/>
  <c r="CA28" i="25" s="1"/>
  <c r="CM28" i="25"/>
  <c r="CJ28" i="25"/>
  <c r="CU27" i="25"/>
  <c r="C27" i="25" s="1"/>
  <c r="CK28" i="25"/>
  <c r="CF28" i="25"/>
  <c r="CN28" i="25"/>
  <c r="CE28" i="25"/>
  <c r="BD28" i="25"/>
  <c r="CT28" i="25" s="1"/>
  <c r="J31" i="31"/>
  <c r="B32" i="31"/>
  <c r="AW29" i="25"/>
  <c r="BD29" i="25"/>
  <c r="AM29" i="25"/>
  <c r="AR29" i="25"/>
  <c r="AN29" i="25"/>
  <c r="BS29" i="25"/>
  <c r="BO29" i="25"/>
  <c r="BR29" i="25"/>
  <c r="CM29" i="25" s="1"/>
  <c r="BY29" i="25"/>
  <c r="BU29" i="25"/>
  <c r="AP29" i="25"/>
  <c r="AT29" i="25"/>
  <c r="BQ29" i="25"/>
  <c r="BK29" i="25"/>
  <c r="AZ29" i="25"/>
  <c r="AO29" i="25"/>
  <c r="BN29" i="25"/>
  <c r="BP29" i="25"/>
  <c r="BL29" i="25"/>
  <c r="AQ29" i="25"/>
  <c r="AV29" i="25"/>
  <c r="BA29" i="25"/>
  <c r="AX29" i="25"/>
  <c r="AY29" i="25"/>
  <c r="BG29" i="25"/>
  <c r="BW29" i="25"/>
  <c r="BX29" i="25"/>
  <c r="BH29" i="25"/>
  <c r="CC29" i="25" s="1"/>
  <c r="BI29" i="25"/>
  <c r="CD29" i="25" s="1"/>
  <c r="AL29" i="25"/>
  <c r="AS29" i="25"/>
  <c r="BB29" i="25"/>
  <c r="BF29" i="25"/>
  <c r="BJ29" i="25"/>
  <c r="BT29" i="25"/>
  <c r="AK29" i="25"/>
  <c r="AU29" i="25"/>
  <c r="BC29" i="25"/>
  <c r="CW29" i="25"/>
  <c r="CX29" i="25" s="1"/>
  <c r="CY29" i="25" s="1"/>
  <c r="BV29" i="25"/>
  <c r="BM29" i="25"/>
  <c r="O30" i="25"/>
  <c r="B31" i="25"/>
  <c r="CQ29" i="25" l="1"/>
  <c r="CS29" i="25"/>
  <c r="CU28" i="25"/>
  <c r="C28" i="25" s="1"/>
  <c r="CO29" i="25"/>
  <c r="CT29" i="25"/>
  <c r="CG29" i="25"/>
  <c r="CJ29" i="25"/>
  <c r="CE29" i="25"/>
  <c r="CR29" i="25"/>
  <c r="CK29" i="25"/>
  <c r="CF29" i="25"/>
  <c r="CP29" i="25"/>
  <c r="CN29" i="25"/>
  <c r="CH29" i="25"/>
  <c r="CA29" i="25"/>
  <c r="CB29" i="25"/>
  <c r="CI29" i="25"/>
  <c r="CL29" i="25"/>
  <c r="O31" i="25"/>
  <c r="B32" i="25"/>
  <c r="J32" i="31"/>
  <c r="B33" i="31"/>
  <c r="BA30" i="25"/>
  <c r="AV30" i="25"/>
  <c r="BD30" i="25"/>
  <c r="AM30" i="25"/>
  <c r="AY30" i="25"/>
  <c r="BN30" i="25"/>
  <c r="BR30" i="25"/>
  <c r="BF30" i="25"/>
  <c r="BH30" i="25"/>
  <c r="BS30" i="25"/>
  <c r="BX30" i="25"/>
  <c r="AR30" i="25"/>
  <c r="AT30" i="25"/>
  <c r="BP30" i="25"/>
  <c r="BW30" i="25"/>
  <c r="AK30" i="25"/>
  <c r="AQ30" i="25"/>
  <c r="AX30" i="25"/>
  <c r="CW30" i="25"/>
  <c r="CX30" i="25" s="1"/>
  <c r="CY30" i="25" s="1"/>
  <c r="BY30" i="25"/>
  <c r="AS30" i="25"/>
  <c r="AZ30" i="25"/>
  <c r="AP30" i="25"/>
  <c r="AL30" i="25"/>
  <c r="BB30" i="25"/>
  <c r="BQ30" i="25"/>
  <c r="CL30" i="25" s="1"/>
  <c r="BL30" i="25"/>
  <c r="CG30" i="25" s="1"/>
  <c r="BG30" i="25"/>
  <c r="BI30" i="25"/>
  <c r="BJ30" i="25"/>
  <c r="AO30" i="25"/>
  <c r="AW30" i="25"/>
  <c r="BC30" i="25"/>
  <c r="BK30" i="25"/>
  <c r="BV30" i="25"/>
  <c r="CQ30" i="25" s="1"/>
  <c r="BU30" i="25"/>
  <c r="AN30" i="25"/>
  <c r="AU30" i="25"/>
  <c r="BM30" i="25"/>
  <c r="BO30" i="25"/>
  <c r="CJ30" i="25" s="1"/>
  <c r="BT30" i="25"/>
  <c r="CO30" i="25" s="1"/>
  <c r="CB30" i="25" l="1"/>
  <c r="CC30" i="25"/>
  <c r="CH30" i="25"/>
  <c r="CF30" i="25"/>
  <c r="CP30" i="25"/>
  <c r="CT30" i="25"/>
  <c r="CE30" i="25"/>
  <c r="CK30" i="25"/>
  <c r="CN30" i="25"/>
  <c r="CI30" i="25"/>
  <c r="CD30" i="25"/>
  <c r="CA30" i="25"/>
  <c r="CU29" i="25"/>
  <c r="C29" i="25" s="1"/>
  <c r="CR30" i="25"/>
  <c r="CS30" i="25"/>
  <c r="CM30" i="25"/>
  <c r="J33" i="31"/>
  <c r="B34" i="31"/>
  <c r="B33" i="25"/>
  <c r="O32" i="25"/>
  <c r="AZ31" i="25"/>
  <c r="AW31" i="25"/>
  <c r="BD31" i="25"/>
  <c r="AO31" i="25"/>
  <c r="BC31" i="25"/>
  <c r="BQ31" i="25"/>
  <c r="BU31" i="25"/>
  <c r="BV31" i="25"/>
  <c r="BI31" i="25"/>
  <c r="BY31" i="25"/>
  <c r="CW31" i="25"/>
  <c r="CX31" i="25" s="1"/>
  <c r="CY31" i="25" s="1"/>
  <c r="BT31" i="25"/>
  <c r="BG31" i="25"/>
  <c r="AM31" i="25"/>
  <c r="AN31" i="25"/>
  <c r="BP31" i="25"/>
  <c r="BF31" i="25"/>
  <c r="BK31" i="25"/>
  <c r="BA31" i="25"/>
  <c r="AK31" i="25"/>
  <c r="AU31" i="25"/>
  <c r="BS31" i="25"/>
  <c r="BL31" i="25"/>
  <c r="BN31" i="25"/>
  <c r="BJ31" i="25"/>
  <c r="CE31" i="25" s="1"/>
  <c r="AR31" i="25"/>
  <c r="AQ31" i="25"/>
  <c r="AV31" i="25"/>
  <c r="AY31" i="25"/>
  <c r="AX31" i="25"/>
  <c r="BO31" i="25"/>
  <c r="BR31" i="25"/>
  <c r="BM31" i="25"/>
  <c r="AL31" i="25"/>
  <c r="AP31" i="25"/>
  <c r="AT31" i="25"/>
  <c r="BH31" i="25"/>
  <c r="BX31" i="25"/>
  <c r="CS31" i="25" s="1"/>
  <c r="BW31" i="25"/>
  <c r="AS31" i="25"/>
  <c r="BB31" i="25"/>
  <c r="CC31" i="25" l="1"/>
  <c r="CH31" i="25"/>
  <c r="CM31" i="25"/>
  <c r="CI31" i="25"/>
  <c r="CK31" i="25"/>
  <c r="CO31" i="25"/>
  <c r="CQ31" i="25"/>
  <c r="CR31" i="25"/>
  <c r="CJ31" i="25"/>
  <c r="CG31" i="25"/>
  <c r="CP31" i="25"/>
  <c r="CN31" i="25"/>
  <c r="CF31" i="25"/>
  <c r="CT31" i="25"/>
  <c r="CL31" i="25"/>
  <c r="CU30" i="25"/>
  <c r="C30" i="25" s="1"/>
  <c r="CA31" i="25"/>
  <c r="CB31" i="25"/>
  <c r="CD31" i="25"/>
  <c r="BD32" i="25"/>
  <c r="AQ32" i="25"/>
  <c r="AK32" i="25"/>
  <c r="AW32" i="25"/>
  <c r="AX32" i="25"/>
  <c r="CW32" i="25"/>
  <c r="CX32" i="25" s="1"/>
  <c r="CY32" i="25" s="1"/>
  <c r="BJ32" i="25"/>
  <c r="BO32" i="25"/>
  <c r="BL32" i="25"/>
  <c r="CG32" i="25" s="1"/>
  <c r="BG32" i="25"/>
  <c r="AP32" i="25"/>
  <c r="AR32" i="25"/>
  <c r="BV32" i="25"/>
  <c r="BW32" i="25"/>
  <c r="BS32" i="25"/>
  <c r="CN32" i="25" s="1"/>
  <c r="AL32" i="25"/>
  <c r="AN32" i="25"/>
  <c r="AY32" i="25"/>
  <c r="BX32" i="25"/>
  <c r="BU32" i="25"/>
  <c r="BN32" i="25"/>
  <c r="AV32" i="25"/>
  <c r="BA32" i="25"/>
  <c r="AZ32" i="25"/>
  <c r="AM32" i="25"/>
  <c r="AT32" i="25"/>
  <c r="BM32" i="25"/>
  <c r="CH32" i="25" s="1"/>
  <c r="BP32" i="25"/>
  <c r="BR32" i="25"/>
  <c r="CM32" i="25" s="1"/>
  <c r="BK32" i="25"/>
  <c r="BT32" i="25"/>
  <c r="CO32" i="25" s="1"/>
  <c r="AS32" i="25"/>
  <c r="BB32" i="25"/>
  <c r="AU32" i="25"/>
  <c r="BI32" i="25"/>
  <c r="CD32" i="25" s="1"/>
  <c r="BY32" i="25"/>
  <c r="CT32" i="25" s="1"/>
  <c r="BF32" i="25"/>
  <c r="AO32" i="25"/>
  <c r="BC32" i="25"/>
  <c r="BH32" i="25"/>
  <c r="BQ32" i="25"/>
  <c r="CL32" i="25" s="1"/>
  <c r="O33" i="25"/>
  <c r="B35" i="31"/>
  <c r="J34" i="31"/>
  <c r="CF32" i="25" l="1"/>
  <c r="CA32" i="25"/>
  <c r="CC32" i="25"/>
  <c r="CK32" i="25"/>
  <c r="CU31" i="25"/>
  <c r="C31" i="25" s="1"/>
  <c r="CR32" i="25"/>
  <c r="CB32" i="25"/>
  <c r="CI32" i="25"/>
  <c r="CQ32" i="25"/>
  <c r="CP32" i="25"/>
  <c r="CJ32" i="25"/>
  <c r="CS32" i="25"/>
  <c r="CE32" i="25"/>
  <c r="J35" i="31"/>
  <c r="B36" i="31"/>
  <c r="BA33" i="25"/>
  <c r="AZ33" i="25"/>
  <c r="AK33" i="25"/>
  <c r="AV33" i="25"/>
  <c r="AN33" i="25"/>
  <c r="BQ33" i="25"/>
  <c r="BN33" i="25"/>
  <c r="BY33" i="25"/>
  <c r="BG33" i="25"/>
  <c r="BF33" i="25"/>
  <c r="AM33" i="25"/>
  <c r="AT33" i="25"/>
  <c r="BL33" i="25"/>
  <c r="BP33" i="25"/>
  <c r="AP33" i="25"/>
  <c r="AU33" i="25"/>
  <c r="BT33" i="25"/>
  <c r="BJ33" i="25"/>
  <c r="BU33" i="25"/>
  <c r="CP33" i="25" s="1"/>
  <c r="AS33" i="25"/>
  <c r="AR33" i="25"/>
  <c r="AW33" i="25"/>
  <c r="AX33" i="25"/>
  <c r="AY33" i="25"/>
  <c r="BR33" i="25"/>
  <c r="CW33" i="25"/>
  <c r="CX33" i="25" s="1"/>
  <c r="CY33" i="25" s="1"/>
  <c r="BW33" i="25"/>
  <c r="BM33" i="25"/>
  <c r="CH33" i="25" s="1"/>
  <c r="BK33" i="25"/>
  <c r="AO33" i="25"/>
  <c r="AQ33" i="25"/>
  <c r="BB33" i="25"/>
  <c r="BX33" i="25"/>
  <c r="BH33" i="25"/>
  <c r="CC33" i="25" s="1"/>
  <c r="BV33" i="25"/>
  <c r="CQ33" i="25" s="1"/>
  <c r="AL33" i="25"/>
  <c r="BC33" i="25"/>
  <c r="BI33" i="25"/>
  <c r="CD33" i="25" s="1"/>
  <c r="BO33" i="25"/>
  <c r="CJ33" i="25" s="1"/>
  <c r="BS33" i="25"/>
  <c r="CU32" i="25" l="1"/>
  <c r="C32" i="25" s="1"/>
  <c r="CN33" i="25"/>
  <c r="CM33" i="25"/>
  <c r="BD33" i="25"/>
  <c r="CT33" i="25" s="1"/>
  <c r="CR33" i="25"/>
  <c r="CI33" i="25"/>
  <c r="CK33" i="25"/>
  <c r="CA33" i="25"/>
  <c r="CL33" i="25"/>
  <c r="CS33" i="25"/>
  <c r="CF33" i="25"/>
  <c r="CO33" i="25"/>
  <c r="CG33" i="25"/>
  <c r="CB33" i="25"/>
  <c r="B37" i="31"/>
  <c r="J36" i="31"/>
  <c r="CU33" i="25" l="1"/>
  <c r="C33" i="25" s="1"/>
  <c r="B38" i="3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s="1"/>
  <c r="N29" i="31" l="1"/>
  <c r="M27" i="31"/>
  <c r="N27" i="31"/>
  <c r="O27" i="31"/>
  <c r="O26" i="31"/>
  <c r="O29" i="31"/>
  <c r="M26" i="31"/>
  <c r="N26" i="31"/>
  <c r="N28" i="31"/>
  <c r="N30" i="31"/>
  <c r="M28" i="31"/>
  <c r="O28" i="31"/>
  <c r="M29" i="31"/>
  <c r="O30" i="31"/>
  <c r="M30" i="31"/>
  <c r="M31" i="31"/>
  <c r="N31" i="31"/>
  <c r="O31" i="31"/>
  <c r="M32" i="31"/>
  <c r="N32" i="31"/>
  <c r="O32" i="31"/>
  <c r="O33" i="31"/>
  <c r="N34" i="31"/>
  <c r="N33" i="31"/>
  <c r="O34" i="31"/>
  <c r="M34" i="31"/>
  <c r="M33" i="31"/>
  <c r="M35" i="31"/>
  <c r="N35" i="31"/>
  <c r="O35" i="31"/>
  <c r="M36" i="31"/>
  <c r="O36" i="31"/>
  <c r="N36" i="31"/>
  <c r="R27" i="31" l="1"/>
  <c r="R33" i="31"/>
  <c r="R35" i="31"/>
  <c r="R31" i="31"/>
  <c r="P35" i="31"/>
  <c r="Q35" i="31"/>
  <c r="R32" i="31"/>
  <c r="P31" i="31"/>
  <c r="Q31" i="31"/>
  <c r="R26" i="31"/>
  <c r="P36" i="31"/>
  <c r="Q36" i="31"/>
  <c r="Q33" i="31"/>
  <c r="P33" i="31"/>
  <c r="R34" i="31"/>
  <c r="P32" i="31"/>
  <c r="Q32" i="31"/>
  <c r="Q30" i="31"/>
  <c r="P30" i="31"/>
  <c r="P28" i="31"/>
  <c r="Q28" i="31"/>
  <c r="Q26" i="31"/>
  <c r="P26" i="31"/>
  <c r="P34" i="31"/>
  <c r="Q34" i="31"/>
  <c r="R30" i="31"/>
  <c r="P27" i="31"/>
  <c r="Q27" i="31"/>
  <c r="R36" i="31"/>
  <c r="Q29" i="31"/>
  <c r="P29" i="31"/>
  <c r="R28" i="31"/>
  <c r="R29" i="31"/>
  <c r="L13" i="31"/>
  <c r="F131" i="31" l="1"/>
  <c r="F127" i="31"/>
  <c r="F122" i="31"/>
  <c r="F119" i="31"/>
  <c r="F116" i="31"/>
  <c r="F112" i="31"/>
  <c r="F107" i="31"/>
  <c r="F105" i="31"/>
  <c r="F132" i="31"/>
  <c r="F130" i="31"/>
  <c r="F126" i="31"/>
  <c r="F118" i="31"/>
  <c r="F114" i="31"/>
  <c r="F111" i="31"/>
  <c r="F124" i="31"/>
  <c r="F121" i="31"/>
  <c r="F117" i="31"/>
  <c r="F109" i="31"/>
  <c r="F98" i="31"/>
  <c r="F92" i="31"/>
  <c r="F89" i="31"/>
  <c r="F84" i="31"/>
  <c r="F82" i="31"/>
  <c r="F78" i="31"/>
  <c r="F75" i="31"/>
  <c r="F70" i="31"/>
  <c r="F67" i="31"/>
  <c r="F63" i="31"/>
  <c r="F56" i="31"/>
  <c r="F52" i="31"/>
  <c r="F45" i="31"/>
  <c r="F41" i="31"/>
  <c r="F36" i="31"/>
  <c r="F35" i="31"/>
  <c r="F31" i="31"/>
  <c r="F26" i="31"/>
  <c r="F25" i="31"/>
  <c r="F23" i="31"/>
  <c r="F19" i="31"/>
  <c r="F15" i="31"/>
  <c r="F125" i="31"/>
  <c r="F120" i="31"/>
  <c r="F110" i="31"/>
  <c r="F104" i="31"/>
  <c r="F101" i="31"/>
  <c r="F97" i="31"/>
  <c r="F96" i="31"/>
  <c r="F94" i="31"/>
  <c r="F90" i="31"/>
  <c r="F86" i="31"/>
  <c r="F85" i="31"/>
  <c r="F83" i="31"/>
  <c r="F79" i="31"/>
  <c r="F74" i="31"/>
  <c r="F68" i="31"/>
  <c r="F65" i="31"/>
  <c r="F57" i="31"/>
  <c r="F53" i="31"/>
  <c r="F49" i="31"/>
  <c r="F48" i="31"/>
  <c r="F46" i="31"/>
  <c r="F42" i="31"/>
  <c r="F39" i="31"/>
  <c r="F37" i="31"/>
  <c r="F34" i="31"/>
  <c r="F30" i="31"/>
  <c r="F27" i="31"/>
  <c r="F20" i="31"/>
  <c r="F16" i="31"/>
  <c r="F128" i="31"/>
  <c r="F113" i="31"/>
  <c r="F106" i="31"/>
  <c r="F103" i="31"/>
  <c r="F100" i="31"/>
  <c r="F95" i="31"/>
  <c r="F91" i="31"/>
  <c r="F87" i="31"/>
  <c r="F80" i="31"/>
  <c r="F76" i="31"/>
  <c r="F71" i="31"/>
  <c r="F64" i="31"/>
  <c r="F61" i="31"/>
  <c r="F60" i="31"/>
  <c r="F58" i="31"/>
  <c r="F55" i="31"/>
  <c r="F51" i="31"/>
  <c r="F47" i="31"/>
  <c r="F43" i="31"/>
  <c r="F38" i="31"/>
  <c r="F32" i="31"/>
  <c r="F29" i="31"/>
  <c r="F21" i="31"/>
  <c r="F18" i="31"/>
  <c r="F13" i="31"/>
  <c r="F129" i="31"/>
  <c r="F123" i="31"/>
  <c r="F115" i="31"/>
  <c r="F108" i="31"/>
  <c r="F102" i="31"/>
  <c r="F99" i="31"/>
  <c r="F93" i="31"/>
  <c r="F88" i="31"/>
  <c r="F81" i="31"/>
  <c r="F77" i="31"/>
  <c r="F73" i="31"/>
  <c r="F72" i="31"/>
  <c r="F69" i="31"/>
  <c r="F66" i="31"/>
  <c r="F62" i="31"/>
  <c r="F59" i="31"/>
  <c r="F54" i="31"/>
  <c r="F50" i="31"/>
  <c r="F44" i="31"/>
  <c r="F40" i="31"/>
  <c r="F33" i="31"/>
  <c r="F28" i="31"/>
  <c r="F24" i="31"/>
  <c r="F22" i="31"/>
  <c r="F17" i="31"/>
  <c r="F14" i="31"/>
  <c r="D14" i="31" l="1"/>
  <c r="K14" i="31"/>
  <c r="D62" i="31"/>
  <c r="K62" i="31"/>
  <c r="C62" i="31"/>
  <c r="D108" i="31"/>
  <c r="K108" i="31"/>
  <c r="C108" i="31"/>
  <c r="K58" i="31"/>
  <c r="D58" i="31"/>
  <c r="C58" i="31"/>
  <c r="D100" i="31"/>
  <c r="K100" i="31"/>
  <c r="C100" i="31"/>
  <c r="K39" i="31"/>
  <c r="D39" i="31"/>
  <c r="C39" i="31"/>
  <c r="D65" i="31"/>
  <c r="K65" i="31"/>
  <c r="C65" i="31"/>
  <c r="D104" i="31"/>
  <c r="K104" i="31"/>
  <c r="C104" i="31"/>
  <c r="K56" i="31"/>
  <c r="D56" i="31"/>
  <c r="C56" i="31"/>
  <c r="D89" i="31"/>
  <c r="K89" i="31"/>
  <c r="C89" i="31"/>
  <c r="D132" i="31"/>
  <c r="K132" i="31"/>
  <c r="C132" i="31"/>
  <c r="K122" i="31"/>
  <c r="D122" i="31"/>
  <c r="C122" i="31"/>
  <c r="D17" i="31"/>
  <c r="K17" i="31"/>
  <c r="D50" i="31"/>
  <c r="K50" i="31"/>
  <c r="C50" i="31"/>
  <c r="D77" i="31"/>
  <c r="K77" i="31"/>
  <c r="C77" i="31"/>
  <c r="D115" i="31"/>
  <c r="K115" i="31"/>
  <c r="C115" i="31"/>
  <c r="D22" i="31"/>
  <c r="K22" i="31"/>
  <c r="K54" i="31"/>
  <c r="D54" i="31"/>
  <c r="C54" i="31"/>
  <c r="K69" i="31"/>
  <c r="D69" i="31"/>
  <c r="C69" i="31"/>
  <c r="D81" i="31"/>
  <c r="K81" i="31"/>
  <c r="C81" i="31"/>
  <c r="K99" i="31"/>
  <c r="D99" i="31"/>
  <c r="C99" i="31"/>
  <c r="D123" i="31"/>
  <c r="K123" i="31"/>
  <c r="C123" i="31"/>
  <c r="D18" i="31"/>
  <c r="K18" i="31"/>
  <c r="K32" i="31"/>
  <c r="D32" i="31"/>
  <c r="C32" i="31"/>
  <c r="D51" i="31"/>
  <c r="K51" i="31"/>
  <c r="C51" i="31"/>
  <c r="K61" i="31"/>
  <c r="O20" i="31"/>
  <c r="D61" i="31"/>
  <c r="C61" i="31"/>
  <c r="D76" i="31"/>
  <c r="K76" i="31"/>
  <c r="C76" i="31"/>
  <c r="K95" i="31"/>
  <c r="D95" i="31"/>
  <c r="C95" i="31"/>
  <c r="D106" i="31"/>
  <c r="K106" i="31"/>
  <c r="C106" i="31"/>
  <c r="D16" i="31"/>
  <c r="K16" i="31"/>
  <c r="K34" i="31"/>
  <c r="D34" i="31"/>
  <c r="C34" i="31"/>
  <c r="D46" i="31"/>
  <c r="K46" i="31"/>
  <c r="C46" i="31"/>
  <c r="D57" i="31"/>
  <c r="K57" i="31"/>
  <c r="C57" i="31"/>
  <c r="K74" i="31"/>
  <c r="D74" i="31"/>
  <c r="C74" i="31"/>
  <c r="K86" i="31"/>
  <c r="D86" i="31"/>
  <c r="C86" i="31"/>
  <c r="D97" i="31"/>
  <c r="O23" i="31"/>
  <c r="K97" i="31"/>
  <c r="C97" i="31"/>
  <c r="D120" i="31"/>
  <c r="K120" i="31"/>
  <c r="C120" i="31"/>
  <c r="D19" i="31"/>
  <c r="K19" i="31"/>
  <c r="K31" i="31"/>
  <c r="D31" i="31"/>
  <c r="C31" i="31"/>
  <c r="K45" i="31"/>
  <c r="D45" i="31"/>
  <c r="C45" i="31"/>
  <c r="K67" i="31"/>
  <c r="D67" i="31"/>
  <c r="C67" i="31"/>
  <c r="D82" i="31"/>
  <c r="K82" i="31"/>
  <c r="C82" i="31"/>
  <c r="K98" i="31"/>
  <c r="D98" i="31"/>
  <c r="C98" i="31"/>
  <c r="K124" i="31"/>
  <c r="D124" i="31"/>
  <c r="C124" i="31"/>
  <c r="D126" i="31"/>
  <c r="K126" i="31"/>
  <c r="C126" i="31"/>
  <c r="K116" i="31"/>
  <c r="D116" i="31"/>
  <c r="C116" i="31"/>
  <c r="K131" i="31"/>
  <c r="D131" i="31"/>
  <c r="C131" i="31"/>
  <c r="K44" i="31"/>
  <c r="D44" i="31"/>
  <c r="C44" i="31"/>
  <c r="K88" i="31"/>
  <c r="D88" i="31"/>
  <c r="C88" i="31"/>
  <c r="D71" i="31"/>
  <c r="K71" i="31"/>
  <c r="C71" i="31"/>
  <c r="D49" i="31"/>
  <c r="O19" i="31"/>
  <c r="K49" i="31"/>
  <c r="C49" i="31"/>
  <c r="K94" i="31"/>
  <c r="D94" i="31"/>
  <c r="C94" i="31"/>
  <c r="K36" i="31"/>
  <c r="D36" i="31"/>
  <c r="C36" i="31"/>
  <c r="K117" i="31"/>
  <c r="D117" i="31"/>
  <c r="C117" i="31"/>
  <c r="K107" i="31"/>
  <c r="D107" i="31"/>
  <c r="C107" i="31"/>
  <c r="D24" i="31"/>
  <c r="K24" i="31"/>
  <c r="K40" i="31"/>
  <c r="D40" i="31"/>
  <c r="C40" i="31"/>
  <c r="K59" i="31"/>
  <c r="D59" i="31"/>
  <c r="C59" i="31"/>
  <c r="K72" i="31"/>
  <c r="D72" i="31"/>
  <c r="C72" i="31"/>
  <c r="K102" i="31"/>
  <c r="D102" i="31"/>
  <c r="C102" i="31"/>
  <c r="K129" i="31"/>
  <c r="D129" i="31"/>
  <c r="C129" i="31"/>
  <c r="D21" i="31"/>
  <c r="K21" i="31"/>
  <c r="K38" i="31"/>
  <c r="D38" i="31"/>
  <c r="C38" i="31"/>
  <c r="K55" i="31"/>
  <c r="D55" i="31"/>
  <c r="C55" i="31"/>
  <c r="D64" i="31"/>
  <c r="K64" i="31"/>
  <c r="C64" i="31"/>
  <c r="K80" i="31"/>
  <c r="D80" i="31"/>
  <c r="C80" i="31"/>
  <c r="D113" i="31"/>
  <c r="K113" i="31"/>
  <c r="C113" i="31"/>
  <c r="D20" i="31"/>
  <c r="K20" i="31"/>
  <c r="K37" i="31"/>
  <c r="O18" i="31"/>
  <c r="D37" i="31"/>
  <c r="C37" i="31"/>
  <c r="D48" i="31"/>
  <c r="K48" i="31"/>
  <c r="C48" i="31"/>
  <c r="K79" i="31"/>
  <c r="D79" i="31"/>
  <c r="C79" i="31"/>
  <c r="D90" i="31"/>
  <c r="K90" i="31"/>
  <c r="C90" i="31"/>
  <c r="D101" i="31"/>
  <c r="K101" i="31"/>
  <c r="C101" i="31"/>
  <c r="D125" i="31"/>
  <c r="K125" i="31"/>
  <c r="C125" i="31"/>
  <c r="D23" i="31"/>
  <c r="K23" i="31"/>
  <c r="D35" i="31"/>
  <c r="K35" i="31"/>
  <c r="C35" i="31"/>
  <c r="K52" i="31"/>
  <c r="D52" i="31"/>
  <c r="C52" i="31"/>
  <c r="K70" i="31"/>
  <c r="D70" i="31"/>
  <c r="C70" i="31"/>
  <c r="K84" i="31"/>
  <c r="D84" i="31"/>
  <c r="C84" i="31"/>
  <c r="D109" i="31"/>
  <c r="K109" i="31"/>
  <c r="O24" i="31"/>
  <c r="C109" i="31"/>
  <c r="D111" i="31"/>
  <c r="K111" i="31"/>
  <c r="C111" i="31"/>
  <c r="K130" i="31"/>
  <c r="D130" i="31"/>
  <c r="C130" i="31"/>
  <c r="D105" i="31"/>
  <c r="K105" i="31"/>
  <c r="C105" i="31"/>
  <c r="K119" i="31"/>
  <c r="D119" i="31"/>
  <c r="C119" i="31"/>
  <c r="D28" i="31"/>
  <c r="K28" i="31"/>
  <c r="C28" i="31"/>
  <c r="D73" i="31"/>
  <c r="K73" i="31"/>
  <c r="O21" i="31"/>
  <c r="C73" i="31"/>
  <c r="D43" i="31"/>
  <c r="K43" i="31"/>
  <c r="C43" i="31"/>
  <c r="D87" i="31"/>
  <c r="K87" i="31"/>
  <c r="C87" i="31"/>
  <c r="D27" i="31"/>
  <c r="K27" i="31"/>
  <c r="C27" i="31"/>
  <c r="D83" i="31"/>
  <c r="K83" i="31"/>
  <c r="C83" i="31"/>
  <c r="D25" i="31"/>
  <c r="D12" i="31"/>
  <c r="G12" i="31" s="1"/>
  <c r="O17" i="31"/>
  <c r="K25" i="31"/>
  <c r="C25" i="31"/>
  <c r="K75" i="31"/>
  <c r="D75" i="31"/>
  <c r="C75" i="31"/>
  <c r="D114" i="31"/>
  <c r="K114" i="31"/>
  <c r="C114" i="31"/>
  <c r="D33" i="31"/>
  <c r="K33" i="31"/>
  <c r="C33" i="31"/>
  <c r="D66" i="31"/>
  <c r="K66" i="31"/>
  <c r="C66" i="31"/>
  <c r="D93" i="31"/>
  <c r="K93" i="31"/>
  <c r="C93" i="31"/>
  <c r="D13" i="31"/>
  <c r="O16" i="31"/>
  <c r="K13" i="31"/>
  <c r="K29" i="31"/>
  <c r="D29" i="31"/>
  <c r="C29" i="31"/>
  <c r="D47" i="31"/>
  <c r="K47" i="31"/>
  <c r="C47" i="31"/>
  <c r="K60" i="31"/>
  <c r="D60" i="31"/>
  <c r="C60" i="31"/>
  <c r="D91" i="31"/>
  <c r="K91" i="31"/>
  <c r="C91" i="31"/>
  <c r="D103" i="31"/>
  <c r="K103" i="31"/>
  <c r="C103" i="31"/>
  <c r="D128" i="31"/>
  <c r="K128" i="31"/>
  <c r="C128" i="31"/>
  <c r="K30" i="31"/>
  <c r="D30" i="31"/>
  <c r="C30" i="31"/>
  <c r="D42" i="31"/>
  <c r="K42" i="31"/>
  <c r="C42" i="31"/>
  <c r="K53" i="31"/>
  <c r="D53" i="31"/>
  <c r="C53" i="31"/>
  <c r="K68" i="31"/>
  <c r="D68" i="31"/>
  <c r="C68" i="31"/>
  <c r="O22" i="31"/>
  <c r="K85" i="31"/>
  <c r="D85" i="31"/>
  <c r="C85" i="31"/>
  <c r="K96" i="31"/>
  <c r="D96" i="31"/>
  <c r="C96" i="31"/>
  <c r="K110" i="31"/>
  <c r="D110" i="31"/>
  <c r="C110" i="31"/>
  <c r="D15" i="31"/>
  <c r="K15" i="31"/>
  <c r="D26" i="31"/>
  <c r="K26" i="31"/>
  <c r="C26" i="31"/>
  <c r="D41" i="31"/>
  <c r="K41" i="31"/>
  <c r="C41" i="31"/>
  <c r="K63" i="31"/>
  <c r="D63" i="31"/>
  <c r="C63" i="31"/>
  <c r="D78" i="31"/>
  <c r="K78" i="31"/>
  <c r="C78" i="31"/>
  <c r="K92" i="31"/>
  <c r="D92" i="31"/>
  <c r="C92" i="31"/>
  <c r="K121" i="31"/>
  <c r="D121" i="31"/>
  <c r="O25" i="31"/>
  <c r="C121" i="31"/>
  <c r="K118" i="31"/>
  <c r="D118" i="31"/>
  <c r="C118" i="31"/>
  <c r="K112" i="31"/>
  <c r="D112" i="31"/>
  <c r="C112" i="31"/>
  <c r="K127" i="31"/>
  <c r="D127" i="31"/>
  <c r="C127" i="31"/>
  <c r="E110" i="31" l="1"/>
  <c r="G110" i="31" s="1"/>
  <c r="E96" i="31"/>
  <c r="E126" i="31"/>
  <c r="E82" i="31"/>
  <c r="G82" i="31" s="1"/>
  <c r="E51" i="31"/>
  <c r="G51" i="31" s="1"/>
  <c r="E120" i="31"/>
  <c r="G120" i="31" s="1"/>
  <c r="E83" i="31"/>
  <c r="E27" i="31"/>
  <c r="E87" i="31"/>
  <c r="G87" i="31" s="1"/>
  <c r="E43" i="31"/>
  <c r="E71" i="31"/>
  <c r="G71" i="31" s="1"/>
  <c r="E125" i="31"/>
  <c r="E101" i="31"/>
  <c r="G101" i="31" s="1"/>
  <c r="E90" i="31"/>
  <c r="E48" i="31"/>
  <c r="E132" i="31"/>
  <c r="G132" i="31" s="1"/>
  <c r="E89" i="31"/>
  <c r="E104" i="31"/>
  <c r="G104" i="31" s="1"/>
  <c r="E108" i="31"/>
  <c r="G108" i="31" s="1"/>
  <c r="E92" i="31"/>
  <c r="E78" i="31"/>
  <c r="G78" i="31" s="1"/>
  <c r="E63" i="31"/>
  <c r="E41" i="31"/>
  <c r="E26" i="31"/>
  <c r="G26" i="31" s="1"/>
  <c r="E93" i="31"/>
  <c r="E66" i="31"/>
  <c r="E33" i="31"/>
  <c r="G33" i="31" s="1"/>
  <c r="E114" i="31"/>
  <c r="G114" i="31" s="1"/>
  <c r="E75" i="31"/>
  <c r="G75" i="31" s="1"/>
  <c r="E35" i="31"/>
  <c r="G35" i="31" s="1"/>
  <c r="E115" i="31"/>
  <c r="G115" i="31" s="1"/>
  <c r="K4" i="31"/>
  <c r="K5" i="31"/>
  <c r="G66" i="31"/>
  <c r="M18" i="31"/>
  <c r="E37" i="31"/>
  <c r="M23" i="31"/>
  <c r="E97" i="31"/>
  <c r="N25" i="31"/>
  <c r="E85" i="31"/>
  <c r="M22" i="31"/>
  <c r="E127" i="31"/>
  <c r="E112" i="31"/>
  <c r="E118" i="31"/>
  <c r="N22" i="31"/>
  <c r="E68" i="31"/>
  <c r="E53" i="31"/>
  <c r="E42" i="31"/>
  <c r="E30" i="31"/>
  <c r="E128" i="31"/>
  <c r="E103" i="31"/>
  <c r="E91" i="31"/>
  <c r="E60" i="31"/>
  <c r="E47" i="31"/>
  <c r="E29" i="31"/>
  <c r="N16" i="31"/>
  <c r="M24" i="31"/>
  <c r="E109" i="31"/>
  <c r="E49" i="31"/>
  <c r="M19" i="31"/>
  <c r="M20" i="31"/>
  <c r="E61" i="31"/>
  <c r="E73" i="31"/>
  <c r="M21" i="31"/>
  <c r="M25" i="31"/>
  <c r="E121" i="31"/>
  <c r="N21" i="31"/>
  <c r="E84" i="31"/>
  <c r="E70" i="31"/>
  <c r="E52" i="31"/>
  <c r="E79" i="31"/>
  <c r="E88" i="31"/>
  <c r="E44" i="31"/>
  <c r="E131" i="31"/>
  <c r="E116" i="31"/>
  <c r="E124" i="31"/>
  <c r="E98" i="31"/>
  <c r="E67" i="31"/>
  <c r="E45" i="31"/>
  <c r="E31" i="31"/>
  <c r="N23" i="31"/>
  <c r="N20" i="31"/>
  <c r="E32" i="31"/>
  <c r="E123" i="31"/>
  <c r="E99" i="31"/>
  <c r="E81" i="31"/>
  <c r="E69" i="31"/>
  <c r="E54" i="31"/>
  <c r="E77" i="31"/>
  <c r="E50" i="31"/>
  <c r="E122" i="31"/>
  <c r="E56" i="31"/>
  <c r="E65" i="31"/>
  <c r="E39" i="31"/>
  <c r="E100" i="31"/>
  <c r="E58" i="31"/>
  <c r="E62" i="31"/>
  <c r="E25" i="31"/>
  <c r="M17" i="31"/>
  <c r="N17" i="31"/>
  <c r="E28" i="31"/>
  <c r="E119" i="31"/>
  <c r="E105" i="31"/>
  <c r="E130" i="31"/>
  <c r="E111" i="31"/>
  <c r="N24" i="31"/>
  <c r="N18" i="31"/>
  <c r="E113" i="31"/>
  <c r="E80" i="31"/>
  <c r="E64" i="31"/>
  <c r="E55" i="31"/>
  <c r="E38" i="31"/>
  <c r="E129" i="31"/>
  <c r="E102" i="31"/>
  <c r="E72" i="31"/>
  <c r="E59" i="31"/>
  <c r="E40" i="31"/>
  <c r="E107" i="31"/>
  <c r="E117" i="31"/>
  <c r="E36" i="31"/>
  <c r="E94" i="31"/>
  <c r="N19" i="31"/>
  <c r="E86" i="31"/>
  <c r="E74" i="31"/>
  <c r="E57" i="31"/>
  <c r="E46" i="31"/>
  <c r="E34" i="31"/>
  <c r="E106" i="31"/>
  <c r="E95" i="31"/>
  <c r="E76" i="31"/>
  <c r="G90" i="31" l="1"/>
  <c r="G96" i="31"/>
  <c r="G93" i="31"/>
  <c r="G89" i="31"/>
  <c r="G126" i="31"/>
  <c r="G83" i="31"/>
  <c r="G43" i="31"/>
  <c r="G63" i="31"/>
  <c r="G27" i="31"/>
  <c r="G125" i="31"/>
  <c r="G92" i="31"/>
  <c r="G48" i="31"/>
  <c r="G41" i="31"/>
  <c r="G95" i="31"/>
  <c r="G57" i="31"/>
  <c r="G94" i="31"/>
  <c r="G40" i="31"/>
  <c r="G129" i="31"/>
  <c r="G80" i="31"/>
  <c r="G111" i="31"/>
  <c r="G28" i="31"/>
  <c r="G62" i="31"/>
  <c r="G100" i="31"/>
  <c r="G77" i="31"/>
  <c r="G69" i="31"/>
  <c r="G32" i="31"/>
  <c r="R21" i="31"/>
  <c r="P24" i="31"/>
  <c r="Q24" i="31"/>
  <c r="R25" i="31"/>
  <c r="G34" i="31"/>
  <c r="G86" i="31"/>
  <c r="G117" i="31"/>
  <c r="G72" i="31"/>
  <c r="G55" i="31"/>
  <c r="Q17" i="31"/>
  <c r="P17" i="31"/>
  <c r="G65" i="31"/>
  <c r="G122" i="31"/>
  <c r="G99" i="31"/>
  <c r="G44" i="31"/>
  <c r="G70" i="31"/>
  <c r="G73" i="31"/>
  <c r="G49" i="31"/>
  <c r="G60" i="31"/>
  <c r="G30" i="31"/>
  <c r="G76" i="31"/>
  <c r="G46" i="31"/>
  <c r="R19" i="31"/>
  <c r="G107" i="31"/>
  <c r="G102" i="31"/>
  <c r="G64" i="31"/>
  <c r="R24" i="31"/>
  <c r="G119" i="31"/>
  <c r="G25" i="31"/>
  <c r="G58" i="31"/>
  <c r="G50" i="31"/>
  <c r="G54" i="31"/>
  <c r="G123" i="31"/>
  <c r="R20" i="31"/>
  <c r="G31" i="31"/>
  <c r="G88" i="31"/>
  <c r="G84" i="31"/>
  <c r="G109" i="31"/>
  <c r="R16" i="31"/>
  <c r="G91" i="31"/>
  <c r="G42" i="31"/>
  <c r="G118" i="31"/>
  <c r="G85" i="31"/>
  <c r="R23" i="31"/>
  <c r="G45" i="31"/>
  <c r="G98" i="31"/>
  <c r="G116" i="31"/>
  <c r="G79" i="31"/>
  <c r="G29" i="31"/>
  <c r="G103" i="31"/>
  <c r="G53" i="31"/>
  <c r="G112" i="31"/>
  <c r="G106" i="31"/>
  <c r="G74" i="31"/>
  <c r="G36" i="31"/>
  <c r="G59" i="31"/>
  <c r="G38" i="31"/>
  <c r="G113" i="31"/>
  <c r="G130" i="31"/>
  <c r="R17" i="31"/>
  <c r="G39" i="31"/>
  <c r="G56" i="31"/>
  <c r="G81" i="31"/>
  <c r="G67" i="31"/>
  <c r="G124" i="31"/>
  <c r="G131" i="31"/>
  <c r="G52" i="31"/>
  <c r="G121" i="31"/>
  <c r="Q21" i="31"/>
  <c r="P21" i="31"/>
  <c r="G61" i="31"/>
  <c r="Q19" i="31"/>
  <c r="P19" i="31"/>
  <c r="G47" i="31"/>
  <c r="G128" i="31"/>
  <c r="G68" i="31"/>
  <c r="G127" i="31"/>
  <c r="G97" i="31"/>
  <c r="G37" i="31"/>
  <c r="K6" i="31"/>
  <c r="K4" i="25" s="1"/>
  <c r="P5" i="31"/>
  <c r="K3" i="25"/>
  <c r="A9" i="31"/>
  <c r="A37" i="25" s="1"/>
  <c r="O41" i="31"/>
  <c r="O40" i="31"/>
  <c r="M7" i="31"/>
  <c r="R18" i="31"/>
  <c r="G105" i="31"/>
  <c r="Q25" i="31"/>
  <c r="P25" i="31"/>
  <c r="P20" i="31"/>
  <c r="Q20" i="31"/>
  <c r="R22" i="31"/>
  <c r="P22" i="31"/>
  <c r="Q22" i="31"/>
  <c r="Q23" i="31"/>
  <c r="P23" i="31"/>
  <c r="P18" i="31"/>
  <c r="Q18" i="31"/>
  <c r="B5" i="25" l="1"/>
  <c r="G9" i="25"/>
  <c r="C57" i="25"/>
  <c r="C67" i="25"/>
  <c r="P6" i="31"/>
  <c r="Q6" i="31" s="1"/>
  <c r="R6" i="31" s="1"/>
  <c r="Q5" i="31"/>
  <c r="R5" i="31" s="1"/>
  <c r="B5" i="31"/>
  <c r="G25" i="25"/>
  <c r="G27" i="25"/>
  <c r="G15" i="25"/>
  <c r="E18" i="25"/>
  <c r="R41" i="31"/>
  <c r="E23" i="25"/>
  <c r="G18" i="25"/>
  <c r="G28" i="25"/>
  <c r="D9" i="31"/>
  <c r="G21" i="25"/>
  <c r="F9" i="31"/>
  <c r="G29" i="25"/>
  <c r="E15" i="25"/>
  <c r="E27" i="25"/>
  <c r="G30" i="25"/>
  <c r="E16" i="25"/>
  <c r="P40" i="31"/>
  <c r="G22" i="25"/>
  <c r="G33" i="25"/>
  <c r="E20" i="25"/>
  <c r="G26" i="25"/>
  <c r="G20" i="25"/>
  <c r="E32" i="25"/>
  <c r="G14" i="25"/>
  <c r="E19" i="25"/>
  <c r="G23" i="25"/>
  <c r="E17" i="25"/>
  <c r="E26" i="25"/>
  <c r="Q40" i="31"/>
  <c r="E22" i="25"/>
  <c r="G32" i="25"/>
  <c r="E28" i="25"/>
  <c r="E31" i="25"/>
  <c r="G31" i="25"/>
  <c r="E25" i="25"/>
  <c r="E30" i="25"/>
  <c r="E24" i="25"/>
  <c r="E14" i="25"/>
  <c r="G17" i="25"/>
  <c r="E21" i="25"/>
  <c r="G16" i="25"/>
  <c r="E29" i="25"/>
  <c r="S40" i="31"/>
  <c r="E33" i="25"/>
  <c r="G24" i="25"/>
  <c r="G19" i="25"/>
  <c r="R40" i="31"/>
  <c r="C39" i="25" l="1"/>
  <c r="T40" i="31"/>
  <c r="B4" i="31"/>
  <c r="B5" i="28"/>
  <c r="S41" i="31"/>
  <c r="P41" i="31"/>
  <c r="Q41" i="31"/>
  <c r="T41" i="31" l="1"/>
  <c r="C23" i="31"/>
  <c r="E23" i="31" s="1"/>
  <c r="C17" i="31"/>
  <c r="E17" i="31" s="1"/>
  <c r="C14" i="31"/>
  <c r="E14" i="31" s="1"/>
  <c r="C22" i="31"/>
  <c r="E22" i="31" s="1"/>
  <c r="C19" i="31"/>
  <c r="E19" i="31" s="1"/>
  <c r="C21" i="31"/>
  <c r="E21" i="31" s="1"/>
  <c r="C24" i="31"/>
  <c r="E24" i="31" s="1"/>
  <c r="C20" i="31"/>
  <c r="E20" i="31" s="1"/>
  <c r="C15" i="31"/>
  <c r="E15" i="31" s="1"/>
  <c r="C18" i="31"/>
  <c r="E18" i="31" s="1"/>
  <c r="C16" i="31"/>
  <c r="E16" i="31" s="1"/>
  <c r="G18" i="31" l="1"/>
  <c r="G20" i="31"/>
  <c r="G24" i="31"/>
  <c r="G19" i="31"/>
  <c r="G22" i="31"/>
  <c r="G14" i="31"/>
  <c r="G16" i="31"/>
  <c r="G15" i="31"/>
  <c r="G21" i="31"/>
  <c r="G17" i="31"/>
  <c r="G23" i="31"/>
  <c r="C13" i="31"/>
  <c r="C9" i="31"/>
  <c r="E13" i="25"/>
  <c r="E40" i="25" l="1"/>
  <c r="G9" i="31"/>
  <c r="G40" i="25" s="1"/>
  <c r="E13" i="31"/>
  <c r="M16" i="31"/>
  <c r="E9" i="31"/>
  <c r="G13" i="25"/>
  <c r="Q16" i="31" l="1"/>
  <c r="P16" i="31"/>
  <c r="G13" i="31"/>
</calcChain>
</file>

<file path=xl/comments1.xml><?xml version="1.0" encoding="utf-8"?>
<comments xmlns="http://schemas.openxmlformats.org/spreadsheetml/2006/main">
  <authors>
    <author>PacifiCorp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<sst xmlns="http://schemas.openxmlformats.org/spreadsheetml/2006/main" count="1330" uniqueCount="173">
  <si>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</si>
  <si>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</si>
  <si>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</si>
  <si>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</si>
  <si>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</si>
  <si>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</si>
  <si>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</si>
  <si>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</si>
  <si>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</si>
  <si>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</si>
  <si>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</si>
  <si>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</si>
  <si>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</si>
  <si>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</si>
  <si>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</si>
  <si>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</si>
  <si>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</si>
  <si>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</si>
  <si>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</si>
  <si>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</si>
  <si>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</si>
  <si>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</si>
  <si>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</si>
  <si>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</si>
  <si>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</si>
  <si>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</si>
  <si>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</si>
  <si>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</si>
  <si>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</si>
  <si>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</si>
  <si>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</si>
  <si>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</si>
  <si>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</si>
  <si>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</si>
  <si>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</si>
  <si>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</si>
  <si>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</si>
  <si>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</si>
  <si>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</si>
  <si>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</si>
  <si>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</si>
  <si>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</si>
  <si>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</si>
  <si>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</si>
  <si>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</si>
  <si>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</si>
  <si>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</si>
  <si>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</si>
  <si>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</si>
  <si>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</si>
  <si>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</si>
  <si>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</si>
  <si>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</si>
  <si>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</si>
  <si>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</si>
  <si>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</si>
  <si>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</si>
  <si>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</si>
  <si>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</si>
  <si>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</si>
  <si>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</si>
  <si>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</si>
  <si>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</si>
  <si>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</si>
  <si>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</si>
  <si>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</si>
  <si>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</si>
  <si>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</si>
  <si>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</si>
  <si>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</si>
  <si>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</si>
  <si>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</si>
  <si>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</si>
  <si>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</si>
  <si>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</si>
  <si>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</si>
  <si>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</si>
  <si>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</si>
  <si>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</si>
  <si>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</si>
  <si>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</si>
  <si>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</si>
  <si>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</si>
  <si>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</si>
  <si>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</si>
  <si>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</si>
  <si>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</si>
  <si>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</si>
  <si>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</si>
  <si>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</si>
  <si>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</si>
  <si>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</si>
  <si>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</si>
  <si>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</si>
  <si>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</si>
  <si>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</si>
  <si>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</si>
  <si>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</si>
  <si>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</si>
  <si>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</si>
  <si>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</si>
  <si>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</si>
  <si>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</si>
  <si>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</si>
  <si>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</si>
  <si>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</si>
  <si>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</si>
  <si>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</si>
  <si>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</si>
  <si>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</si>
  <si>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</si>
  <si>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</si>
  <si>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</si>
  <si>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</si>
  <si>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</si>
  <si>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</si>
  <si>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</si>
  <si>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</si>
  <si>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</si>
  <si>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</si>
  <si>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</si>
  <si>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</si>
  <si>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</si>
  <si>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</si>
  <si>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</si>
  <si>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</si>
  <si>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</si>
  <si>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</si>
  <si>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</si>
  <si>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</si>
  <si>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</si>
  <si>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Yakima Solar Resource-2030</t>
  </si>
  <si>
    <t>2017 IRP Yakima Solar Resource-2032</t>
  </si>
  <si>
    <t>2017 IRP Yakima Solar Resource-2033</t>
  </si>
  <si>
    <t>2017 IRP Update Utah Solar Resource-2035</t>
  </si>
  <si>
    <t>2017 IRP Update Utah Solar Resource-2033</t>
  </si>
  <si>
    <t>2017 IRP Oregon Solar Resource-2030</t>
  </si>
  <si>
    <t>2017 IRP Oregon Solar Resource-2031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</si>
  <si>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</si>
  <si>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</si>
  <si>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</si>
  <si>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</si>
  <si>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</si>
  <si>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</si>
  <si>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</si>
  <si>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</si>
  <si>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</si>
  <si>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</si>
  <si>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</si>
  <si>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</si>
  <si>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</si>
  <si>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</si>
  <si>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</si>
  <si>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</si>
  <si>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</si>
  <si>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</si>
  <si>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</si>
  <si>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</si>
  <si>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</si>
  <si>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</si>
  <si>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</si>
  <si>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</si>
  <si>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</si>
  <si>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</si>
  <si>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</si>
  <si>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</si>
  <si>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</si>
  <si>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</si>
  <si>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</si>
  <si>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</t>
  </si>
  <si>
    <t>15 Year Starting 2019</t>
  </si>
  <si>
    <t>20 Year Starting 2019</t>
  </si>
  <si>
    <t>Kennecott Refinery Non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</si>
</sst>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</numFmts>
  <fonts count="35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256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3" fillId="0" borderId="0" xfId="10" applyNumberFormat="1" applyFont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4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1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0"/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337_338%20-%20Kennecott%20-%20UT%20-%202018%20Sep\DR\338%20-%20Kennecott%20Refinery%20-%201a%20-%20GRID%20AC%20Study%20CONF%20_2018%200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>
        <row r="1">
          <cell r="N1" t="str">
            <v>338 - Kennecott Refinery - 1a - GRID AC Study CONF _2018 09 20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PacifiCorp</v>
          </cell>
        </row>
        <row r="2">
          <cell r="A2" t="str">
            <v>Avoided Cost Study</v>
          </cell>
        </row>
        <row r="3">
          <cell r="A3" t="str">
            <v>Period = 2019-2028</v>
          </cell>
          <cell r="F3">
            <v>43466</v>
          </cell>
          <cell r="G3">
            <v>43497</v>
          </cell>
          <cell r="H3">
            <v>43525</v>
          </cell>
          <cell r="I3">
            <v>43556</v>
          </cell>
          <cell r="J3">
            <v>43586</v>
          </cell>
          <cell r="K3">
            <v>43617</v>
          </cell>
          <cell r="L3">
            <v>43647</v>
          </cell>
          <cell r="M3">
            <v>43678</v>
          </cell>
          <cell r="N3">
            <v>43709</v>
          </cell>
          <cell r="O3">
            <v>43739</v>
          </cell>
          <cell r="P3">
            <v>43770</v>
          </cell>
          <cell r="Q3">
            <v>43800</v>
          </cell>
          <cell r="R3">
            <v>2020</v>
          </cell>
          <cell r="S3">
            <v>43831</v>
          </cell>
          <cell r="T3">
            <v>43862</v>
          </cell>
          <cell r="U3">
            <v>43891</v>
          </cell>
          <cell r="V3">
            <v>43922</v>
          </cell>
          <cell r="W3">
            <v>43952</v>
          </cell>
          <cell r="X3">
            <v>43983</v>
          </cell>
          <cell r="Y3">
            <v>44013</v>
          </cell>
          <cell r="Z3">
            <v>44044</v>
          </cell>
          <cell r="AA3">
            <v>44075</v>
          </cell>
          <cell r="AB3">
            <v>44105</v>
          </cell>
          <cell r="AC3">
            <v>44136</v>
          </cell>
          <cell r="AD3">
            <v>44166</v>
          </cell>
          <cell r="AE3">
            <v>2021</v>
          </cell>
          <cell r="AF3">
            <v>44197</v>
          </cell>
          <cell r="AG3">
            <v>44228</v>
          </cell>
          <cell r="AH3">
            <v>44256</v>
          </cell>
          <cell r="AI3">
            <v>44287</v>
          </cell>
          <cell r="AJ3">
            <v>44317</v>
          </cell>
          <cell r="AK3">
            <v>44348</v>
          </cell>
          <cell r="AL3">
            <v>44378</v>
          </cell>
          <cell r="AM3">
            <v>44409</v>
          </cell>
          <cell r="AN3">
            <v>44440</v>
          </cell>
          <cell r="AO3">
            <v>44470</v>
          </cell>
          <cell r="AP3">
            <v>44501</v>
          </cell>
          <cell r="AQ3">
            <v>44531</v>
          </cell>
          <cell r="AR3">
            <v>2022</v>
          </cell>
          <cell r="AS3">
            <v>44562</v>
          </cell>
          <cell r="AT3">
            <v>44593</v>
          </cell>
          <cell r="AU3">
            <v>44621</v>
          </cell>
          <cell r="AV3">
            <v>44652</v>
          </cell>
          <cell r="AW3">
            <v>44682</v>
          </cell>
          <cell r="AX3">
            <v>44713</v>
          </cell>
          <cell r="AY3">
            <v>44743</v>
          </cell>
          <cell r="AZ3">
            <v>44774</v>
          </cell>
          <cell r="BA3">
            <v>44805</v>
          </cell>
          <cell r="BB3">
            <v>44835</v>
          </cell>
          <cell r="BC3">
            <v>44866</v>
          </cell>
          <cell r="BD3">
            <v>44896</v>
          </cell>
          <cell r="BE3">
            <v>2023</v>
          </cell>
          <cell r="BF3">
            <v>44927</v>
          </cell>
          <cell r="BG3">
            <v>44958</v>
          </cell>
          <cell r="BH3">
            <v>44986</v>
          </cell>
          <cell r="BI3">
            <v>45017</v>
          </cell>
          <cell r="BJ3">
            <v>45047</v>
          </cell>
          <cell r="BK3">
            <v>45078</v>
          </cell>
          <cell r="BL3">
            <v>45108</v>
          </cell>
          <cell r="BM3">
            <v>45139</v>
          </cell>
          <cell r="BN3">
            <v>45170</v>
          </cell>
          <cell r="BO3">
            <v>45200</v>
          </cell>
          <cell r="BP3">
            <v>45231</v>
          </cell>
          <cell r="BQ3">
            <v>45261</v>
          </cell>
          <cell r="BR3">
            <v>2024</v>
          </cell>
          <cell r="BS3">
            <v>45292</v>
          </cell>
          <cell r="BT3">
            <v>45323</v>
          </cell>
          <cell r="BU3">
            <v>45352</v>
          </cell>
          <cell r="BV3">
            <v>45383</v>
          </cell>
          <cell r="BW3">
            <v>45413</v>
          </cell>
          <cell r="BX3">
            <v>45444</v>
          </cell>
          <cell r="BY3">
            <v>45474</v>
          </cell>
          <cell r="BZ3">
            <v>45505</v>
          </cell>
          <cell r="CA3">
            <v>45536</v>
          </cell>
          <cell r="CB3">
            <v>45566</v>
          </cell>
          <cell r="CC3">
            <v>45597</v>
          </cell>
          <cell r="CD3">
            <v>45627</v>
          </cell>
          <cell r="CE3">
            <v>2025</v>
          </cell>
          <cell r="CF3">
            <v>45658</v>
          </cell>
          <cell r="CG3">
            <v>45689</v>
          </cell>
          <cell r="CH3">
            <v>45717</v>
          </cell>
          <cell r="CI3">
            <v>45748</v>
          </cell>
          <cell r="CJ3">
            <v>45778</v>
          </cell>
          <cell r="CK3">
            <v>45809</v>
          </cell>
          <cell r="CL3">
            <v>45839</v>
          </cell>
          <cell r="CM3">
            <v>45870</v>
          </cell>
          <cell r="CN3">
            <v>45901</v>
          </cell>
          <cell r="CO3">
            <v>45931</v>
          </cell>
          <cell r="CP3">
            <v>45962</v>
          </cell>
          <cell r="CQ3">
            <v>45992</v>
          </cell>
          <cell r="CR3">
            <v>2026</v>
          </cell>
          <cell r="CS3">
            <v>46023</v>
          </cell>
          <cell r="CT3">
            <v>46054</v>
          </cell>
          <cell r="CU3">
            <v>46082</v>
          </cell>
          <cell r="CV3">
            <v>46113</v>
          </cell>
          <cell r="CW3">
            <v>46143</v>
          </cell>
          <cell r="CX3">
            <v>46174</v>
          </cell>
          <cell r="CY3">
            <v>46204</v>
          </cell>
          <cell r="CZ3">
            <v>46235</v>
          </cell>
          <cell r="DA3">
            <v>46266</v>
          </cell>
          <cell r="DB3">
            <v>46296</v>
          </cell>
          <cell r="DC3">
            <v>46327</v>
          </cell>
          <cell r="DD3">
            <v>46357</v>
          </cell>
          <cell r="DE3">
            <v>2027</v>
          </cell>
          <cell r="DF3">
            <v>46388</v>
          </cell>
          <cell r="DG3">
            <v>46419</v>
          </cell>
          <cell r="DH3">
            <v>46447</v>
          </cell>
          <cell r="DI3">
            <v>46478</v>
          </cell>
          <cell r="DJ3">
            <v>46508</v>
          </cell>
          <cell r="DK3">
            <v>46539</v>
          </cell>
          <cell r="DL3">
            <v>46569</v>
          </cell>
          <cell r="DM3">
            <v>46600</v>
          </cell>
          <cell r="DN3">
            <v>46631</v>
          </cell>
          <cell r="DO3">
            <v>46661</v>
          </cell>
          <cell r="DP3">
            <v>46692</v>
          </cell>
          <cell r="DQ3">
            <v>46722</v>
          </cell>
          <cell r="DR3">
            <v>2028</v>
          </cell>
          <cell r="DS3">
            <v>46753</v>
          </cell>
          <cell r="DT3">
            <v>46784</v>
          </cell>
          <cell r="DU3">
            <v>46813</v>
          </cell>
          <cell r="DV3">
            <v>46844</v>
          </cell>
          <cell r="DW3">
            <v>46874</v>
          </cell>
          <cell r="DX3">
            <v>46905</v>
          </cell>
          <cell r="DY3">
            <v>46935</v>
          </cell>
          <cell r="DZ3">
            <v>46966</v>
          </cell>
          <cell r="EA3">
            <v>46997</v>
          </cell>
          <cell r="EB3">
            <v>47027</v>
          </cell>
          <cell r="EC3">
            <v>47058</v>
          </cell>
          <cell r="ED3">
            <v>47088</v>
          </cell>
        </row>
        <row r="5">
          <cell r="R5" t="str">
            <v>$</v>
          </cell>
          <cell r="AE5" t="str">
            <v>$</v>
          </cell>
          <cell r="AR5" t="str">
            <v>$</v>
          </cell>
          <cell r="BE5" t="str">
            <v>$</v>
          </cell>
          <cell r="BR5" t="str">
            <v>$</v>
          </cell>
          <cell r="CE5" t="str">
            <v>$</v>
          </cell>
          <cell r="CR5" t="str">
            <v>$</v>
          </cell>
          <cell r="DE5" t="str">
            <v>$</v>
          </cell>
          <cell r="DR5" t="str">
            <v>$</v>
          </cell>
        </row>
        <row r="7">
          <cell r="A7" t="str">
            <v>Special Sales For Resale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</row>
        <row r="32">
          <cell r="F32">
            <v>0</v>
          </cell>
          <cell r="G32">
            <v>80.799999999813735</v>
          </cell>
          <cell r="H32">
            <v>114.89999999990687</v>
          </cell>
          <cell r="I32">
            <v>1501.6999999999534</v>
          </cell>
          <cell r="J32">
            <v>1489.2999999998137</v>
          </cell>
          <cell r="K32">
            <v>1231.0999999998603</v>
          </cell>
          <cell r="L32">
            <v>1084.6999999999534</v>
          </cell>
          <cell r="M32">
            <v>2450.3999999999069</v>
          </cell>
          <cell r="N32">
            <v>362.10000000009313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</row>
        <row r="33">
          <cell r="F33">
            <v>2541</v>
          </cell>
          <cell r="G33">
            <v>388.30000000004657</v>
          </cell>
          <cell r="H33">
            <v>0</v>
          </cell>
          <cell r="I33">
            <v>559.69999999995343</v>
          </cell>
          <cell r="J33">
            <v>724.93999999994412</v>
          </cell>
          <cell r="K33">
            <v>282.1600000000326</v>
          </cell>
          <cell r="L33">
            <v>976</v>
          </cell>
          <cell r="M33">
            <v>1207.7000000001863</v>
          </cell>
          <cell r="N33">
            <v>318.5</v>
          </cell>
          <cell r="O33">
            <v>266.20000000018626</v>
          </cell>
          <cell r="P33">
            <v>1434</v>
          </cell>
          <cell r="Q33">
            <v>-14769.799999999814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</row>
        <row r="34">
          <cell r="F34">
            <v>1997</v>
          </cell>
          <cell r="G34">
            <v>13646.5</v>
          </cell>
          <cell r="H34">
            <v>14114</v>
          </cell>
          <cell r="I34">
            <v>839.76999999998952</v>
          </cell>
          <cell r="J34">
            <v>168.63500000000931</v>
          </cell>
          <cell r="K34">
            <v>1811.7300000000105</v>
          </cell>
          <cell r="L34">
            <v>18256.799999999814</v>
          </cell>
          <cell r="M34">
            <v>3848.2000000001863</v>
          </cell>
          <cell r="N34">
            <v>7302.7999999998137</v>
          </cell>
          <cell r="O34">
            <v>10871.299999999814</v>
          </cell>
          <cell r="P34">
            <v>1346</v>
          </cell>
          <cell r="Q34">
            <v>4016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</row>
        <row r="35">
          <cell r="F35">
            <v>9699.2000000001863</v>
          </cell>
          <cell r="G35">
            <v>2497.0999999996275</v>
          </cell>
          <cell r="H35">
            <v>886</v>
          </cell>
          <cell r="I35">
            <v>664.25</v>
          </cell>
          <cell r="J35">
            <v>508.9000000001397</v>
          </cell>
          <cell r="K35">
            <v>528.70000000018626</v>
          </cell>
          <cell r="L35">
            <v>3344.9000000003725</v>
          </cell>
          <cell r="M35">
            <v>2850</v>
          </cell>
          <cell r="N35">
            <v>-2358.7999999998137</v>
          </cell>
          <cell r="O35">
            <v>285.5</v>
          </cell>
          <cell r="P35">
            <v>2282.1000000000931</v>
          </cell>
          <cell r="Q35">
            <v>-13699.299999999814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</row>
        <row r="36">
          <cell r="F36">
            <v>0</v>
          </cell>
          <cell r="G36">
            <v>1224.7399999999907</v>
          </cell>
          <cell r="H36">
            <v>0</v>
          </cell>
          <cell r="I36">
            <v>54.399999999906868</v>
          </cell>
          <cell r="J36">
            <v>146.89999999990687</v>
          </cell>
          <cell r="K36">
            <v>0</v>
          </cell>
          <cell r="L36">
            <v>286.5</v>
          </cell>
          <cell r="M36">
            <v>0</v>
          </cell>
          <cell r="N36">
            <v>63.199999999953434</v>
          </cell>
          <cell r="O36">
            <v>47.400000000139698</v>
          </cell>
          <cell r="P36">
            <v>0</v>
          </cell>
          <cell r="Q36">
            <v>169.70000000018626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</row>
        <row r="38">
          <cell r="F38">
            <v>0</v>
          </cell>
          <cell r="G38">
            <v>-38.58372000005329</v>
          </cell>
          <cell r="H38">
            <v>-14.249599999922793</v>
          </cell>
          <cell r="I38">
            <v>-185.9767999999458</v>
          </cell>
          <cell r="J38">
            <v>-266.99943999992684</v>
          </cell>
          <cell r="K38">
            <v>-365.48380000016186</v>
          </cell>
          <cell r="L38">
            <v>-119.24008000013418</v>
          </cell>
          <cell r="M38">
            <v>-274.53923999983817</v>
          </cell>
          <cell r="N38">
            <v>-47.690440000151284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</row>
        <row r="41">
          <cell r="F41">
            <v>14237.199999999255</v>
          </cell>
          <cell r="G41">
            <v>17798.85628000088</v>
          </cell>
          <cell r="H41">
            <v>15100.650399999693</v>
          </cell>
          <cell r="I41">
            <v>3433.843200000003</v>
          </cell>
          <cell r="J41">
            <v>2771.6755599994212</v>
          </cell>
          <cell r="K41">
            <v>3488.20620000083</v>
          </cell>
          <cell r="L41">
            <v>23829.659919997677</v>
          </cell>
          <cell r="M41">
            <v>10081.760760001838</v>
          </cell>
          <cell r="N41">
            <v>5640.1095599997789</v>
          </cell>
          <cell r="O41">
            <v>11470.400000000373</v>
          </cell>
          <cell r="P41">
            <v>5062.1000000014901</v>
          </cell>
          <cell r="Q41">
            <v>-24283.39999999851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3">
          <cell r="A43" t="str">
            <v>Total Special Sales For Resale</v>
          </cell>
          <cell r="F43">
            <v>14237.20000000298</v>
          </cell>
          <cell r="G43">
            <v>17798.856279999018</v>
          </cell>
          <cell r="H43">
            <v>15100.65039999783</v>
          </cell>
          <cell r="I43">
            <v>3433.843200000003</v>
          </cell>
          <cell r="J43">
            <v>2771.6755600012839</v>
          </cell>
          <cell r="K43">
            <v>3488.206200003624</v>
          </cell>
          <cell r="L43">
            <v>23829.659919995815</v>
          </cell>
          <cell r="M43">
            <v>10081.760760001838</v>
          </cell>
          <cell r="N43">
            <v>5640.1095599979162</v>
          </cell>
          <cell r="O43">
            <v>11470.39999999851</v>
          </cell>
          <cell r="P43">
            <v>5062.1000000014901</v>
          </cell>
          <cell r="Q43">
            <v>-24283.39999999851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</row>
        <row r="46">
          <cell r="A46" t="str">
            <v>Purchased Power &amp; Net Interchange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</row>
        <row r="186">
          <cell r="F186">
            <v>0</v>
          </cell>
          <cell r="G186">
            <v>-100.02499999999418</v>
          </cell>
          <cell r="H186">
            <v>-14.347999999999956</v>
          </cell>
          <cell r="I186">
            <v>-1049.2900000000081</v>
          </cell>
          <cell r="J186">
            <v>-2137.9769999999844</v>
          </cell>
          <cell r="K186">
            <v>-541.23999999999069</v>
          </cell>
          <cell r="L186">
            <v>-6113.5879999999888</v>
          </cell>
          <cell r="M186">
            <v>-5103.5399999999208</v>
          </cell>
          <cell r="N186">
            <v>-601.09699999999793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</row>
        <row r="187">
          <cell r="F187">
            <v>-6086</v>
          </cell>
          <cell r="G187">
            <v>-2533.8600000001024</v>
          </cell>
          <cell r="H187">
            <v>-2505.5</v>
          </cell>
          <cell r="I187">
            <v>-3921.8600000001024</v>
          </cell>
          <cell r="J187">
            <v>-1436.9400000000023</v>
          </cell>
          <cell r="K187">
            <v>-891.15999999997439</v>
          </cell>
          <cell r="L187">
            <v>-4321.7900000000081</v>
          </cell>
          <cell r="M187">
            <v>-4390.8299999999872</v>
          </cell>
          <cell r="N187">
            <v>-723.46899999999732</v>
          </cell>
          <cell r="O187">
            <v>-1350.1399999998976</v>
          </cell>
          <cell r="P187">
            <v>-956.41600000000108</v>
          </cell>
          <cell r="Q187">
            <v>2474.7000000000698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</row>
        <row r="188">
          <cell r="F188">
            <v>0</v>
          </cell>
          <cell r="G188">
            <v>-9854</v>
          </cell>
          <cell r="H188">
            <v>-13661.59999999986</v>
          </cell>
          <cell r="I188">
            <v>-14861</v>
          </cell>
          <cell r="J188">
            <v>-14481</v>
          </cell>
          <cell r="K188">
            <v>-21275</v>
          </cell>
          <cell r="L188">
            <v>-29384.5</v>
          </cell>
          <cell r="M188">
            <v>-41158</v>
          </cell>
          <cell r="N188">
            <v>-25554.200000000186</v>
          </cell>
          <cell r="O188">
            <v>-14897.899999999907</v>
          </cell>
          <cell r="P188">
            <v>-331.5604000000003</v>
          </cell>
          <cell r="Q188">
            <v>-2750.140000000014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</row>
        <row r="189">
          <cell r="F189">
            <v>-4483.0300000000279</v>
          </cell>
          <cell r="G189">
            <v>-1199.8400000000256</v>
          </cell>
          <cell r="H189">
            <v>-974.34000000002561</v>
          </cell>
          <cell r="I189">
            <v>-1987.4099999999744</v>
          </cell>
          <cell r="J189">
            <v>-1685.7199999999721</v>
          </cell>
          <cell r="K189">
            <v>-939.67000000000553</v>
          </cell>
          <cell r="L189">
            <v>-226.02339350000148</v>
          </cell>
          <cell r="M189">
            <v>-491.23199999999997</v>
          </cell>
          <cell r="N189">
            <v>-2835.5170000000071</v>
          </cell>
          <cell r="O189">
            <v>-802.73000000001048</v>
          </cell>
          <cell r="P189">
            <v>-3224.9200000000128</v>
          </cell>
          <cell r="Q189">
            <v>15645.922099999967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</row>
        <row r="190">
          <cell r="F190">
            <v>-876</v>
          </cell>
          <cell r="G190">
            <v>-808</v>
          </cell>
          <cell r="H190">
            <v>-1084</v>
          </cell>
          <cell r="I190">
            <v>-586.80000000004657</v>
          </cell>
          <cell r="J190">
            <v>-2002.7999999998137</v>
          </cell>
          <cell r="K190">
            <v>0</v>
          </cell>
          <cell r="L190">
            <v>-3192.2999999998137</v>
          </cell>
          <cell r="M190">
            <v>-4089.5</v>
          </cell>
          <cell r="N190">
            <v>-90</v>
          </cell>
          <cell r="O190">
            <v>-399.19999999995343</v>
          </cell>
          <cell r="P190">
            <v>0</v>
          </cell>
          <cell r="Q190">
            <v>859.5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</row>
        <row r="195">
          <cell r="F195">
            <v>-11445.029999999795</v>
          </cell>
          <cell r="G195">
            <v>-14495.725000000559</v>
          </cell>
          <cell r="H195">
            <v>-18239.787999999709</v>
          </cell>
          <cell r="I195">
            <v>-22406.359999999404</v>
          </cell>
          <cell r="J195">
            <v>-21744.437000000849</v>
          </cell>
          <cell r="K195">
            <v>-23647.070000000298</v>
          </cell>
          <cell r="L195">
            <v>-43238.20139349997</v>
          </cell>
          <cell r="M195">
            <v>-55233.101999999955</v>
          </cell>
          <cell r="N195">
            <v>-29804.283000000753</v>
          </cell>
          <cell r="O195">
            <v>-17449.970000000671</v>
          </cell>
          <cell r="P195">
            <v>-4512.8964000002015</v>
          </cell>
          <cell r="Q195">
            <v>16229.982099999674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</row>
        <row r="197">
          <cell r="A197" t="str">
            <v>Total Purchased Power &amp; Net Interchange</v>
          </cell>
          <cell r="F197">
            <v>-11445.030000001192</v>
          </cell>
          <cell r="G197">
            <v>-14495.72500000149</v>
          </cell>
          <cell r="H197">
            <v>-18239.788000002503</v>
          </cell>
          <cell r="I197">
            <v>-22406.359999999404</v>
          </cell>
          <cell r="J197">
            <v>-21744.437000006437</v>
          </cell>
          <cell r="K197">
            <v>-23647.069999992847</v>
          </cell>
          <cell r="L197">
            <v>-43238.20139349997</v>
          </cell>
          <cell r="M197">
            <v>-55233.101999998093</v>
          </cell>
          <cell r="N197">
            <v>-29804.282999999821</v>
          </cell>
          <cell r="O197">
            <v>-17449.969999998808</v>
          </cell>
          <cell r="P197">
            <v>-4512.8963999971747</v>
          </cell>
          <cell r="Q197">
            <v>16229.982099995017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</row>
        <row r="199">
          <cell r="A199" t="str">
            <v>Wheeling &amp; U. of F. Expense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e">
            <v>#N/A</v>
          </cell>
          <cell r="S201" t="e">
            <v>#N/A</v>
          </cell>
          <cell r="T201" t="e">
            <v>#N/A</v>
          </cell>
          <cell r="U201" t="e">
            <v>#N/A</v>
          </cell>
          <cell r="V201" t="e">
            <v>#N/A</v>
          </cell>
          <cell r="W201" t="e">
            <v>#N/A</v>
          </cell>
          <cell r="X201" t="e">
            <v>#N/A</v>
          </cell>
          <cell r="Y201" t="e">
            <v>#N/A</v>
          </cell>
          <cell r="Z201" t="e">
            <v>#N/A</v>
          </cell>
          <cell r="AA201" t="e">
            <v>#N/A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 t="e">
            <v>#N/A</v>
          </cell>
          <cell r="AH201" t="e">
            <v>#N/A</v>
          </cell>
          <cell r="AI201" t="e">
            <v>#N/A</v>
          </cell>
          <cell r="AJ201" t="e">
            <v>#N/A</v>
          </cell>
          <cell r="AK201" t="e">
            <v>#N/A</v>
          </cell>
          <cell r="AL201" t="e">
            <v>#N/A</v>
          </cell>
          <cell r="AM201" t="e">
            <v>#N/A</v>
          </cell>
          <cell r="AN201" t="e">
            <v>#N/A</v>
          </cell>
          <cell r="AO201" t="e">
            <v>#N/A</v>
          </cell>
          <cell r="AP201" t="e">
            <v>#N/A</v>
          </cell>
          <cell r="AQ201" t="e">
            <v>#N/A</v>
          </cell>
          <cell r="AR201" t="e">
            <v>#N/A</v>
          </cell>
          <cell r="AS201" t="e">
            <v>#N/A</v>
          </cell>
          <cell r="AT201" t="e">
            <v>#N/A</v>
          </cell>
          <cell r="AU201" t="e">
            <v>#N/A</v>
          </cell>
          <cell r="AV201" t="e">
            <v>#N/A</v>
          </cell>
          <cell r="AW201" t="e">
            <v>#N/A</v>
          </cell>
          <cell r="AX201" t="e">
            <v>#N/A</v>
          </cell>
          <cell r="AY201" t="e">
            <v>#N/A</v>
          </cell>
          <cell r="AZ201" t="e">
            <v>#N/A</v>
          </cell>
          <cell r="BA201" t="e">
            <v>#N/A</v>
          </cell>
          <cell r="BB201" t="e">
            <v>#N/A</v>
          </cell>
          <cell r="BC201" t="e">
            <v>#N/A</v>
          </cell>
          <cell r="BD201" t="e">
            <v>#N/A</v>
          </cell>
          <cell r="BE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  <cell r="BI201" t="e">
            <v>#N/A</v>
          </cell>
          <cell r="BJ201" t="e">
            <v>#N/A</v>
          </cell>
          <cell r="BK201" t="e">
            <v>#N/A</v>
          </cell>
          <cell r="BL201" t="e">
            <v>#N/A</v>
          </cell>
          <cell r="BM201" t="e">
            <v>#N/A</v>
          </cell>
          <cell r="BN201" t="e">
            <v>#N/A</v>
          </cell>
          <cell r="BO201" t="e">
            <v>#N/A</v>
          </cell>
          <cell r="BP201" t="e">
            <v>#N/A</v>
          </cell>
          <cell r="BQ201" t="e">
            <v>#N/A</v>
          </cell>
          <cell r="BR201" t="e">
            <v>#N/A</v>
          </cell>
          <cell r="BS201" t="e">
            <v>#N/A</v>
          </cell>
          <cell r="BT201" t="e">
            <v>#N/A</v>
          </cell>
          <cell r="BU201" t="e">
            <v>#N/A</v>
          </cell>
          <cell r="BV201" t="e">
            <v>#N/A</v>
          </cell>
          <cell r="BW201" t="e">
            <v>#N/A</v>
          </cell>
          <cell r="BX201" t="e">
            <v>#N/A</v>
          </cell>
          <cell r="BY201" t="e">
            <v>#N/A</v>
          </cell>
          <cell r="BZ201" t="e">
            <v>#N/A</v>
          </cell>
          <cell r="CA201" t="e">
            <v>#N/A</v>
          </cell>
          <cell r="CB201" t="e">
            <v>#N/A</v>
          </cell>
          <cell r="CC201" t="e">
            <v>#N/A</v>
          </cell>
          <cell r="CD201" t="e">
            <v>#N/A</v>
          </cell>
          <cell r="CE201" t="e">
            <v>#N/A</v>
          </cell>
          <cell r="CF201" t="e">
            <v>#N/A</v>
          </cell>
          <cell r="CG201" t="e">
            <v>#N/A</v>
          </cell>
          <cell r="CH201" t="e">
            <v>#N/A</v>
          </cell>
          <cell r="CI201" t="e">
            <v>#N/A</v>
          </cell>
          <cell r="CJ201" t="e">
            <v>#N/A</v>
          </cell>
          <cell r="CK201" t="e">
            <v>#N/A</v>
          </cell>
          <cell r="CL201" t="e">
            <v>#N/A</v>
          </cell>
          <cell r="CM201" t="e">
            <v>#N/A</v>
          </cell>
          <cell r="CN201" t="e">
            <v>#N/A</v>
          </cell>
          <cell r="CO201" t="e">
            <v>#N/A</v>
          </cell>
          <cell r="CP201" t="e">
            <v>#N/A</v>
          </cell>
          <cell r="CQ201" t="e">
            <v>#N/A</v>
          </cell>
          <cell r="CR201" t="e">
            <v>#N/A</v>
          </cell>
          <cell r="CS201" t="e">
            <v>#N/A</v>
          </cell>
          <cell r="CT201" t="e">
            <v>#N/A</v>
          </cell>
          <cell r="CU201" t="e">
            <v>#N/A</v>
          </cell>
          <cell r="CV201" t="e">
            <v>#N/A</v>
          </cell>
          <cell r="CW201" t="e">
            <v>#N/A</v>
          </cell>
          <cell r="CX201" t="e">
            <v>#N/A</v>
          </cell>
          <cell r="CY201" t="e">
            <v>#N/A</v>
          </cell>
          <cell r="CZ201" t="e">
            <v>#N/A</v>
          </cell>
          <cell r="DA201" t="e">
            <v>#N/A</v>
          </cell>
          <cell r="DB201" t="e">
            <v>#N/A</v>
          </cell>
          <cell r="DC201" t="e">
            <v>#N/A</v>
          </cell>
          <cell r="DD201" t="e">
            <v>#N/A</v>
          </cell>
          <cell r="DE201" t="e">
            <v>#N/A</v>
          </cell>
          <cell r="DF201" t="e">
            <v>#N/A</v>
          </cell>
          <cell r="DG201" t="e">
            <v>#N/A</v>
          </cell>
          <cell r="DH201" t="e">
            <v>#N/A</v>
          </cell>
          <cell r="DI201" t="e">
            <v>#N/A</v>
          </cell>
          <cell r="DJ201" t="e">
            <v>#N/A</v>
          </cell>
          <cell r="DK201" t="e">
            <v>#N/A</v>
          </cell>
          <cell r="DL201" t="e">
            <v>#N/A</v>
          </cell>
          <cell r="DM201" t="e">
            <v>#N/A</v>
          </cell>
          <cell r="DN201" t="e">
            <v>#N/A</v>
          </cell>
          <cell r="DO201" t="e">
            <v>#N/A</v>
          </cell>
          <cell r="DP201" t="e">
            <v>#N/A</v>
          </cell>
          <cell r="DQ201" t="e">
            <v>#N/A</v>
          </cell>
          <cell r="DR201" t="e">
            <v>#N/A</v>
          </cell>
          <cell r="DS201" t="e">
            <v>#N/A</v>
          </cell>
          <cell r="DT201" t="e">
            <v>#N/A</v>
          </cell>
          <cell r="DU201" t="e">
            <v>#N/A</v>
          </cell>
          <cell r="DV201" t="e">
            <v>#N/A</v>
          </cell>
          <cell r="DW201" t="e">
            <v>#N/A</v>
          </cell>
          <cell r="DX201" t="e">
            <v>#N/A</v>
          </cell>
          <cell r="DY201" t="e">
            <v>#N/A</v>
          </cell>
          <cell r="DZ201" t="e">
            <v>#N/A</v>
          </cell>
          <cell r="EA201" t="e">
            <v>#N/A</v>
          </cell>
          <cell r="EB201" t="e">
            <v>#N/A</v>
          </cell>
          <cell r="EC201" t="e">
            <v>#N/A</v>
          </cell>
          <cell r="ED201" t="e">
            <v>#N/A</v>
          </cell>
        </row>
        <row r="202">
          <cell r="F202">
            <v>22.983000000000175</v>
          </cell>
          <cell r="G202">
            <v>-25.742000000000189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-23.98700000000008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</row>
        <row r="204">
          <cell r="A204" t="str">
            <v>Total Wheeling &amp; U. of F. Expense</v>
          </cell>
          <cell r="F204">
            <v>22.983000000938773</v>
          </cell>
          <cell r="G204">
            <v>-25.742000000551343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-23.986999999731779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  <cell r="AV204" t="e">
            <v>#N/A</v>
          </cell>
          <cell r="AW204" t="e">
            <v>#N/A</v>
          </cell>
          <cell r="AX204" t="e">
            <v>#N/A</v>
          </cell>
          <cell r="AY204" t="e">
            <v>#N/A</v>
          </cell>
          <cell r="AZ204" t="e">
            <v>#N/A</v>
          </cell>
          <cell r="BA204" t="e">
            <v>#N/A</v>
          </cell>
          <cell r="BB204" t="e">
            <v>#N/A</v>
          </cell>
          <cell r="BC204" t="e">
            <v>#N/A</v>
          </cell>
          <cell r="BD204" t="e">
            <v>#N/A</v>
          </cell>
          <cell r="BE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  <cell r="BI204" t="e">
            <v>#N/A</v>
          </cell>
          <cell r="BJ204" t="e">
            <v>#N/A</v>
          </cell>
          <cell r="BK204" t="e">
            <v>#N/A</v>
          </cell>
          <cell r="BL204" t="e">
            <v>#N/A</v>
          </cell>
          <cell r="BM204" t="e">
            <v>#N/A</v>
          </cell>
          <cell r="BN204" t="e">
            <v>#N/A</v>
          </cell>
          <cell r="BO204" t="e">
            <v>#N/A</v>
          </cell>
          <cell r="BP204" t="e">
            <v>#N/A</v>
          </cell>
          <cell r="BQ204" t="e">
            <v>#N/A</v>
          </cell>
          <cell r="BR204" t="e">
            <v>#N/A</v>
          </cell>
          <cell r="BS204" t="e">
            <v>#N/A</v>
          </cell>
          <cell r="BT204" t="e">
            <v>#N/A</v>
          </cell>
          <cell r="BU204" t="e">
            <v>#N/A</v>
          </cell>
          <cell r="BV204" t="e">
            <v>#N/A</v>
          </cell>
          <cell r="BW204" t="e">
            <v>#N/A</v>
          </cell>
          <cell r="BX204" t="e">
            <v>#N/A</v>
          </cell>
          <cell r="BY204" t="e">
            <v>#N/A</v>
          </cell>
          <cell r="BZ204" t="e">
            <v>#N/A</v>
          </cell>
          <cell r="CA204" t="e">
            <v>#N/A</v>
          </cell>
          <cell r="CB204" t="e">
            <v>#N/A</v>
          </cell>
          <cell r="CC204" t="e">
            <v>#N/A</v>
          </cell>
          <cell r="CD204" t="e">
            <v>#N/A</v>
          </cell>
          <cell r="CE204" t="e">
            <v>#N/A</v>
          </cell>
          <cell r="CF204" t="e">
            <v>#N/A</v>
          </cell>
          <cell r="CG204" t="e">
            <v>#N/A</v>
          </cell>
          <cell r="CH204" t="e">
            <v>#N/A</v>
          </cell>
          <cell r="CI204" t="e">
            <v>#N/A</v>
          </cell>
          <cell r="CJ204" t="e">
            <v>#N/A</v>
          </cell>
          <cell r="CK204" t="e">
            <v>#N/A</v>
          </cell>
          <cell r="CL204" t="e">
            <v>#N/A</v>
          </cell>
          <cell r="CM204" t="e">
            <v>#N/A</v>
          </cell>
          <cell r="CN204" t="e">
            <v>#N/A</v>
          </cell>
          <cell r="CO204" t="e">
            <v>#N/A</v>
          </cell>
          <cell r="CP204" t="e">
            <v>#N/A</v>
          </cell>
          <cell r="CQ204" t="e">
            <v>#N/A</v>
          </cell>
          <cell r="CR204" t="e">
            <v>#N/A</v>
          </cell>
          <cell r="CS204" t="e">
            <v>#N/A</v>
          </cell>
          <cell r="CT204" t="e">
            <v>#N/A</v>
          </cell>
          <cell r="CU204" t="e">
            <v>#N/A</v>
          </cell>
          <cell r="CV204" t="e">
            <v>#N/A</v>
          </cell>
          <cell r="CW204" t="e">
            <v>#N/A</v>
          </cell>
          <cell r="CX204" t="e">
            <v>#N/A</v>
          </cell>
          <cell r="CY204" t="e">
            <v>#N/A</v>
          </cell>
          <cell r="CZ204" t="e">
            <v>#N/A</v>
          </cell>
          <cell r="DA204" t="e">
            <v>#N/A</v>
          </cell>
          <cell r="DB204" t="e">
            <v>#N/A</v>
          </cell>
          <cell r="DC204" t="e">
            <v>#N/A</v>
          </cell>
          <cell r="DD204" t="e">
            <v>#N/A</v>
          </cell>
          <cell r="DE204" t="e">
            <v>#N/A</v>
          </cell>
          <cell r="DF204" t="e">
            <v>#N/A</v>
          </cell>
          <cell r="DG204" t="e">
            <v>#N/A</v>
          </cell>
          <cell r="DH204" t="e">
            <v>#N/A</v>
          </cell>
          <cell r="DI204" t="e">
            <v>#N/A</v>
          </cell>
          <cell r="DJ204" t="e">
            <v>#N/A</v>
          </cell>
          <cell r="DK204" t="e">
            <v>#N/A</v>
          </cell>
          <cell r="DL204" t="e">
            <v>#N/A</v>
          </cell>
          <cell r="DM204" t="e">
            <v>#N/A</v>
          </cell>
          <cell r="DN204" t="e">
            <v>#N/A</v>
          </cell>
          <cell r="DO204" t="e">
            <v>#N/A</v>
          </cell>
          <cell r="DP204" t="e">
            <v>#N/A</v>
          </cell>
          <cell r="DQ204" t="e">
            <v>#N/A</v>
          </cell>
          <cell r="DR204" t="e">
            <v>#N/A</v>
          </cell>
          <cell r="DS204" t="e">
            <v>#N/A</v>
          </cell>
          <cell r="DT204" t="e">
            <v>#N/A</v>
          </cell>
          <cell r="DU204" t="e">
            <v>#N/A</v>
          </cell>
          <cell r="DV204" t="e">
            <v>#N/A</v>
          </cell>
          <cell r="DW204" t="e">
            <v>#N/A</v>
          </cell>
          <cell r="DX204" t="e">
            <v>#N/A</v>
          </cell>
          <cell r="DY204" t="e">
            <v>#N/A</v>
          </cell>
          <cell r="DZ204" t="e">
            <v>#N/A</v>
          </cell>
          <cell r="EA204" t="e">
            <v>#N/A</v>
          </cell>
          <cell r="EB204" t="e">
            <v>#N/A</v>
          </cell>
          <cell r="EC204" t="e">
            <v>#N/A</v>
          </cell>
          <cell r="ED204" t="e">
            <v>#N/A</v>
          </cell>
          <cell r="EE204">
            <v>0</v>
          </cell>
        </row>
        <row r="206">
          <cell r="A206" t="str">
            <v>Coal Fuel Burn Expense</v>
          </cell>
        </row>
        <row r="207">
          <cell r="F207">
            <v>-3319.6408139849082</v>
          </cell>
          <cell r="G207">
            <v>-2172.1328571592458</v>
          </cell>
          <cell r="H207">
            <v>-909.73423775611445</v>
          </cell>
          <cell r="I207">
            <v>-807.63140544900671</v>
          </cell>
          <cell r="J207">
            <v>-355.66152936592698</v>
          </cell>
          <cell r="K207">
            <v>-101.50340276258066</v>
          </cell>
          <cell r="L207">
            <v>-1181.2758211321197</v>
          </cell>
          <cell r="M207">
            <v>-605.62364916270599</v>
          </cell>
          <cell r="N207">
            <v>-203.20661537442356</v>
          </cell>
          <cell r="O207">
            <v>-201.80794643750414</v>
          </cell>
          <cell r="P207">
            <v>-1006.0425844718702</v>
          </cell>
          <cell r="Q207">
            <v>-585.64266436686739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</row>
        <row r="208">
          <cell r="F208">
            <v>0</v>
          </cell>
          <cell r="G208">
            <v>-19.068109129555523</v>
          </cell>
          <cell r="H208">
            <v>0</v>
          </cell>
          <cell r="I208">
            <v>-107.66233546589501</v>
          </cell>
          <cell r="J208">
            <v>0</v>
          </cell>
          <cell r="K208">
            <v>-105.88933584513143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</row>
        <row r="209">
          <cell r="F209">
            <v>-652.78811082569882</v>
          </cell>
          <cell r="G209">
            <v>-836.39243397023529</v>
          </cell>
          <cell r="H209">
            <v>-82.610554481390864</v>
          </cell>
          <cell r="I209">
            <v>0</v>
          </cell>
          <cell r="J209">
            <v>0</v>
          </cell>
          <cell r="K209">
            <v>0</v>
          </cell>
          <cell r="L209">
            <v>-359.25251736771315</v>
          </cell>
          <cell r="M209">
            <v>-478.66454923711717</v>
          </cell>
          <cell r="N209">
            <v>0</v>
          </cell>
          <cell r="O209">
            <v>-210.20653394260444</v>
          </cell>
          <cell r="P209">
            <v>-375.44516741856933</v>
          </cell>
          <cell r="Q209">
            <v>631.09276367980056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</row>
        <row r="210">
          <cell r="F210">
            <v>0</v>
          </cell>
          <cell r="G210">
            <v>-402.3228630265221</v>
          </cell>
          <cell r="H210">
            <v>-511.72462230967358</v>
          </cell>
          <cell r="I210">
            <v>-2325.6821295712143</v>
          </cell>
          <cell r="J210">
            <v>-2782.3935790425166</v>
          </cell>
          <cell r="K210">
            <v>-1364.8204070487991</v>
          </cell>
          <cell r="L210">
            <v>0</v>
          </cell>
          <cell r="M210">
            <v>0</v>
          </cell>
          <cell r="N210">
            <v>0</v>
          </cell>
          <cell r="O210">
            <v>-459.76498294342309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</row>
        <row r="211">
          <cell r="F211">
            <v>-1067.9916762859793</v>
          </cell>
          <cell r="G211">
            <v>-681.31075539521407</v>
          </cell>
          <cell r="H211">
            <v>-184.28880484541878</v>
          </cell>
          <cell r="I211">
            <v>-109.20050031680148</v>
          </cell>
          <cell r="J211">
            <v>-89.624869420775212</v>
          </cell>
          <cell r="K211">
            <v>0</v>
          </cell>
          <cell r="L211">
            <v>-27.123861453379504</v>
          </cell>
          <cell r="M211">
            <v>0</v>
          </cell>
          <cell r="N211">
            <v>-109.44934308237862</v>
          </cell>
          <cell r="O211">
            <v>-51.780032148119062</v>
          </cell>
          <cell r="P211">
            <v>-207.03718100336846</v>
          </cell>
          <cell r="Q211">
            <v>2511.1760324491188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</row>
        <row r="212">
          <cell r="F212">
            <v>-24234.407162226737</v>
          </cell>
          <cell r="G212">
            <v>-13919.706858906895</v>
          </cell>
          <cell r="H212">
            <v>-6997.4024478103966</v>
          </cell>
          <cell r="I212">
            <v>-3435.0583950607106</v>
          </cell>
          <cell r="J212">
            <v>-3016.2205685684457</v>
          </cell>
          <cell r="K212">
            <v>-4014.6701893424615</v>
          </cell>
          <cell r="L212">
            <v>-12197.665763312951</v>
          </cell>
          <cell r="M212">
            <v>-20340.806237684563</v>
          </cell>
          <cell r="N212">
            <v>-17059.48659157753</v>
          </cell>
          <cell r="O212">
            <v>-6728.5768766831607</v>
          </cell>
          <cell r="P212">
            <v>-12072.836583455093</v>
          </cell>
          <cell r="Q212">
            <v>8813.2408910039812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</row>
        <row r="213">
          <cell r="F213">
            <v>0</v>
          </cell>
          <cell r="G213">
            <v>-892.389638338238</v>
          </cell>
          <cell r="H213">
            <v>-2802.6763804666698</v>
          </cell>
          <cell r="I213">
            <v>-7287.0799697414041</v>
          </cell>
          <cell r="J213">
            <v>-12315.632463891059</v>
          </cell>
          <cell r="K213">
            <v>-10742.176685633138</v>
          </cell>
          <cell r="L213">
            <v>-246.76661245152354</v>
          </cell>
          <cell r="M213">
            <v>-253.68530251830816</v>
          </cell>
          <cell r="N213">
            <v>-1425.3715346809477</v>
          </cell>
          <cell r="O213">
            <v>-5771.8868446927518</v>
          </cell>
          <cell r="P213">
            <v>-697.93803324736655</v>
          </cell>
          <cell r="Q213">
            <v>-241.79001082293689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</row>
        <row r="214">
          <cell r="F214">
            <v>-8592.0498843081295</v>
          </cell>
          <cell r="G214">
            <v>-6730.0090435147285</v>
          </cell>
          <cell r="H214">
            <v>-13082.050212632865</v>
          </cell>
          <cell r="I214">
            <v>-4806.2278185263276</v>
          </cell>
          <cell r="J214">
            <v>-4948.8143177498132</v>
          </cell>
          <cell r="K214">
            <v>-6940.2642324846238</v>
          </cell>
          <cell r="L214">
            <v>-9087.8159544244409</v>
          </cell>
          <cell r="M214">
            <v>-12139.357480794191</v>
          </cell>
          <cell r="N214">
            <v>-19093.5363371782</v>
          </cell>
          <cell r="O214">
            <v>-14164.503515660763</v>
          </cell>
          <cell r="P214">
            <v>-19930.256767783314</v>
          </cell>
          <cell r="Q214">
            <v>3436.267054758966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</row>
        <row r="215">
          <cell r="F215">
            <v>0</v>
          </cell>
          <cell r="G215">
            <v>-869.90343165397644</v>
          </cell>
          <cell r="H215">
            <v>-548.47444175742567</v>
          </cell>
          <cell r="I215">
            <v>-2337.8791434159502</v>
          </cell>
          <cell r="J215">
            <v>-2641.1532465061173</v>
          </cell>
          <cell r="K215">
            <v>-987.80082910414785</v>
          </cell>
          <cell r="L215">
            <v>0</v>
          </cell>
          <cell r="M215">
            <v>0</v>
          </cell>
          <cell r="N215">
            <v>0</v>
          </cell>
          <cell r="O215">
            <v>-55.777061874046922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-205.62960993219167</v>
          </cell>
          <cell r="J216">
            <v>-57.949890071991831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</row>
        <row r="218">
          <cell r="A218" t="str">
            <v>Total Coal Fuel Burn Expense</v>
          </cell>
          <cell r="F218">
            <v>-37866.877647638321</v>
          </cell>
          <cell r="G218">
            <v>-26523.235991105437</v>
          </cell>
          <cell r="H218">
            <v>-25118.961702048779</v>
          </cell>
          <cell r="I218">
            <v>-21422.051307484508</v>
          </cell>
          <cell r="J218">
            <v>-26207.450464628637</v>
          </cell>
          <cell r="K218">
            <v>-24257.125082224607</v>
          </cell>
          <cell r="L218">
            <v>-23099.900530144572</v>
          </cell>
          <cell r="M218">
            <v>-33818.137219384313</v>
          </cell>
          <cell r="N218">
            <v>-37891.050421893597</v>
          </cell>
          <cell r="O218">
            <v>-27644.303794384003</v>
          </cell>
          <cell r="P218">
            <v>-34289.55631737411</v>
          </cell>
          <cell r="Q218">
            <v>14564.34406670928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</row>
        <row r="220">
          <cell r="A220" t="str">
            <v>Gas Fuel Burn Expense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-1385.8288999996148</v>
          </cell>
          <cell r="P221">
            <v>-6014.6925000008196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</row>
        <row r="223">
          <cell r="F223">
            <v>-6078.9117513168603</v>
          </cell>
          <cell r="G223">
            <v>-4044.3996672620997</v>
          </cell>
          <cell r="H223">
            <v>-1915.4222351461649</v>
          </cell>
          <cell r="I223">
            <v>-720.34900171961635</v>
          </cell>
          <cell r="J223">
            <v>-407.48000593110919</v>
          </cell>
          <cell r="K223">
            <v>-891.37708024121821</v>
          </cell>
          <cell r="L223">
            <v>-269.29030452761799</v>
          </cell>
          <cell r="M223">
            <v>-49.257323373109102</v>
          </cell>
          <cell r="N223">
            <v>22.682388557121158</v>
          </cell>
          <cell r="O223">
            <v>-1807.6088424082845</v>
          </cell>
          <cell r="P223">
            <v>-2175.3038413608447</v>
          </cell>
          <cell r="Q223">
            <v>1401.3358112750575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10.455839837202802</v>
          </cell>
          <cell r="M224">
            <v>13.405766583280638</v>
          </cell>
          <cell r="N224">
            <v>21.843483979580924</v>
          </cell>
          <cell r="O224">
            <v>20.326269052689895</v>
          </cell>
          <cell r="P224">
            <v>0</v>
          </cell>
          <cell r="Q224">
            <v>32.741317814274225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</row>
        <row r="225">
          <cell r="F225">
            <v>21.157859105966054</v>
          </cell>
          <cell r="G225">
            <v>15.232798863202333</v>
          </cell>
          <cell r="H225">
            <v>1.4179301765689161</v>
          </cell>
          <cell r="I225">
            <v>-887.81388318148674</v>
          </cell>
          <cell r="J225">
            <v>-729.89658892631996</v>
          </cell>
          <cell r="K225">
            <v>-147.33483040553983</v>
          </cell>
          <cell r="L225">
            <v>-525.02492759202141</v>
          </cell>
          <cell r="M225">
            <v>-929.70778003497981</v>
          </cell>
          <cell r="N225">
            <v>-715.97015341231599</v>
          </cell>
          <cell r="O225">
            <v>-511.72397948114667</v>
          </cell>
          <cell r="P225">
            <v>-396.83746064204024</v>
          </cell>
          <cell r="Q225">
            <v>523.5046534302528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</row>
        <row r="226">
          <cell r="F226">
            <v>0</v>
          </cell>
          <cell r="G226">
            <v>0</v>
          </cell>
          <cell r="H226">
            <v>-249.91419999999925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</row>
        <row r="227">
          <cell r="F227">
            <v>-3626.9453620919958</v>
          </cell>
          <cell r="G227">
            <v>-85.697482982650399</v>
          </cell>
          <cell r="H227">
            <v>-1007.2799526490271</v>
          </cell>
          <cell r="I227">
            <v>-953.93235315568745</v>
          </cell>
          <cell r="J227">
            <v>328.30717146443203</v>
          </cell>
          <cell r="K227">
            <v>58.212852418422699</v>
          </cell>
          <cell r="L227">
            <v>-18.177411690354347</v>
          </cell>
          <cell r="M227">
            <v>77.385656026192009</v>
          </cell>
          <cell r="N227">
            <v>181.74673103634268</v>
          </cell>
          <cell r="O227">
            <v>-121.9575455961749</v>
          </cell>
          <cell r="P227">
            <v>-530.79885716736317</v>
          </cell>
          <cell r="Q227">
            <v>1158.3481168150902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</row>
        <row r="228">
          <cell r="F228">
            <v>-2444.6979756979272</v>
          </cell>
          <cell r="G228">
            <v>-2982.795288617257</v>
          </cell>
          <cell r="H228">
            <v>-1689.4419623827562</v>
          </cell>
          <cell r="I228">
            <v>-1951.9641519421712</v>
          </cell>
          <cell r="J228">
            <v>-3628.1433566072956</v>
          </cell>
          <cell r="K228">
            <v>-3810.5648217722774</v>
          </cell>
          <cell r="L228">
            <v>-364.18241602741182</v>
          </cell>
          <cell r="M228">
            <v>-688.70524920057505</v>
          </cell>
          <cell r="N228">
            <v>-2623.445080159232</v>
          </cell>
          <cell r="O228">
            <v>-3022.648191566579</v>
          </cell>
          <cell r="P228">
            <v>-5505.9496708288789</v>
          </cell>
          <cell r="Q228">
            <v>-103426.23640933447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</row>
        <row r="230">
          <cell r="F230">
            <v>-12129.397229999304</v>
          </cell>
          <cell r="G230">
            <v>-7097.6596399992704</v>
          </cell>
          <cell r="H230">
            <v>-4860.6404200010002</v>
          </cell>
          <cell r="I230">
            <v>-4514.0593899972737</v>
          </cell>
          <cell r="J230">
            <v>-4437.2127800006419</v>
          </cell>
          <cell r="K230">
            <v>-4791.0638800039887</v>
          </cell>
          <cell r="L230">
            <v>-1166.2192199975252</v>
          </cell>
          <cell r="M230">
            <v>-1576.8789299987257</v>
          </cell>
          <cell r="N230">
            <v>-3113.1426299959421</v>
          </cell>
          <cell r="O230">
            <v>-6829.4411899968982</v>
          </cell>
          <cell r="P230">
            <v>-14623.582329999655</v>
          </cell>
          <cell r="Q230">
            <v>-100310.3065099977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</row>
        <row r="236">
          <cell r="A236" t="str">
            <v>Total Gas Fuel Burn Expense</v>
          </cell>
          <cell r="F236">
            <v>-12129.397229999304</v>
          </cell>
          <cell r="G236">
            <v>-7097.6596399992704</v>
          </cell>
          <cell r="H236">
            <v>-4860.6404200010002</v>
          </cell>
          <cell r="I236">
            <v>-4514.0593899972737</v>
          </cell>
          <cell r="J236">
            <v>-4437.2127800006419</v>
          </cell>
          <cell r="K236">
            <v>-4791.0638800039887</v>
          </cell>
          <cell r="L236">
            <v>-1166.2192199975252</v>
          </cell>
          <cell r="M236">
            <v>-1576.8789299987257</v>
          </cell>
          <cell r="N236">
            <v>-3113.1426299959421</v>
          </cell>
          <cell r="O236">
            <v>-6829.4411899968982</v>
          </cell>
          <cell r="P236">
            <v>-14623.582329999655</v>
          </cell>
          <cell r="Q236">
            <v>-100310.3065099977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</row>
        <row r="238">
          <cell r="A238" t="str">
            <v>Other Generation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</row>
        <row r="243">
          <cell r="A243" t="str">
            <v>Total Other Generation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</row>
        <row r="245">
          <cell r="A245" t="str">
            <v>IRP Resources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</row>
        <row r="270">
          <cell r="A270" t="str">
            <v>Total IRP Resources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</row>
        <row r="272">
          <cell r="A272" t="str">
            <v>Growth Station Resources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</row>
        <row r="281">
          <cell r="A281" t="str">
            <v>Total Growth Station Resources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</row>
        <row r="282">
          <cell r="F282" t="str">
            <v>=</v>
          </cell>
          <cell r="G282" t="str">
            <v>=</v>
          </cell>
          <cell r="H282" t="str">
            <v>=</v>
          </cell>
          <cell r="I282" t="str">
            <v>=</v>
          </cell>
          <cell r="J282" t="str">
            <v>=</v>
          </cell>
          <cell r="K282" t="str">
            <v>=</v>
          </cell>
          <cell r="L282" t="str">
            <v>=</v>
          </cell>
          <cell r="M282" t="str">
            <v>=</v>
          </cell>
          <cell r="N282" t="str">
            <v>=</v>
          </cell>
          <cell r="O282" t="str">
            <v>=</v>
          </cell>
          <cell r="P282" t="str">
            <v>=</v>
          </cell>
          <cell r="Q282" t="str">
            <v>=</v>
          </cell>
          <cell r="R282" t="str">
            <v>=</v>
          </cell>
          <cell r="S282" t="str">
            <v>=</v>
          </cell>
          <cell r="T282" t="str">
            <v>=</v>
          </cell>
          <cell r="U282" t="str">
            <v>=</v>
          </cell>
          <cell r="V282" t="str">
            <v>=</v>
          </cell>
          <cell r="W282" t="str">
            <v>=</v>
          </cell>
          <cell r="X282" t="str">
            <v>=</v>
          </cell>
          <cell r="Y282" t="str">
            <v>=</v>
          </cell>
          <cell r="Z282" t="str">
            <v>=</v>
          </cell>
          <cell r="AA282" t="str">
            <v>=</v>
          </cell>
          <cell r="AB282" t="str">
            <v>=</v>
          </cell>
          <cell r="AC282" t="str">
            <v>=</v>
          </cell>
          <cell r="AD282" t="str">
            <v>=</v>
          </cell>
          <cell r="AE282" t="str">
            <v>=</v>
          </cell>
          <cell r="AF282" t="str">
            <v>=</v>
          </cell>
          <cell r="AG282" t="str">
            <v>=</v>
          </cell>
          <cell r="AH282" t="str">
            <v>=</v>
          </cell>
          <cell r="AI282" t="str">
            <v>=</v>
          </cell>
          <cell r="AJ282" t="str">
            <v>=</v>
          </cell>
          <cell r="AK282" t="str">
            <v>=</v>
          </cell>
          <cell r="AL282" t="str">
            <v>=</v>
          </cell>
          <cell r="AM282" t="str">
            <v>=</v>
          </cell>
          <cell r="AN282" t="str">
            <v>=</v>
          </cell>
          <cell r="AO282" t="str">
            <v>=</v>
          </cell>
          <cell r="AP282" t="str">
            <v>=</v>
          </cell>
          <cell r="AQ282" t="str">
            <v>=</v>
          </cell>
          <cell r="AR282" t="str">
            <v>=</v>
          </cell>
          <cell r="AS282" t="str">
            <v>=</v>
          </cell>
          <cell r="AT282" t="str">
            <v>=</v>
          </cell>
          <cell r="AU282" t="str">
            <v>=</v>
          </cell>
          <cell r="AV282" t="str">
            <v>=</v>
          </cell>
          <cell r="AW282" t="str">
            <v>=</v>
          </cell>
          <cell r="AX282" t="str">
            <v>=</v>
          </cell>
          <cell r="AY282" t="str">
            <v>=</v>
          </cell>
          <cell r="AZ282" t="str">
            <v>=</v>
          </cell>
          <cell r="BA282" t="str">
            <v>=</v>
          </cell>
          <cell r="BB282" t="str">
            <v>=</v>
          </cell>
          <cell r="BC282" t="str">
            <v>=</v>
          </cell>
          <cell r="BD282" t="str">
            <v>=</v>
          </cell>
          <cell r="BE282" t="str">
            <v>=</v>
          </cell>
          <cell r="BF282" t="str">
            <v>=</v>
          </cell>
          <cell r="BG282" t="str">
            <v>=</v>
          </cell>
          <cell r="BH282" t="str">
            <v>=</v>
          </cell>
          <cell r="BI282" t="str">
            <v>=</v>
          </cell>
          <cell r="BJ282" t="str">
            <v>=</v>
          </cell>
          <cell r="BK282" t="str">
            <v>=</v>
          </cell>
          <cell r="BL282" t="str">
            <v>=</v>
          </cell>
          <cell r="BM282" t="str">
            <v>=</v>
          </cell>
          <cell r="BN282" t="str">
            <v>=</v>
          </cell>
          <cell r="BO282" t="str">
            <v>=</v>
          </cell>
          <cell r="BP282" t="str">
            <v>=</v>
          </cell>
          <cell r="BQ282" t="str">
            <v>=</v>
          </cell>
          <cell r="BR282" t="str">
            <v>=</v>
          </cell>
          <cell r="BS282" t="str">
            <v>=</v>
          </cell>
          <cell r="BT282" t="str">
            <v>=</v>
          </cell>
          <cell r="BU282" t="str">
            <v>=</v>
          </cell>
          <cell r="BV282" t="str">
            <v>=</v>
          </cell>
          <cell r="BW282" t="str">
            <v>=</v>
          </cell>
          <cell r="BX282" t="str">
            <v>=</v>
          </cell>
          <cell r="BY282" t="str">
            <v>=</v>
          </cell>
          <cell r="BZ282" t="str">
            <v>=</v>
          </cell>
          <cell r="CA282" t="str">
            <v>=</v>
          </cell>
          <cell r="CB282" t="str">
            <v>=</v>
          </cell>
          <cell r="CC282" t="str">
            <v>=</v>
          </cell>
          <cell r="CD282" t="str">
            <v>=</v>
          </cell>
          <cell r="CE282" t="str">
            <v>=</v>
          </cell>
          <cell r="CF282" t="str">
            <v>=</v>
          </cell>
          <cell r="CG282" t="str">
            <v>=</v>
          </cell>
          <cell r="CH282" t="str">
            <v>=</v>
          </cell>
          <cell r="CI282" t="str">
            <v>=</v>
          </cell>
          <cell r="CJ282" t="str">
            <v>=</v>
          </cell>
          <cell r="CK282" t="str">
            <v>=</v>
          </cell>
          <cell r="CL282" t="str">
            <v>=</v>
          </cell>
          <cell r="CM282" t="str">
            <v>=</v>
          </cell>
          <cell r="CN282" t="str">
            <v>=</v>
          </cell>
          <cell r="CO282" t="str">
            <v>=</v>
          </cell>
          <cell r="CP282" t="str">
            <v>=</v>
          </cell>
          <cell r="CQ282" t="str">
            <v>=</v>
          </cell>
          <cell r="CR282" t="str">
            <v>=</v>
          </cell>
          <cell r="CS282" t="str">
            <v>=</v>
          </cell>
          <cell r="CT282" t="str">
            <v>=</v>
          </cell>
          <cell r="CU282" t="str">
            <v>=</v>
          </cell>
          <cell r="CV282" t="str">
            <v>=</v>
          </cell>
          <cell r="CW282" t="str">
            <v>=</v>
          </cell>
          <cell r="CX282" t="str">
            <v>=</v>
          </cell>
          <cell r="CY282" t="str">
            <v>=</v>
          </cell>
          <cell r="CZ282" t="str">
            <v>=</v>
          </cell>
          <cell r="DA282" t="str">
            <v>=</v>
          </cell>
          <cell r="DB282" t="str">
            <v>=</v>
          </cell>
          <cell r="DC282" t="str">
            <v>=</v>
          </cell>
          <cell r="DD282" t="str">
            <v>=</v>
          </cell>
          <cell r="DE282" t="str">
            <v>=</v>
          </cell>
          <cell r="DF282" t="str">
            <v>=</v>
          </cell>
          <cell r="DG282" t="str">
            <v>=</v>
          </cell>
          <cell r="DH282" t="str">
            <v>=</v>
          </cell>
          <cell r="DI282" t="str">
            <v>=</v>
          </cell>
          <cell r="DJ282" t="str">
            <v>=</v>
          </cell>
          <cell r="DK282" t="str">
            <v>=</v>
          </cell>
          <cell r="DL282" t="str">
            <v>=</v>
          </cell>
          <cell r="DM282" t="str">
            <v>=</v>
          </cell>
          <cell r="DN282" t="str">
            <v>=</v>
          </cell>
          <cell r="DO282" t="str">
            <v>=</v>
          </cell>
          <cell r="DP282" t="str">
            <v>=</v>
          </cell>
          <cell r="DQ282" t="str">
            <v>=</v>
          </cell>
          <cell r="DR282" t="str">
            <v>=</v>
          </cell>
          <cell r="DS282" t="str">
            <v>=</v>
          </cell>
          <cell r="DT282" t="str">
            <v>=</v>
          </cell>
          <cell r="DU282" t="str">
            <v>=</v>
          </cell>
          <cell r="DV282" t="str">
            <v>=</v>
          </cell>
          <cell r="DW282" t="str">
            <v>=</v>
          </cell>
          <cell r="DX282" t="str">
            <v>=</v>
          </cell>
          <cell r="DY282" t="str">
            <v>=</v>
          </cell>
          <cell r="DZ282" t="str">
            <v>=</v>
          </cell>
          <cell r="EA282" t="str">
            <v>=</v>
          </cell>
          <cell r="EB282" t="str">
            <v>=</v>
          </cell>
          <cell r="EC282" t="str">
            <v>=</v>
          </cell>
          <cell r="ED282" t="str">
            <v>=</v>
          </cell>
        </row>
        <row r="283">
          <cell r="A283" t="str">
            <v>Net Power Cost</v>
          </cell>
          <cell r="F283">
            <v>-75655.521877661347</v>
          </cell>
          <cell r="G283">
            <v>-65941.218911111355</v>
          </cell>
          <cell r="H283">
            <v>-63320.040522038937</v>
          </cell>
          <cell r="I283">
            <v>-51776.3138974756</v>
          </cell>
          <cell r="J283">
            <v>-55160.775804638863</v>
          </cell>
          <cell r="K283">
            <v>-56183.465162247419</v>
          </cell>
          <cell r="L283">
            <v>-91333.981063604355</v>
          </cell>
          <cell r="M283">
            <v>-100709.87890937924</v>
          </cell>
          <cell r="N283">
            <v>-76448.585611909628</v>
          </cell>
          <cell r="O283">
            <v>-63394.11498439312</v>
          </cell>
          <cell r="P283">
            <v>-58488.135047376156</v>
          </cell>
          <cell r="Q283">
            <v>-45256.567343264818</v>
          </cell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 t="e">
            <v>#N/A</v>
          </cell>
          <cell r="W283" t="e">
            <v>#N/A</v>
          </cell>
          <cell r="X283" t="e">
            <v>#N/A</v>
          </cell>
          <cell r="Y283" t="e">
            <v>#N/A</v>
          </cell>
          <cell r="Z283" t="e">
            <v>#N/A</v>
          </cell>
          <cell r="AA283" t="e">
            <v>#N/A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 t="e">
            <v>#N/A</v>
          </cell>
          <cell r="AH283" t="e">
            <v>#N/A</v>
          </cell>
          <cell r="AI283" t="e">
            <v>#N/A</v>
          </cell>
          <cell r="AJ283" t="e">
            <v>#N/A</v>
          </cell>
          <cell r="AK283" t="e">
            <v>#N/A</v>
          </cell>
          <cell r="AL283" t="e">
            <v>#N/A</v>
          </cell>
          <cell r="AM283" t="e">
            <v>#N/A</v>
          </cell>
          <cell r="AN283" t="e">
            <v>#N/A</v>
          </cell>
          <cell r="AO283" t="e">
            <v>#N/A</v>
          </cell>
          <cell r="AP283" t="e">
            <v>#N/A</v>
          </cell>
          <cell r="AQ283" t="e">
            <v>#N/A</v>
          </cell>
          <cell r="AR283" t="e">
            <v>#N/A</v>
          </cell>
          <cell r="AS283" t="e">
            <v>#N/A</v>
          </cell>
          <cell r="AT283" t="e">
            <v>#N/A</v>
          </cell>
          <cell r="AU283" t="e">
            <v>#N/A</v>
          </cell>
          <cell r="AV283" t="e">
            <v>#N/A</v>
          </cell>
          <cell r="AW283" t="e">
            <v>#N/A</v>
          </cell>
          <cell r="AX283" t="e">
            <v>#N/A</v>
          </cell>
          <cell r="AY283" t="e">
            <v>#N/A</v>
          </cell>
          <cell r="AZ283" t="e">
            <v>#N/A</v>
          </cell>
          <cell r="BA283" t="e">
            <v>#N/A</v>
          </cell>
          <cell r="BB283" t="e">
            <v>#N/A</v>
          </cell>
          <cell r="BC283" t="e">
            <v>#N/A</v>
          </cell>
          <cell r="BD283" t="e">
            <v>#N/A</v>
          </cell>
          <cell r="BE283" t="e">
            <v>#N/A</v>
          </cell>
          <cell r="BF283" t="e">
            <v>#N/A</v>
          </cell>
          <cell r="BG283" t="e">
            <v>#N/A</v>
          </cell>
          <cell r="BH283" t="e">
            <v>#N/A</v>
          </cell>
          <cell r="BI283" t="e">
            <v>#N/A</v>
          </cell>
          <cell r="BJ283" t="e">
            <v>#N/A</v>
          </cell>
          <cell r="BK283" t="e">
            <v>#N/A</v>
          </cell>
          <cell r="BL283" t="e">
            <v>#N/A</v>
          </cell>
          <cell r="BM283" t="e">
            <v>#N/A</v>
          </cell>
          <cell r="BN283" t="e">
            <v>#N/A</v>
          </cell>
          <cell r="BO283" t="e">
            <v>#N/A</v>
          </cell>
          <cell r="BP283" t="e">
            <v>#N/A</v>
          </cell>
          <cell r="BQ283" t="e">
            <v>#N/A</v>
          </cell>
          <cell r="BR283" t="e">
            <v>#N/A</v>
          </cell>
          <cell r="BS283" t="e">
            <v>#N/A</v>
          </cell>
          <cell r="BT283" t="e">
            <v>#N/A</v>
          </cell>
          <cell r="BU283" t="e">
            <v>#N/A</v>
          </cell>
          <cell r="BV283" t="e">
            <v>#N/A</v>
          </cell>
          <cell r="BW283" t="e">
            <v>#N/A</v>
          </cell>
          <cell r="BX283" t="e">
            <v>#N/A</v>
          </cell>
          <cell r="BY283" t="e">
            <v>#N/A</v>
          </cell>
          <cell r="BZ283" t="e">
            <v>#N/A</v>
          </cell>
          <cell r="CA283" t="e">
            <v>#N/A</v>
          </cell>
          <cell r="CB283" t="e">
            <v>#N/A</v>
          </cell>
          <cell r="CC283" t="e">
            <v>#N/A</v>
          </cell>
          <cell r="CD283" t="e">
            <v>#N/A</v>
          </cell>
          <cell r="CE283" t="e">
            <v>#N/A</v>
          </cell>
          <cell r="CF283" t="e">
            <v>#N/A</v>
          </cell>
          <cell r="CG283" t="e">
            <v>#N/A</v>
          </cell>
          <cell r="CH283" t="e">
            <v>#N/A</v>
          </cell>
          <cell r="CI283" t="e">
            <v>#N/A</v>
          </cell>
          <cell r="CJ283" t="e">
            <v>#N/A</v>
          </cell>
          <cell r="CK283" t="e">
            <v>#N/A</v>
          </cell>
          <cell r="CL283" t="e">
            <v>#N/A</v>
          </cell>
          <cell r="CM283" t="e">
            <v>#N/A</v>
          </cell>
          <cell r="CN283" t="e">
            <v>#N/A</v>
          </cell>
          <cell r="CO283" t="e">
            <v>#N/A</v>
          </cell>
          <cell r="CP283" t="e">
            <v>#N/A</v>
          </cell>
          <cell r="CQ283" t="e">
            <v>#N/A</v>
          </cell>
          <cell r="CR283" t="e">
            <v>#N/A</v>
          </cell>
          <cell r="CS283" t="e">
            <v>#N/A</v>
          </cell>
          <cell r="CT283" t="e">
            <v>#N/A</v>
          </cell>
          <cell r="CU283" t="e">
            <v>#N/A</v>
          </cell>
          <cell r="CV283" t="e">
            <v>#N/A</v>
          </cell>
          <cell r="CW283" t="e">
            <v>#N/A</v>
          </cell>
          <cell r="CX283" t="e">
            <v>#N/A</v>
          </cell>
          <cell r="CY283" t="e">
            <v>#N/A</v>
          </cell>
          <cell r="CZ283" t="e">
            <v>#N/A</v>
          </cell>
          <cell r="DA283" t="e">
            <v>#N/A</v>
          </cell>
          <cell r="DB283" t="e">
            <v>#N/A</v>
          </cell>
          <cell r="DC283" t="e">
            <v>#N/A</v>
          </cell>
          <cell r="DD283" t="e">
            <v>#N/A</v>
          </cell>
          <cell r="DE283" t="e">
            <v>#N/A</v>
          </cell>
          <cell r="DF283" t="e">
            <v>#N/A</v>
          </cell>
          <cell r="DG283" t="e">
            <v>#N/A</v>
          </cell>
          <cell r="DH283" t="e">
            <v>#N/A</v>
          </cell>
          <cell r="DI283" t="e">
            <v>#N/A</v>
          </cell>
          <cell r="DJ283" t="e">
            <v>#N/A</v>
          </cell>
          <cell r="DK283" t="e">
            <v>#N/A</v>
          </cell>
          <cell r="DL283" t="e">
            <v>#N/A</v>
          </cell>
          <cell r="DM283" t="e">
            <v>#N/A</v>
          </cell>
          <cell r="DN283" t="e">
            <v>#N/A</v>
          </cell>
          <cell r="DO283" t="e">
            <v>#N/A</v>
          </cell>
          <cell r="DP283" t="e">
            <v>#N/A</v>
          </cell>
          <cell r="DQ283" t="e">
            <v>#N/A</v>
          </cell>
          <cell r="DR283" t="e">
            <v>#N/A</v>
          </cell>
          <cell r="DS283" t="e">
            <v>#N/A</v>
          </cell>
          <cell r="DT283" t="e">
            <v>#N/A</v>
          </cell>
          <cell r="DU283" t="e">
            <v>#N/A</v>
          </cell>
          <cell r="DV283" t="e">
            <v>#N/A</v>
          </cell>
          <cell r="DW283" t="e">
            <v>#N/A</v>
          </cell>
          <cell r="DX283" t="e">
            <v>#N/A</v>
          </cell>
          <cell r="DY283" t="e">
            <v>#N/A</v>
          </cell>
          <cell r="DZ283" t="e">
            <v>#N/A</v>
          </cell>
          <cell r="EA283" t="e">
            <v>#N/A</v>
          </cell>
          <cell r="EB283" t="e">
            <v>#N/A</v>
          </cell>
          <cell r="EC283" t="e">
            <v>#N/A</v>
          </cell>
          <cell r="ED283" t="e">
            <v>#N/A</v>
          </cell>
        </row>
        <row r="284">
          <cell r="F284" t="str">
            <v>=</v>
          </cell>
          <cell r="G284" t="str">
            <v>=</v>
          </cell>
          <cell r="H284" t="str">
            <v>=</v>
          </cell>
          <cell r="I284" t="str">
            <v>=</v>
          </cell>
          <cell r="J284" t="str">
            <v>=</v>
          </cell>
          <cell r="K284" t="str">
            <v>=</v>
          </cell>
          <cell r="L284" t="str">
            <v>=</v>
          </cell>
          <cell r="M284" t="str">
            <v>=</v>
          </cell>
          <cell r="N284" t="str">
            <v>=</v>
          </cell>
          <cell r="O284" t="str">
            <v>=</v>
          </cell>
          <cell r="P284" t="str">
            <v>=</v>
          </cell>
          <cell r="Q284" t="str">
            <v>=</v>
          </cell>
          <cell r="R284" t="str">
            <v>=</v>
          </cell>
          <cell r="S284" t="str">
            <v>=</v>
          </cell>
          <cell r="T284" t="str">
            <v>=</v>
          </cell>
          <cell r="U284" t="str">
            <v>=</v>
          </cell>
          <cell r="V284" t="str">
            <v>=</v>
          </cell>
          <cell r="W284" t="str">
            <v>=</v>
          </cell>
          <cell r="X284" t="str">
            <v>=</v>
          </cell>
          <cell r="Y284" t="str">
            <v>=</v>
          </cell>
          <cell r="Z284" t="str">
            <v>=</v>
          </cell>
          <cell r="AA284" t="str">
            <v>=</v>
          </cell>
          <cell r="AB284" t="str">
            <v>=</v>
          </cell>
          <cell r="AC284" t="str">
            <v>=</v>
          </cell>
          <cell r="AD284" t="str">
            <v>=</v>
          </cell>
          <cell r="AE284" t="str">
            <v>=</v>
          </cell>
          <cell r="AF284" t="str">
            <v>=</v>
          </cell>
          <cell r="AG284" t="str">
            <v>=</v>
          </cell>
          <cell r="AH284" t="str">
            <v>=</v>
          </cell>
          <cell r="AI284" t="str">
            <v>=</v>
          </cell>
          <cell r="AJ284" t="str">
            <v>=</v>
          </cell>
          <cell r="AK284" t="str">
            <v>=</v>
          </cell>
          <cell r="AL284" t="str">
            <v>=</v>
          </cell>
          <cell r="AM284" t="str">
            <v>=</v>
          </cell>
          <cell r="AN284" t="str">
            <v>=</v>
          </cell>
          <cell r="AO284" t="str">
            <v>=</v>
          </cell>
          <cell r="AP284" t="str">
            <v>=</v>
          </cell>
          <cell r="AQ284" t="str">
            <v>=</v>
          </cell>
          <cell r="AR284" t="str">
            <v>=</v>
          </cell>
          <cell r="AS284" t="str">
            <v>=</v>
          </cell>
          <cell r="AT284" t="str">
            <v>=</v>
          </cell>
          <cell r="AU284" t="str">
            <v>=</v>
          </cell>
          <cell r="AV284" t="str">
            <v>=</v>
          </cell>
          <cell r="AW284" t="str">
            <v>=</v>
          </cell>
          <cell r="AX284" t="str">
            <v>=</v>
          </cell>
          <cell r="AY284" t="str">
            <v>=</v>
          </cell>
          <cell r="AZ284" t="str">
            <v>=</v>
          </cell>
          <cell r="BA284" t="str">
            <v>=</v>
          </cell>
          <cell r="BB284" t="str">
            <v>=</v>
          </cell>
          <cell r="BC284" t="str">
            <v>=</v>
          </cell>
          <cell r="BD284" t="str">
            <v>=</v>
          </cell>
          <cell r="BE284" t="str">
            <v>=</v>
          </cell>
          <cell r="BF284" t="str">
            <v>=</v>
          </cell>
          <cell r="BG284" t="str">
            <v>=</v>
          </cell>
          <cell r="BH284" t="str">
            <v>=</v>
          </cell>
          <cell r="BI284" t="str">
            <v>=</v>
          </cell>
          <cell r="BJ284" t="str">
            <v>=</v>
          </cell>
          <cell r="BK284" t="str">
            <v>=</v>
          </cell>
          <cell r="BL284" t="str">
            <v>=</v>
          </cell>
          <cell r="BM284" t="str">
            <v>=</v>
          </cell>
          <cell r="BN284" t="str">
            <v>=</v>
          </cell>
          <cell r="BO284" t="str">
            <v>=</v>
          </cell>
          <cell r="BP284" t="str">
            <v>=</v>
          </cell>
          <cell r="BQ284" t="str">
            <v>=</v>
          </cell>
          <cell r="BR284" t="str">
            <v>=</v>
          </cell>
          <cell r="BS284" t="str">
            <v>=</v>
          </cell>
          <cell r="BT284" t="str">
            <v>=</v>
          </cell>
          <cell r="BU284" t="str">
            <v>=</v>
          </cell>
          <cell r="BV284" t="str">
            <v>=</v>
          </cell>
          <cell r="BW284" t="str">
            <v>=</v>
          </cell>
          <cell r="BX284" t="str">
            <v>=</v>
          </cell>
          <cell r="BY284" t="str">
            <v>=</v>
          </cell>
          <cell r="BZ284" t="str">
            <v>=</v>
          </cell>
          <cell r="CA284" t="str">
            <v>=</v>
          </cell>
          <cell r="CB284" t="str">
            <v>=</v>
          </cell>
          <cell r="CC284" t="str">
            <v>=</v>
          </cell>
          <cell r="CD284" t="str">
            <v>=</v>
          </cell>
          <cell r="CE284" t="str">
            <v>=</v>
          </cell>
          <cell r="CF284" t="str">
            <v>=</v>
          </cell>
          <cell r="CG284" t="str">
            <v>=</v>
          </cell>
          <cell r="CH284" t="str">
            <v>=</v>
          </cell>
          <cell r="CI284" t="str">
            <v>=</v>
          </cell>
          <cell r="CJ284" t="str">
            <v>=</v>
          </cell>
          <cell r="CK284" t="str">
            <v>=</v>
          </cell>
          <cell r="CL284" t="str">
            <v>=</v>
          </cell>
          <cell r="CM284" t="str">
            <v>=</v>
          </cell>
          <cell r="CN284" t="str">
            <v>=</v>
          </cell>
          <cell r="CO284" t="str">
            <v>=</v>
          </cell>
          <cell r="CP284" t="str">
            <v>=</v>
          </cell>
          <cell r="CQ284" t="str">
            <v>=</v>
          </cell>
          <cell r="CR284" t="str">
            <v>=</v>
          </cell>
          <cell r="CS284" t="str">
            <v>=</v>
          </cell>
          <cell r="CT284" t="str">
            <v>=</v>
          </cell>
          <cell r="CU284" t="str">
            <v>=</v>
          </cell>
          <cell r="CV284" t="str">
            <v>=</v>
          </cell>
          <cell r="CW284" t="str">
            <v>=</v>
          </cell>
          <cell r="CX284" t="str">
            <v>=</v>
          </cell>
          <cell r="CY284" t="str">
            <v>=</v>
          </cell>
          <cell r="CZ284" t="str">
            <v>=</v>
          </cell>
          <cell r="DA284" t="str">
            <v>=</v>
          </cell>
          <cell r="DB284" t="str">
            <v>=</v>
          </cell>
          <cell r="DC284" t="str">
            <v>=</v>
          </cell>
          <cell r="DD284" t="str">
            <v>=</v>
          </cell>
          <cell r="DE284" t="str">
            <v>=</v>
          </cell>
          <cell r="DF284" t="str">
            <v>=</v>
          </cell>
          <cell r="DG284" t="str">
            <v>=</v>
          </cell>
          <cell r="DH284" t="str">
            <v>=</v>
          </cell>
          <cell r="DI284" t="str">
            <v>=</v>
          </cell>
          <cell r="DJ284" t="str">
            <v>=</v>
          </cell>
          <cell r="DK284" t="str">
            <v>=</v>
          </cell>
          <cell r="DL284" t="str">
            <v>=</v>
          </cell>
          <cell r="DM284" t="str">
            <v>=</v>
          </cell>
          <cell r="DN284" t="str">
            <v>=</v>
          </cell>
          <cell r="DO284" t="str">
            <v>=</v>
          </cell>
          <cell r="DP284" t="str">
            <v>=</v>
          </cell>
          <cell r="DQ284" t="str">
            <v>=</v>
          </cell>
          <cell r="DR284" t="str">
            <v>=</v>
          </cell>
          <cell r="DS284" t="str">
            <v>=</v>
          </cell>
          <cell r="DT284" t="str">
            <v>=</v>
          </cell>
          <cell r="DU284" t="str">
            <v>=</v>
          </cell>
          <cell r="DV284" t="str">
            <v>=</v>
          </cell>
          <cell r="DW284" t="str">
            <v>=</v>
          </cell>
          <cell r="DX284" t="str">
            <v>=</v>
          </cell>
          <cell r="DY284" t="str">
            <v>=</v>
          </cell>
          <cell r="DZ284" t="str">
            <v>=</v>
          </cell>
          <cell r="EA284" t="str">
            <v>=</v>
          </cell>
          <cell r="EB284" t="str">
            <v>=</v>
          </cell>
          <cell r="EC284" t="str">
            <v>=</v>
          </cell>
          <cell r="ED284" t="str">
            <v>=</v>
          </cell>
        </row>
        <row r="285">
          <cell r="A285" t="str">
            <v>Net Power Cost/Net System Load</v>
          </cell>
          <cell r="F285">
            <v>-1.4281825290733963E-2</v>
          </cell>
          <cell r="G285">
            <v>-1.4210378561287484E-2</v>
          </cell>
          <cell r="H285">
            <v>-1.3192759349411887E-2</v>
          </cell>
          <cell r="I285">
            <v>-1.1392877743972463E-2</v>
          </cell>
          <cell r="J285">
            <v>-1.166813261668409E-2</v>
          </cell>
          <cell r="K285">
            <v>-1.1333387114227378E-2</v>
          </cell>
          <cell r="L285">
            <v>-1.6062753233228477E-2</v>
          </cell>
          <cell r="M285">
            <v>-1.847681359939557E-2</v>
          </cell>
          <cell r="N285">
            <v>-1.6078525813028932E-2</v>
          </cell>
          <cell r="O285">
            <v>-1.3543882241293659E-2</v>
          </cell>
          <cell r="P285">
            <v>-1.2089018158260245E-2</v>
          </cell>
          <cell r="Q285">
            <v>-8.4443380139376245E-3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</row>
        <row r="286">
          <cell r="F286">
            <v>19.295546376747399</v>
          </cell>
          <cell r="G286">
            <v>18.619888777195534</v>
          </cell>
          <cell r="H286">
            <v>16.149446175868412</v>
          </cell>
          <cell r="I286">
            <v>13.645454853857158</v>
          </cell>
          <cell r="J286">
            <v>14.068468253208174</v>
          </cell>
          <cell r="K286">
            <v>14.806943169472754</v>
          </cell>
          <cell r="L286">
            <v>23.294255642509935</v>
          </cell>
          <cell r="M286">
            <v>25.685529500872061</v>
          </cell>
          <cell r="N286">
            <v>20.147740251926425</v>
          </cell>
          <cell r="O286">
            <v>16.168338481257553</v>
          </cell>
          <cell r="P286">
            <v>15.414330341391565</v>
          </cell>
          <cell r="Q286">
            <v>11.542451527020674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</row>
        <row r="288">
          <cell r="A288" t="str">
            <v>Adjustments to Load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</row>
        <row r="297">
          <cell r="A297" t="str">
            <v>Net System Load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</row>
        <row r="299">
          <cell r="A299" t="str">
            <v>Special Sales For Resale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</row>
        <row r="303">
          <cell r="C303" t="str">
            <v>East Area Sales (WCA Sale)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</row>
        <row r="304">
          <cell r="C304" t="str">
            <v>Hurricane Sale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</row>
        <row r="305">
          <cell r="C305" t="str">
            <v>LADWP (IPP Layoff)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</row>
        <row r="306">
          <cell r="C306" t="str">
            <v>Shell Sale 2013-2014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</row>
        <row r="307">
          <cell r="C307" t="str">
            <v>SMUD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</row>
        <row r="308">
          <cell r="C308" t="str">
            <v>UMPA II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</row>
        <row r="313">
          <cell r="C313" t="str">
            <v>COB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</row>
        <row r="314">
          <cell r="C314" t="str">
            <v>Four Corners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</row>
        <row r="315">
          <cell r="C315" t="str">
            <v>Mid Columbia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</row>
        <row r="316">
          <cell r="C316" t="str">
            <v>Mona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</row>
        <row r="317">
          <cell r="C317" t="str">
            <v>Palo Verde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</row>
        <row r="318">
          <cell r="C318" t="str">
            <v>SP15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</row>
        <row r="319">
          <cell r="C319" t="str">
            <v>STF Index Trades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</row>
        <row r="324">
          <cell r="C324" t="str">
            <v>COB</v>
          </cell>
          <cell r="F324">
            <v>0</v>
          </cell>
          <cell r="G324">
            <v>15.813000000001921</v>
          </cell>
          <cell r="H324">
            <v>5.8399999999965075</v>
          </cell>
          <cell r="I324">
            <v>76.220000000001164</v>
          </cell>
          <cell r="J324">
            <v>109.42599999999948</v>
          </cell>
          <cell r="K324">
            <v>78.430000000007567</v>
          </cell>
          <cell r="L324">
            <v>25.588000000003376</v>
          </cell>
          <cell r="M324">
            <v>58.913999999997031</v>
          </cell>
          <cell r="N324">
            <v>10.234000000004016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</row>
        <row r="325">
          <cell r="C325" t="str">
            <v>Four Corners</v>
          </cell>
          <cell r="F325">
            <v>81.876000000003842</v>
          </cell>
          <cell r="G325">
            <v>20.467000000004191</v>
          </cell>
          <cell r="H325">
            <v>0</v>
          </cell>
          <cell r="I325">
            <v>31.163000000000466</v>
          </cell>
          <cell r="J325">
            <v>58.150000000001455</v>
          </cell>
          <cell r="K325">
            <v>10.389999999999418</v>
          </cell>
          <cell r="L325">
            <v>39.099999999991269</v>
          </cell>
          <cell r="M325">
            <v>20.460000000006403</v>
          </cell>
          <cell r="N325">
            <v>20.684000000008382</v>
          </cell>
          <cell r="O325">
            <v>15.509999999994761</v>
          </cell>
          <cell r="P325">
            <v>60.55000000000291</v>
          </cell>
          <cell r="Q325">
            <v>-523.09399999999732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</row>
        <row r="326">
          <cell r="C326" t="str">
            <v>Mid Columbia</v>
          </cell>
          <cell r="F326">
            <v>55.349999999976717</v>
          </cell>
          <cell r="G326">
            <v>531.45999999999185</v>
          </cell>
          <cell r="H326">
            <v>730.23999999999069</v>
          </cell>
          <cell r="I326">
            <v>46.66359999999986</v>
          </cell>
          <cell r="J326">
            <v>10.386599999999817</v>
          </cell>
          <cell r="K326">
            <v>82.325999999999112</v>
          </cell>
          <cell r="L326">
            <v>667.11999999999534</v>
          </cell>
          <cell r="M326">
            <v>127.91599999999744</v>
          </cell>
          <cell r="N326">
            <v>245.74499999999534</v>
          </cell>
          <cell r="O326">
            <v>547.57999999998719</v>
          </cell>
          <cell r="P326">
            <v>66.879999999975553</v>
          </cell>
          <cell r="Q326">
            <v>137.9199999999837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</row>
        <row r="327">
          <cell r="C327" t="str">
            <v>Mona</v>
          </cell>
          <cell r="F327">
            <v>303.39999999999418</v>
          </cell>
          <cell r="G327">
            <v>81.495999999999185</v>
          </cell>
          <cell r="H327">
            <v>35.966999999989639</v>
          </cell>
          <cell r="I327">
            <v>47.179000000003725</v>
          </cell>
          <cell r="J327">
            <v>41.295000000012806</v>
          </cell>
          <cell r="K327">
            <v>14.195999999996275</v>
          </cell>
          <cell r="L327">
            <v>61.395000000004075</v>
          </cell>
          <cell r="M327">
            <v>49.353000000002794</v>
          </cell>
          <cell r="N327">
            <v>-93.5</v>
          </cell>
          <cell r="O327">
            <v>22.121000000042841</v>
          </cell>
          <cell r="P327">
            <v>119.53000000002794</v>
          </cell>
          <cell r="Q327">
            <v>-484.67999999999302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</row>
        <row r="328">
          <cell r="C328" t="str">
            <v>Palo Verde</v>
          </cell>
          <cell r="F328">
            <v>0</v>
          </cell>
          <cell r="G328">
            <v>78.511999999998807</v>
          </cell>
          <cell r="H328">
            <v>0</v>
          </cell>
          <cell r="I328">
            <v>10.535999999992782</v>
          </cell>
          <cell r="J328">
            <v>10.539999999993597</v>
          </cell>
          <cell r="K328">
            <v>0</v>
          </cell>
          <cell r="L328">
            <v>10.234999999993306</v>
          </cell>
          <cell r="M328">
            <v>0</v>
          </cell>
          <cell r="N328">
            <v>5.2650000000139698</v>
          </cell>
          <cell r="O328">
            <v>5.2699999999895226</v>
          </cell>
          <cell r="P328">
            <v>0</v>
          </cell>
          <cell r="Q328">
            <v>6.4600000000064028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</row>
        <row r="329">
          <cell r="C329" t="str">
            <v>SP15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</row>
        <row r="330">
          <cell r="C330" t="str">
            <v>Trapped Energy - Curtailment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</row>
        <row r="331">
          <cell r="C331" t="str">
            <v>Trapped Energy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</row>
        <row r="332">
          <cell r="F332">
            <v>440.62599999993108</v>
          </cell>
          <cell r="G332">
            <v>727.74799999996321</v>
          </cell>
          <cell r="H332">
            <v>772.04700000002049</v>
          </cell>
          <cell r="I332">
            <v>211.7616000000271</v>
          </cell>
          <cell r="J332">
            <v>229.79759999999078</v>
          </cell>
          <cell r="K332">
            <v>185.34200000000419</v>
          </cell>
          <cell r="L332">
            <v>803.43800000002375</v>
          </cell>
          <cell r="M332">
            <v>256.64299999998184</v>
          </cell>
          <cell r="N332">
            <v>188.42799999995623</v>
          </cell>
          <cell r="O332">
            <v>590.48099999991246</v>
          </cell>
          <cell r="P332">
            <v>246.95999999996275</v>
          </cell>
          <cell r="Q332">
            <v>-863.39400000008754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</row>
        <row r="334">
          <cell r="A334" t="str">
            <v>Total Special Sales For Resale</v>
          </cell>
          <cell r="F334">
            <v>440.62599999969825</v>
          </cell>
          <cell r="G334">
            <v>727.74799999990501</v>
          </cell>
          <cell r="H334">
            <v>772.04700000002049</v>
          </cell>
          <cell r="I334">
            <v>211.76159999996889</v>
          </cell>
          <cell r="J334">
            <v>229.79760000004899</v>
          </cell>
          <cell r="K334">
            <v>185.34199999994598</v>
          </cell>
          <cell r="L334">
            <v>803.43800000008196</v>
          </cell>
          <cell r="M334">
            <v>256.64300000004005</v>
          </cell>
          <cell r="N334">
            <v>188.42799999983981</v>
          </cell>
          <cell r="O334">
            <v>590.48099999991246</v>
          </cell>
          <cell r="P334">
            <v>246.95999999996275</v>
          </cell>
          <cell r="Q334">
            <v>-863.39400000008754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</row>
        <row r="335">
          <cell r="F335" t="str">
            <v>=</v>
          </cell>
          <cell r="G335" t="str">
            <v>=</v>
          </cell>
          <cell r="H335" t="str">
            <v>=</v>
          </cell>
          <cell r="I335" t="str">
            <v>=</v>
          </cell>
          <cell r="J335" t="str">
            <v>=</v>
          </cell>
          <cell r="K335" t="str">
            <v>=</v>
          </cell>
          <cell r="L335" t="str">
            <v>=</v>
          </cell>
          <cell r="M335" t="str">
            <v>=</v>
          </cell>
          <cell r="N335" t="str">
            <v>=</v>
          </cell>
          <cell r="O335" t="str">
            <v>=</v>
          </cell>
          <cell r="P335" t="str">
            <v>=</v>
          </cell>
          <cell r="Q335" t="str">
            <v>=</v>
          </cell>
          <cell r="R335" t="str">
            <v>=</v>
          </cell>
          <cell r="S335" t="str">
            <v>=</v>
          </cell>
          <cell r="T335" t="str">
            <v>=</v>
          </cell>
          <cell r="U335" t="str">
            <v>=</v>
          </cell>
          <cell r="V335" t="str">
            <v>=</v>
          </cell>
          <cell r="W335" t="str">
            <v>=</v>
          </cell>
          <cell r="X335" t="str">
            <v>=</v>
          </cell>
          <cell r="Y335" t="str">
            <v>=</v>
          </cell>
          <cell r="Z335" t="str">
            <v>=</v>
          </cell>
          <cell r="AA335" t="str">
            <v>=</v>
          </cell>
          <cell r="AB335" t="str">
            <v>=</v>
          </cell>
          <cell r="AC335" t="str">
            <v>=</v>
          </cell>
          <cell r="AD335" t="str">
            <v>=</v>
          </cell>
          <cell r="AE335" t="str">
            <v>=</v>
          </cell>
          <cell r="AF335" t="str">
            <v>=</v>
          </cell>
          <cell r="AG335" t="str">
            <v>=</v>
          </cell>
          <cell r="AH335" t="str">
            <v>=</v>
          </cell>
          <cell r="AI335" t="str">
            <v>=</v>
          </cell>
          <cell r="AJ335" t="str">
            <v>=</v>
          </cell>
          <cell r="AK335" t="str">
            <v>=</v>
          </cell>
          <cell r="AL335" t="str">
            <v>=</v>
          </cell>
          <cell r="AM335" t="str">
            <v>=</v>
          </cell>
          <cell r="AN335" t="str">
            <v>=</v>
          </cell>
          <cell r="AO335" t="str">
            <v>=</v>
          </cell>
          <cell r="AP335" t="str">
            <v>=</v>
          </cell>
          <cell r="AQ335" t="str">
            <v>=</v>
          </cell>
          <cell r="AR335" t="str">
            <v>=</v>
          </cell>
          <cell r="AS335" t="str">
            <v>=</v>
          </cell>
          <cell r="AT335" t="str">
            <v>=</v>
          </cell>
          <cell r="AU335" t="str">
            <v>=</v>
          </cell>
          <cell r="AV335" t="str">
            <v>=</v>
          </cell>
          <cell r="AW335" t="str">
            <v>=</v>
          </cell>
          <cell r="AX335" t="str">
            <v>=</v>
          </cell>
          <cell r="AY335" t="str">
            <v>=</v>
          </cell>
          <cell r="AZ335" t="str">
            <v>=</v>
          </cell>
          <cell r="BA335" t="str">
            <v>=</v>
          </cell>
          <cell r="BB335" t="str">
            <v>=</v>
          </cell>
          <cell r="BC335" t="str">
            <v>=</v>
          </cell>
          <cell r="BD335" t="str">
            <v>=</v>
          </cell>
          <cell r="BE335" t="str">
            <v>=</v>
          </cell>
          <cell r="BF335" t="str">
            <v>=</v>
          </cell>
          <cell r="BG335" t="str">
            <v>=</v>
          </cell>
          <cell r="BH335" t="str">
            <v>=</v>
          </cell>
          <cell r="BI335" t="str">
            <v>=</v>
          </cell>
          <cell r="BJ335" t="str">
            <v>=</v>
          </cell>
          <cell r="BK335" t="str">
            <v>=</v>
          </cell>
          <cell r="BL335" t="str">
            <v>=</v>
          </cell>
          <cell r="BM335" t="str">
            <v>=</v>
          </cell>
          <cell r="BN335" t="str">
            <v>=</v>
          </cell>
          <cell r="BO335" t="str">
            <v>=</v>
          </cell>
          <cell r="BP335" t="str">
            <v>=</v>
          </cell>
          <cell r="BQ335" t="str">
            <v>=</v>
          </cell>
          <cell r="BR335" t="str">
            <v>=</v>
          </cell>
          <cell r="BS335" t="str">
            <v>=</v>
          </cell>
          <cell r="BT335" t="str">
            <v>=</v>
          </cell>
          <cell r="BU335" t="str">
            <v>=</v>
          </cell>
          <cell r="BV335" t="str">
            <v>=</v>
          </cell>
          <cell r="BW335" t="str">
            <v>=</v>
          </cell>
          <cell r="BX335" t="str">
            <v>=</v>
          </cell>
          <cell r="BY335" t="str">
            <v>=</v>
          </cell>
          <cell r="BZ335" t="str">
            <v>=</v>
          </cell>
          <cell r="CA335" t="str">
            <v>=</v>
          </cell>
          <cell r="CB335" t="str">
            <v>=</v>
          </cell>
          <cell r="CC335" t="str">
            <v>=</v>
          </cell>
          <cell r="CD335" t="str">
            <v>=</v>
          </cell>
          <cell r="CE335" t="str">
            <v>=</v>
          </cell>
          <cell r="CF335" t="str">
            <v>=</v>
          </cell>
          <cell r="CG335" t="str">
            <v>=</v>
          </cell>
          <cell r="CH335" t="str">
            <v>=</v>
          </cell>
          <cell r="CI335" t="str">
            <v>=</v>
          </cell>
          <cell r="CJ335" t="str">
            <v>=</v>
          </cell>
          <cell r="CK335" t="str">
            <v>=</v>
          </cell>
          <cell r="CL335" t="str">
            <v>=</v>
          </cell>
          <cell r="CM335" t="str">
            <v>=</v>
          </cell>
          <cell r="CN335" t="str">
            <v>=</v>
          </cell>
          <cell r="CO335" t="str">
            <v>=</v>
          </cell>
          <cell r="CP335" t="str">
            <v>=</v>
          </cell>
          <cell r="CQ335" t="str">
            <v>=</v>
          </cell>
          <cell r="CR335" t="str">
            <v>=</v>
          </cell>
          <cell r="CS335" t="str">
            <v>=</v>
          </cell>
          <cell r="CT335" t="str">
            <v>=</v>
          </cell>
          <cell r="CU335" t="str">
            <v>=</v>
          </cell>
          <cell r="CV335" t="str">
            <v>=</v>
          </cell>
          <cell r="CW335" t="str">
            <v>=</v>
          </cell>
          <cell r="CX335" t="str">
            <v>=</v>
          </cell>
          <cell r="CY335" t="str">
            <v>=</v>
          </cell>
          <cell r="CZ335" t="str">
            <v>=</v>
          </cell>
          <cell r="DA335" t="str">
            <v>=</v>
          </cell>
          <cell r="DB335" t="str">
            <v>=</v>
          </cell>
          <cell r="DC335" t="str">
            <v>=</v>
          </cell>
          <cell r="DD335" t="str">
            <v>=</v>
          </cell>
          <cell r="DE335" t="str">
            <v>=</v>
          </cell>
          <cell r="DF335" t="str">
            <v>=</v>
          </cell>
          <cell r="DG335" t="str">
            <v>=</v>
          </cell>
          <cell r="DH335" t="str">
            <v>=</v>
          </cell>
          <cell r="DI335" t="str">
            <v>=</v>
          </cell>
          <cell r="DJ335" t="str">
            <v>=</v>
          </cell>
          <cell r="DK335" t="str">
            <v>=</v>
          </cell>
          <cell r="DL335" t="str">
            <v>=</v>
          </cell>
          <cell r="DM335" t="str">
            <v>=</v>
          </cell>
          <cell r="DN335" t="str">
            <v>=</v>
          </cell>
          <cell r="DO335" t="str">
            <v>=</v>
          </cell>
          <cell r="DP335" t="str">
            <v>=</v>
          </cell>
          <cell r="DQ335" t="str">
            <v>=</v>
          </cell>
          <cell r="DR335" t="str">
            <v>=</v>
          </cell>
          <cell r="DS335" t="str">
            <v>=</v>
          </cell>
          <cell r="DT335" t="str">
            <v>=</v>
          </cell>
          <cell r="DU335" t="str">
            <v>=</v>
          </cell>
          <cell r="DV335" t="str">
            <v>=</v>
          </cell>
          <cell r="DW335" t="str">
            <v>=</v>
          </cell>
          <cell r="DX335" t="str">
            <v>=</v>
          </cell>
          <cell r="DY335" t="str">
            <v>=</v>
          </cell>
          <cell r="DZ335" t="str">
            <v>=</v>
          </cell>
          <cell r="EA335" t="str">
            <v>=</v>
          </cell>
          <cell r="EB335" t="str">
            <v>=</v>
          </cell>
          <cell r="EC335" t="str">
            <v>=</v>
          </cell>
          <cell r="ED335" t="str">
            <v>=</v>
          </cell>
        </row>
        <row r="336">
          <cell r="A336" t="str">
            <v>Total Requirements</v>
          </cell>
          <cell r="F336">
            <v>440.62600000016391</v>
          </cell>
          <cell r="G336">
            <v>727.74799999967217</v>
          </cell>
          <cell r="H336">
            <v>772.04700000025332</v>
          </cell>
          <cell r="I336">
            <v>211.76159999985248</v>
          </cell>
          <cell r="J336">
            <v>229.7976000001654</v>
          </cell>
          <cell r="K336">
            <v>185.34200000017881</v>
          </cell>
          <cell r="L336">
            <v>803.43800000008196</v>
          </cell>
          <cell r="M336">
            <v>256.64300000015646</v>
          </cell>
          <cell r="N336">
            <v>188.42800000030547</v>
          </cell>
          <cell r="O336">
            <v>590.48099999967963</v>
          </cell>
          <cell r="P336">
            <v>246.96000000089407</v>
          </cell>
          <cell r="Q336">
            <v>-863.39400000032037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</row>
        <row r="337">
          <cell r="F337" t="str">
            <v>=</v>
          </cell>
          <cell r="G337" t="str">
            <v>=</v>
          </cell>
          <cell r="H337" t="str">
            <v>=</v>
          </cell>
          <cell r="I337" t="str">
            <v>=</v>
          </cell>
          <cell r="J337" t="str">
            <v>=</v>
          </cell>
          <cell r="K337" t="str">
            <v>=</v>
          </cell>
          <cell r="L337" t="str">
            <v>=</v>
          </cell>
          <cell r="M337" t="str">
            <v>=</v>
          </cell>
          <cell r="N337" t="str">
            <v>=</v>
          </cell>
          <cell r="O337" t="str">
            <v>=</v>
          </cell>
          <cell r="P337" t="str">
            <v>=</v>
          </cell>
          <cell r="Q337" t="str">
            <v>=</v>
          </cell>
          <cell r="R337" t="str">
            <v>=</v>
          </cell>
          <cell r="S337" t="str">
            <v>=</v>
          </cell>
          <cell r="T337" t="str">
            <v>=</v>
          </cell>
          <cell r="U337" t="str">
            <v>=</v>
          </cell>
          <cell r="V337" t="str">
            <v>=</v>
          </cell>
          <cell r="W337" t="str">
            <v>=</v>
          </cell>
          <cell r="X337" t="str">
            <v>=</v>
          </cell>
          <cell r="Y337" t="str">
            <v>=</v>
          </cell>
          <cell r="Z337" t="str">
            <v>=</v>
          </cell>
          <cell r="AA337" t="str">
            <v>=</v>
          </cell>
          <cell r="AB337" t="str">
            <v>=</v>
          </cell>
          <cell r="AC337" t="str">
            <v>=</v>
          </cell>
          <cell r="AD337" t="str">
            <v>=</v>
          </cell>
          <cell r="AE337" t="str">
            <v>=</v>
          </cell>
          <cell r="AF337" t="str">
            <v>=</v>
          </cell>
          <cell r="AG337" t="str">
            <v>=</v>
          </cell>
          <cell r="AH337" t="str">
            <v>=</v>
          </cell>
          <cell r="AI337" t="str">
            <v>=</v>
          </cell>
          <cell r="AJ337" t="str">
            <v>=</v>
          </cell>
          <cell r="AK337" t="str">
            <v>=</v>
          </cell>
          <cell r="AL337" t="str">
            <v>=</v>
          </cell>
          <cell r="AM337" t="str">
            <v>=</v>
          </cell>
          <cell r="AN337" t="str">
            <v>=</v>
          </cell>
          <cell r="AO337" t="str">
            <v>=</v>
          </cell>
          <cell r="AP337" t="str">
            <v>=</v>
          </cell>
          <cell r="AQ337" t="str">
            <v>=</v>
          </cell>
          <cell r="AR337" t="str">
            <v>=</v>
          </cell>
          <cell r="AS337" t="str">
            <v>=</v>
          </cell>
          <cell r="AT337" t="str">
            <v>=</v>
          </cell>
          <cell r="AU337" t="str">
            <v>=</v>
          </cell>
          <cell r="AV337" t="str">
            <v>=</v>
          </cell>
          <cell r="AW337" t="str">
            <v>=</v>
          </cell>
          <cell r="AX337" t="str">
            <v>=</v>
          </cell>
          <cell r="AY337" t="str">
            <v>=</v>
          </cell>
          <cell r="AZ337" t="str">
            <v>=</v>
          </cell>
          <cell r="BA337" t="str">
            <v>=</v>
          </cell>
          <cell r="BB337" t="str">
            <v>=</v>
          </cell>
          <cell r="BC337" t="str">
            <v>=</v>
          </cell>
          <cell r="BD337" t="str">
            <v>=</v>
          </cell>
          <cell r="BE337" t="str">
            <v>=</v>
          </cell>
          <cell r="BF337" t="str">
            <v>=</v>
          </cell>
          <cell r="BG337" t="str">
            <v>=</v>
          </cell>
          <cell r="BH337" t="str">
            <v>=</v>
          </cell>
          <cell r="BI337" t="str">
            <v>=</v>
          </cell>
          <cell r="BJ337" t="str">
            <v>=</v>
          </cell>
          <cell r="BK337" t="str">
            <v>=</v>
          </cell>
          <cell r="BL337" t="str">
            <v>=</v>
          </cell>
          <cell r="BM337" t="str">
            <v>=</v>
          </cell>
          <cell r="BN337" t="str">
            <v>=</v>
          </cell>
          <cell r="BO337" t="str">
            <v>=</v>
          </cell>
          <cell r="BP337" t="str">
            <v>=</v>
          </cell>
          <cell r="BQ337" t="str">
            <v>=</v>
          </cell>
          <cell r="BR337" t="str">
            <v>=</v>
          </cell>
          <cell r="BS337" t="str">
            <v>=</v>
          </cell>
          <cell r="BT337" t="str">
            <v>=</v>
          </cell>
          <cell r="BU337" t="str">
            <v>=</v>
          </cell>
          <cell r="BV337" t="str">
            <v>=</v>
          </cell>
          <cell r="BW337" t="str">
            <v>=</v>
          </cell>
          <cell r="BX337" t="str">
            <v>=</v>
          </cell>
          <cell r="BY337" t="str">
            <v>=</v>
          </cell>
          <cell r="BZ337" t="str">
            <v>=</v>
          </cell>
          <cell r="CA337" t="str">
            <v>=</v>
          </cell>
          <cell r="CB337" t="str">
            <v>=</v>
          </cell>
          <cell r="CC337" t="str">
            <v>=</v>
          </cell>
          <cell r="CD337" t="str">
            <v>=</v>
          </cell>
          <cell r="CE337" t="str">
            <v>=</v>
          </cell>
          <cell r="CF337" t="str">
            <v>=</v>
          </cell>
          <cell r="CG337" t="str">
            <v>=</v>
          </cell>
          <cell r="CH337" t="str">
            <v>=</v>
          </cell>
          <cell r="CI337" t="str">
            <v>=</v>
          </cell>
          <cell r="CJ337" t="str">
            <v>=</v>
          </cell>
          <cell r="CK337" t="str">
            <v>=</v>
          </cell>
          <cell r="CL337" t="str">
            <v>=</v>
          </cell>
          <cell r="CM337" t="str">
            <v>=</v>
          </cell>
          <cell r="CN337" t="str">
            <v>=</v>
          </cell>
          <cell r="CO337" t="str">
            <v>=</v>
          </cell>
          <cell r="CP337" t="str">
            <v>=</v>
          </cell>
          <cell r="CQ337" t="str">
            <v>=</v>
          </cell>
          <cell r="CR337" t="str">
            <v>=</v>
          </cell>
          <cell r="CS337" t="str">
            <v>=</v>
          </cell>
          <cell r="CT337" t="str">
            <v>=</v>
          </cell>
          <cell r="CU337" t="str">
            <v>=</v>
          </cell>
          <cell r="CV337" t="str">
            <v>=</v>
          </cell>
          <cell r="CW337" t="str">
            <v>=</v>
          </cell>
          <cell r="CX337" t="str">
            <v>=</v>
          </cell>
          <cell r="CY337" t="str">
            <v>=</v>
          </cell>
          <cell r="CZ337" t="str">
            <v>=</v>
          </cell>
          <cell r="DA337" t="str">
            <v>=</v>
          </cell>
          <cell r="DB337" t="str">
            <v>=</v>
          </cell>
          <cell r="DC337" t="str">
            <v>=</v>
          </cell>
          <cell r="DD337" t="str">
            <v>=</v>
          </cell>
          <cell r="DE337" t="str">
            <v>=</v>
          </cell>
          <cell r="DF337" t="str">
            <v>=</v>
          </cell>
          <cell r="DG337" t="str">
            <v>=</v>
          </cell>
          <cell r="DH337" t="str">
            <v>=</v>
          </cell>
          <cell r="DI337" t="str">
            <v>=</v>
          </cell>
          <cell r="DJ337" t="str">
            <v>=</v>
          </cell>
          <cell r="DK337" t="str">
            <v>=</v>
          </cell>
          <cell r="DL337" t="str">
            <v>=</v>
          </cell>
          <cell r="DM337" t="str">
            <v>=</v>
          </cell>
          <cell r="DN337" t="str">
            <v>=</v>
          </cell>
          <cell r="DO337" t="str">
            <v>=</v>
          </cell>
          <cell r="DP337" t="str">
            <v>=</v>
          </cell>
          <cell r="DQ337" t="str">
            <v>=</v>
          </cell>
          <cell r="DR337" t="str">
            <v>=</v>
          </cell>
          <cell r="DS337" t="str">
            <v>=</v>
          </cell>
          <cell r="DT337" t="str">
            <v>=</v>
          </cell>
          <cell r="DU337" t="str">
            <v>=</v>
          </cell>
          <cell r="DV337" t="str">
            <v>=</v>
          </cell>
          <cell r="DW337" t="str">
            <v>=</v>
          </cell>
          <cell r="DX337" t="str">
            <v>=</v>
          </cell>
          <cell r="DY337" t="str">
            <v>=</v>
          </cell>
          <cell r="DZ337" t="str">
            <v>=</v>
          </cell>
          <cell r="EA337" t="str">
            <v>=</v>
          </cell>
          <cell r="EB337" t="str">
            <v>=</v>
          </cell>
          <cell r="EC337" t="str">
            <v>=</v>
          </cell>
          <cell r="ED337" t="str">
            <v>=</v>
          </cell>
        </row>
        <row r="339">
          <cell r="A339" t="str">
            <v>Purchased Power &amp; Net Interchange</v>
          </cell>
        </row>
        <row r="341">
          <cell r="C341" t="str">
            <v>APS Supplemental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</row>
        <row r="342">
          <cell r="C342" t="str">
            <v xml:space="preserve">Combine Hills Wind 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</row>
        <row r="343">
          <cell r="C343" t="str">
            <v>Constellation Seasonal 2013-2016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</row>
        <row r="344">
          <cell r="C344" t="str">
            <v>Cove Mountain Solar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</row>
        <row r="345">
          <cell r="C345" t="str">
            <v>Hunter Solar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</row>
        <row r="346">
          <cell r="C346" t="str">
            <v>Milican Solar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</row>
        <row r="347">
          <cell r="C347" t="str">
            <v>Milford Solar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</row>
        <row r="348">
          <cell r="C348" t="str">
            <v>Prineville Solar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</row>
        <row r="349">
          <cell r="C349" t="str">
            <v>Sigurd Solar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C350" t="str">
            <v>Deseret Purchase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  <row r="351">
          <cell r="C351" t="str">
            <v>Douglas PUD Settlement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</row>
        <row r="352">
          <cell r="C352" t="str">
            <v>Soda Lake Geothermal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</row>
        <row r="353">
          <cell r="C353" t="str">
            <v>Gemstate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</row>
        <row r="354">
          <cell r="C354" t="str">
            <v>Hermiston Purchase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</row>
        <row r="355">
          <cell r="C355" t="str">
            <v>Hurricane Purchase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</row>
        <row r="356">
          <cell r="C356" t="str">
            <v>IPP Purchase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</row>
        <row r="357">
          <cell r="C357" t="str">
            <v>MagCorp Reserves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</row>
        <row r="358">
          <cell r="C358" t="str">
            <v>Nucor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</row>
        <row r="359">
          <cell r="C359" t="str">
            <v>Old Mill Solar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</row>
        <row r="360">
          <cell r="C360" t="str">
            <v>P4 Production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</row>
        <row r="361">
          <cell r="C361" t="str">
            <v>Pavant III Solar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</row>
        <row r="362">
          <cell r="C362" t="str">
            <v>PGE Cove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</row>
        <row r="363">
          <cell r="C363" t="str">
            <v>Rock River Wind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</row>
        <row r="364">
          <cell r="C364" t="str">
            <v>Small Purchases east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</row>
        <row r="365">
          <cell r="C365" t="str">
            <v>Small Purchases west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</row>
        <row r="366">
          <cell r="C366" t="str">
            <v>Three Buttes Wind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</row>
        <row r="367">
          <cell r="C367" t="str">
            <v xml:space="preserve">Top of the World Wind 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</row>
        <row r="368">
          <cell r="C368" t="str">
            <v>Tri-State Purchase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</row>
        <row r="370">
          <cell r="C370" t="str">
            <v>UAMPS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</row>
        <row r="371">
          <cell r="C371" t="str">
            <v>UMPA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</row>
        <row r="372">
          <cell r="C372" t="str">
            <v>Wolverine Creek Wind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</row>
        <row r="377">
          <cell r="C377" t="str">
            <v>QF - 434 - UT - Gas</v>
          </cell>
          <cell r="F377">
            <v>3920.88</v>
          </cell>
          <cell r="G377">
            <v>3541.44</v>
          </cell>
          <cell r="H377">
            <v>3920.88</v>
          </cell>
          <cell r="I377">
            <v>3794.4</v>
          </cell>
          <cell r="J377">
            <v>3920.88</v>
          </cell>
          <cell r="K377">
            <v>3794.4</v>
          </cell>
          <cell r="L377">
            <v>3920.88</v>
          </cell>
          <cell r="M377">
            <v>3920.88</v>
          </cell>
          <cell r="N377">
            <v>3794.4</v>
          </cell>
          <cell r="O377">
            <v>3920.88</v>
          </cell>
          <cell r="P377">
            <v>3794.4</v>
          </cell>
          <cell r="Q377">
            <v>3920.88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</row>
        <row r="378">
          <cell r="C378" t="str">
            <v>Curtailment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</row>
        <row r="379">
          <cell r="C379" t="str">
            <v>Net Generation</v>
          </cell>
          <cell r="F379">
            <v>3920.88</v>
          </cell>
          <cell r="G379">
            <v>3541.44</v>
          </cell>
          <cell r="H379">
            <v>3920.88</v>
          </cell>
          <cell r="I379">
            <v>3794.4</v>
          </cell>
          <cell r="J379">
            <v>3920.88</v>
          </cell>
          <cell r="K379">
            <v>3794.4</v>
          </cell>
          <cell r="L379">
            <v>3920.88</v>
          </cell>
          <cell r="M379">
            <v>3920.88</v>
          </cell>
          <cell r="N379">
            <v>3794.4</v>
          </cell>
          <cell r="O379">
            <v>3920.88</v>
          </cell>
          <cell r="P379">
            <v>3794.4</v>
          </cell>
          <cell r="Q379">
            <v>3920.88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</row>
        <row r="381">
          <cell r="C381" t="str">
            <v>Potential QFs  -  Central Oregon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</row>
        <row r="382">
          <cell r="C382" t="str">
            <v>Potential QFs  -  West Main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</row>
        <row r="383">
          <cell r="C383" t="str">
            <v>Potential QFs  -  Walla Walla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</row>
        <row r="384">
          <cell r="C384" t="str">
            <v>Potential QFs  -  IPC West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</row>
        <row r="385">
          <cell r="C385" t="str">
            <v>Potential QFs  -  Clover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</row>
        <row r="386">
          <cell r="C386" t="str">
            <v>Potential QFs  -  Goshen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</row>
        <row r="387">
          <cell r="C387" t="str">
            <v>Potential QFs  -  Utah North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</row>
        <row r="388">
          <cell r="C388" t="str">
            <v>Potential QFs  -  Utah South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</row>
        <row r="389">
          <cell r="C389" t="str">
            <v>Potential QFs  -  Trona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</row>
        <row r="390">
          <cell r="C390" t="str">
            <v>Potential QFs  -  Wyoming Northeast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</row>
        <row r="392">
          <cell r="C392" t="str">
            <v>QF California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</row>
        <row r="393">
          <cell r="C393" t="str">
            <v>QF Idaho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</row>
        <row r="394">
          <cell r="C394" t="str">
            <v>QF Oregon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</row>
        <row r="395">
          <cell r="C395" t="str">
            <v>QF Utah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</row>
        <row r="396">
          <cell r="C396" t="str">
            <v>QF Washington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</row>
        <row r="397">
          <cell r="C397" t="str">
            <v>QF Wyoming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</row>
        <row r="399">
          <cell r="C399" t="str">
            <v>Biomass QF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</row>
        <row r="400">
          <cell r="C400" t="str">
            <v>Black Cap II Solar QF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</row>
        <row r="401">
          <cell r="C401" t="str">
            <v>Champlin Blue Mtn Wind QF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</row>
        <row r="402">
          <cell r="C402" t="str">
            <v>Chevron Wind QF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</row>
        <row r="403">
          <cell r="C403" t="str">
            <v xml:space="preserve">Douglas County Forest Products QF   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</row>
        <row r="404">
          <cell r="C404" t="str">
            <v>Evergreen BioPower QF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</row>
        <row r="405">
          <cell r="C405" t="str">
            <v>Everpower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</row>
        <row r="406">
          <cell r="C406" t="str">
            <v>First Wind QF Projects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</row>
        <row r="407">
          <cell r="C407" t="str">
            <v>Five Pine Wind QF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</row>
        <row r="408">
          <cell r="C408" t="str">
            <v>Foote Creek II &amp; III Wind QF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</row>
        <row r="409">
          <cell r="C409" t="str">
            <v>Kennecott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</row>
        <row r="410">
          <cell r="C410" t="str">
            <v>Latigo Wind Park QF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</row>
        <row r="411">
          <cell r="C411" t="str">
            <v>Sage I &amp; II Solar QF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</row>
        <row r="412">
          <cell r="C412" t="str">
            <v>Sage III Solar QF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</row>
        <row r="413">
          <cell r="C413" t="str">
            <v>Boswell Wind QF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</row>
        <row r="414">
          <cell r="C414" t="str">
            <v>Monticello Wind QF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</row>
        <row r="415">
          <cell r="C415" t="str">
            <v>Mountain Wind 1 QF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</row>
        <row r="416">
          <cell r="C416" t="str">
            <v>Mountain Wind 2 QF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</row>
        <row r="417">
          <cell r="C417" t="str">
            <v>North Point Wind QF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</row>
        <row r="418">
          <cell r="C418" t="str">
            <v>Ochoco Solar QF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</row>
        <row r="419">
          <cell r="C419" t="str">
            <v>Orchard Wind Farm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</row>
        <row r="420">
          <cell r="C420" t="str">
            <v>Oregon Sch 37 QFs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</row>
        <row r="421">
          <cell r="C421" t="str">
            <v>Oregon Wind Farm QF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</row>
        <row r="422">
          <cell r="C422" t="str">
            <v>Pavant Solar QF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</row>
        <row r="423">
          <cell r="C423" t="str">
            <v>Pioneer Wind Park I QF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</row>
        <row r="424">
          <cell r="C424" t="str">
            <v>Power County North Wind QF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</row>
        <row r="425">
          <cell r="C425" t="str">
            <v>Power County South Wind QF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</row>
        <row r="426">
          <cell r="C426" t="str">
            <v>Roseburg Dillard QF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</row>
        <row r="427">
          <cell r="C427" t="str">
            <v>Sigurd Solar QF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</row>
        <row r="428">
          <cell r="C428" t="str">
            <v>Spanish Fork Wind 2 QF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</row>
        <row r="429">
          <cell r="C429" t="str">
            <v>Sunnyside QF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</row>
        <row r="430">
          <cell r="C430" t="str">
            <v>Glen Canyon A &amp; B Solar QFs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</row>
        <row r="431">
          <cell r="C431" t="str">
            <v>Sweetwater Solar QF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</row>
        <row r="432">
          <cell r="C432" t="str">
            <v>Tesoro QF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</row>
        <row r="433">
          <cell r="C433" t="str">
            <v>Three Peaks Solar QF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</row>
        <row r="434">
          <cell r="C434" t="str">
            <v>Threemile Canyon Wind QF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</row>
        <row r="435">
          <cell r="C435" t="str">
            <v>US Magnesium QF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</row>
        <row r="436">
          <cell r="C436" t="str">
            <v>Utah Pavant Solar I &amp; II QF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</row>
        <row r="437">
          <cell r="C437" t="str">
            <v>Utah Red Hills Solar QF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</row>
        <row r="438">
          <cell r="C438" t="str">
            <v>Utah SunEdison Wind QF Projects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</row>
        <row r="439">
          <cell r="C439" t="str">
            <v>Utah Sch 37 Solar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</row>
        <row r="441">
          <cell r="F441">
            <v>3920.8799999999464</v>
          </cell>
          <cell r="G441">
            <v>3541.4400000000605</v>
          </cell>
          <cell r="H441">
            <v>3920.8800000000047</v>
          </cell>
          <cell r="I441">
            <v>3794.4000000000233</v>
          </cell>
          <cell r="J441">
            <v>3920.8800000000047</v>
          </cell>
          <cell r="K441">
            <v>3794.4000000000233</v>
          </cell>
          <cell r="L441">
            <v>3920.8800000000047</v>
          </cell>
          <cell r="M441">
            <v>3920.8800000000047</v>
          </cell>
          <cell r="N441">
            <v>3794.4000000000233</v>
          </cell>
          <cell r="O441">
            <v>3920.8800000000047</v>
          </cell>
          <cell r="P441">
            <v>3794.4000000000233</v>
          </cell>
          <cell r="Q441">
            <v>3920.8800000000047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</row>
        <row r="444">
          <cell r="C444" t="str">
            <v xml:space="preserve">Douglas - Wells 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</row>
        <row r="445">
          <cell r="C445" t="str">
            <v>Grant Reasonable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</row>
        <row r="446">
          <cell r="C446" t="str">
            <v xml:space="preserve">Grant Surplus 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</row>
        <row r="447">
          <cell r="C447" t="str">
            <v>Grant - Wanapum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</row>
        <row r="451">
          <cell r="F451">
            <v>3920.8799999999464</v>
          </cell>
          <cell r="G451">
            <v>3541.4400000000605</v>
          </cell>
          <cell r="H451">
            <v>3920.8800000000047</v>
          </cell>
          <cell r="I451">
            <v>3794.4000000000233</v>
          </cell>
          <cell r="J451">
            <v>3920.8800000000047</v>
          </cell>
          <cell r="K451">
            <v>3794.4000000000233</v>
          </cell>
          <cell r="L451">
            <v>3920.8800000000047</v>
          </cell>
          <cell r="M451">
            <v>3920.8800000000047</v>
          </cell>
          <cell r="N451">
            <v>3794.4000000000233</v>
          </cell>
          <cell r="O451">
            <v>3920.8800000000047</v>
          </cell>
          <cell r="P451">
            <v>3794.4000000000233</v>
          </cell>
          <cell r="Q451">
            <v>3920.8800000000047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</row>
        <row r="454">
          <cell r="C454" t="str">
            <v>APS Exchange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</row>
        <row r="455">
          <cell r="C455" t="str">
            <v>BPA FC II Wind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</row>
        <row r="456">
          <cell r="C456" t="str">
            <v>BPA FC IV Wind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</row>
        <row r="457">
          <cell r="C457" t="str">
            <v>BPA Exchange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</row>
        <row r="458">
          <cell r="C458" t="str">
            <v>BPA So. Idaho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</row>
        <row r="459">
          <cell r="C459" t="str">
            <v>Cowlitz Swift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</row>
        <row r="460">
          <cell r="C460" t="str">
            <v>EWEB FC I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</row>
        <row r="461">
          <cell r="C461" t="str">
            <v>PSCo Exchange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</row>
        <row r="462">
          <cell r="C462" t="str">
            <v>PSCO FC III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</row>
        <row r="463">
          <cell r="C463" t="str">
            <v>Redding Exchange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</row>
        <row r="464">
          <cell r="C464" t="str">
            <v>SCL State Line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</row>
        <row r="469">
          <cell r="C469" t="str">
            <v>COB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</row>
        <row r="470">
          <cell r="C470" t="str">
            <v>Four Corners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</row>
        <row r="471">
          <cell r="C471" t="str">
            <v>Mid Columbia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</row>
        <row r="472">
          <cell r="C472" t="str">
            <v>Mona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</row>
        <row r="473">
          <cell r="C473" t="str">
            <v>Palo Verde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</row>
        <row r="474">
          <cell r="C474" t="str">
            <v>SP15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</row>
        <row r="475">
          <cell r="C475" t="str">
            <v>STF Index Trades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</row>
        <row r="480">
          <cell r="C480" t="str">
            <v>COB</v>
          </cell>
          <cell r="F480">
            <v>0</v>
          </cell>
          <cell r="G480">
            <v>-10.539999999999964</v>
          </cell>
          <cell r="H480">
            <v>-1.0895000000000437</v>
          </cell>
          <cell r="I480">
            <v>-67.743000000000393</v>
          </cell>
          <cell r="J480">
            <v>-104.75740000000224</v>
          </cell>
          <cell r="K480">
            <v>-42.003000000000611</v>
          </cell>
          <cell r="L480">
            <v>-158.61525000000074</v>
          </cell>
          <cell r="M480">
            <v>-86.123599999998987</v>
          </cell>
          <cell r="N480">
            <v>-13.936669999999935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</row>
        <row r="481">
          <cell r="C481" t="str">
            <v>Four Corners</v>
          </cell>
          <cell r="F481">
            <v>-262.94599999999991</v>
          </cell>
          <cell r="G481">
            <v>-102.63000000000466</v>
          </cell>
          <cell r="H481">
            <v>-193.90499999999884</v>
          </cell>
          <cell r="I481">
            <v>-430.89999999999418</v>
          </cell>
          <cell r="J481">
            <v>-115.8640000000014</v>
          </cell>
          <cell r="K481">
            <v>-84.168999999999869</v>
          </cell>
          <cell r="L481">
            <v>-81.866500000000087</v>
          </cell>
          <cell r="M481">
            <v>-61.400200000000041</v>
          </cell>
          <cell r="N481">
            <v>-56.141000000000531</v>
          </cell>
          <cell r="O481">
            <v>-93.010000000009313</v>
          </cell>
          <cell r="P481">
            <v>-57.356999999999971</v>
          </cell>
          <cell r="Q481">
            <v>-28.369999999995343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</row>
        <row r="482">
          <cell r="C482" t="str">
            <v>Mid Columbia</v>
          </cell>
          <cell r="F482">
            <v>0</v>
          </cell>
          <cell r="G482">
            <v>-489.80000000000291</v>
          </cell>
          <cell r="H482">
            <v>-782.75999999999476</v>
          </cell>
          <cell r="I482">
            <v>-801.6600000000326</v>
          </cell>
          <cell r="J482">
            <v>-661.36000000010245</v>
          </cell>
          <cell r="K482">
            <v>-1141.75</v>
          </cell>
          <cell r="L482">
            <v>-1286.3399999999965</v>
          </cell>
          <cell r="M482">
            <v>-1250.0299999999988</v>
          </cell>
          <cell r="N482">
            <v>-727.16999999999825</v>
          </cell>
          <cell r="O482">
            <v>-695.94499999999971</v>
          </cell>
          <cell r="P482">
            <v>-15.35005000000001</v>
          </cell>
          <cell r="Q482">
            <v>-82.479999999999563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</row>
        <row r="483">
          <cell r="C483" t="str">
            <v>Mona</v>
          </cell>
          <cell r="F483">
            <v>-177.95300000000134</v>
          </cell>
          <cell r="G483">
            <v>-48.279999999998836</v>
          </cell>
          <cell r="H483">
            <v>-44.846999999994296</v>
          </cell>
          <cell r="I483">
            <v>-132.37000000000262</v>
          </cell>
          <cell r="J483">
            <v>-122.81199999999808</v>
          </cell>
          <cell r="K483">
            <v>-31.006299999999101</v>
          </cell>
          <cell r="L483">
            <v>-6.0031473200000107</v>
          </cell>
          <cell r="M483">
            <v>-6.4118899999999996</v>
          </cell>
          <cell r="N483">
            <v>-127.04290000000037</v>
          </cell>
          <cell r="O483">
            <v>-60.210999999999331</v>
          </cell>
          <cell r="P483">
            <v>-179.09000000000015</v>
          </cell>
          <cell r="Q483">
            <v>646.77813099999912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</row>
        <row r="484">
          <cell r="C484" t="str">
            <v>Palo Verde</v>
          </cell>
          <cell r="F484">
            <v>-26.670000000012806</v>
          </cell>
          <cell r="G484">
            <v>-52.460000000006403</v>
          </cell>
          <cell r="H484">
            <v>-62</v>
          </cell>
          <cell r="I484">
            <v>-63.245999999999185</v>
          </cell>
          <cell r="J484">
            <v>-163.6359999999986</v>
          </cell>
          <cell r="K484">
            <v>0</v>
          </cell>
          <cell r="L484">
            <v>-65.929999999993015</v>
          </cell>
          <cell r="M484">
            <v>-55.029999999998836</v>
          </cell>
          <cell r="N484">
            <v>-1.4159999999974389</v>
          </cell>
          <cell r="O484">
            <v>-30.680000000007567</v>
          </cell>
          <cell r="P484">
            <v>0</v>
          </cell>
          <cell r="Q484">
            <v>12.485000000000582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</row>
        <row r="485">
          <cell r="C485" t="str">
            <v>SP15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</row>
        <row r="486">
          <cell r="C486" t="str">
            <v>Emergency Purchases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</row>
        <row r="488">
          <cell r="F488">
            <v>-467.5690000000177</v>
          </cell>
          <cell r="G488">
            <v>-703.71000000002095</v>
          </cell>
          <cell r="H488">
            <v>-1084.6014999999898</v>
          </cell>
          <cell r="I488">
            <v>-1495.9190000001108</v>
          </cell>
          <cell r="J488">
            <v>-1168.4294000001391</v>
          </cell>
          <cell r="K488">
            <v>-1298.9283000000287</v>
          </cell>
          <cell r="L488">
            <v>-1598.7548973200028</v>
          </cell>
          <cell r="M488">
            <v>-1458.9956900000107</v>
          </cell>
          <cell r="N488">
            <v>-925.70656999998027</v>
          </cell>
          <cell r="O488">
            <v>-879.84599999999045</v>
          </cell>
          <cell r="P488">
            <v>-251.79704999999376</v>
          </cell>
          <cell r="Q488">
            <v>548.41313100000843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</row>
        <row r="490">
          <cell r="A490" t="str">
            <v xml:space="preserve">Total Purchased Power &amp; Net Interchange </v>
          </cell>
          <cell r="F490">
            <v>3453.310999999987</v>
          </cell>
          <cell r="G490">
            <v>2837.7299999999814</v>
          </cell>
          <cell r="H490">
            <v>2836.2785000000149</v>
          </cell>
          <cell r="I490">
            <v>2298.4809999999125</v>
          </cell>
          <cell r="J490">
            <v>2752.4505999998655</v>
          </cell>
          <cell r="K490">
            <v>2495.471700000111</v>
          </cell>
          <cell r="L490">
            <v>2322.1251026800601</v>
          </cell>
          <cell r="M490">
            <v>2461.884309999994</v>
          </cell>
          <cell r="N490">
            <v>2868.6934300001012</v>
          </cell>
          <cell r="O490">
            <v>3041.0339999997523</v>
          </cell>
          <cell r="P490">
            <v>3542.6029500002041</v>
          </cell>
          <cell r="Q490">
            <v>4469.2931309998967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</row>
        <row r="492">
          <cell r="A492" t="str">
            <v>Coal Generation</v>
          </cell>
        </row>
        <row r="493">
          <cell r="C493" t="str">
            <v>Cholla</v>
          </cell>
          <cell r="F493">
            <v>-168.89754000000539</v>
          </cell>
          <cell r="G493">
            <v>-110.1224799999909</v>
          </cell>
          <cell r="H493">
            <v>-45.990969999998924</v>
          </cell>
          <cell r="I493">
            <v>-40.932700000004843</v>
          </cell>
          <cell r="J493">
            <v>-18.167610000004061</v>
          </cell>
          <cell r="K493">
            <v>-5.116810000006808</v>
          </cell>
          <cell r="L493">
            <v>-59.894469999999274</v>
          </cell>
          <cell r="M493">
            <v>-30.700140000000829</v>
          </cell>
          <cell r="N493">
            <v>-10.233210000005784</v>
          </cell>
          <cell r="O493">
            <v>-10.233349999994971</v>
          </cell>
          <cell r="P493">
            <v>-51.166479999999865</v>
          </cell>
          <cell r="Q493">
            <v>-29.516719999999623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</row>
        <row r="494">
          <cell r="C494" t="str">
            <v>Colstrip</v>
          </cell>
          <cell r="F494">
            <v>0</v>
          </cell>
          <cell r="G494">
            <v>-1.9064300000027288</v>
          </cell>
          <cell r="H494">
            <v>0</v>
          </cell>
          <cell r="I494">
            <v>-10.54003799999191</v>
          </cell>
          <cell r="J494">
            <v>0</v>
          </cell>
          <cell r="K494">
            <v>-10.54003499999817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</row>
        <row r="495">
          <cell r="C495" t="str">
            <v>Craig</v>
          </cell>
          <cell r="F495">
            <v>-38.364898999992874</v>
          </cell>
          <cell r="G495">
            <v>-49.988202999986243</v>
          </cell>
          <cell r="H495">
            <v>-4.8892830000113463</v>
          </cell>
          <cell r="I495">
            <v>0</v>
          </cell>
          <cell r="J495">
            <v>0</v>
          </cell>
          <cell r="K495">
            <v>0</v>
          </cell>
          <cell r="L495">
            <v>-21.080077999999048</v>
          </cell>
          <cell r="M495">
            <v>-27.778673000007984</v>
          </cell>
          <cell r="N495">
            <v>0</v>
          </cell>
          <cell r="O495">
            <v>-12.111430000004475</v>
          </cell>
          <cell r="P495">
            <v>-21.689918999996735</v>
          </cell>
          <cell r="Q495">
            <v>37.72602800000459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</row>
        <row r="496">
          <cell r="C496" t="str">
            <v>Dave Johnston</v>
          </cell>
          <cell r="F496">
            <v>0</v>
          </cell>
          <cell r="G496">
            <v>-37.588826999999583</v>
          </cell>
          <cell r="H496">
            <v>-47.970074000011664</v>
          </cell>
          <cell r="I496">
            <v>-209.96152499993332</v>
          </cell>
          <cell r="J496">
            <v>-254.92585200001486</v>
          </cell>
          <cell r="K496">
            <v>-119.94526599999517</v>
          </cell>
          <cell r="L496">
            <v>0</v>
          </cell>
          <cell r="M496">
            <v>0</v>
          </cell>
          <cell r="N496">
            <v>0</v>
          </cell>
          <cell r="O496">
            <v>-40.927844000048935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</row>
        <row r="497">
          <cell r="C497" t="str">
            <v>Hayden</v>
          </cell>
          <cell r="F497">
            <v>-50.406882999996014</v>
          </cell>
          <cell r="G497">
            <v>-32.614427000000433</v>
          </cell>
          <cell r="H497">
            <v>-8.9897490000003017</v>
          </cell>
          <cell r="I497">
            <v>-5.1166659999980766</v>
          </cell>
          <cell r="J497">
            <v>-4.4763349999993807</v>
          </cell>
          <cell r="K497">
            <v>0</v>
          </cell>
          <cell r="L497">
            <v>-1.3606669999935548</v>
          </cell>
          <cell r="M497">
            <v>0</v>
          </cell>
          <cell r="N497">
            <v>-5.1166999999986729</v>
          </cell>
          <cell r="O497">
            <v>-2.3601479999924777</v>
          </cell>
          <cell r="P497">
            <v>-10.233248000004096</v>
          </cell>
          <cell r="Q497">
            <v>119.91013999999268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</row>
        <row r="498">
          <cell r="C498" t="str">
            <v>Hunter</v>
          </cell>
          <cell r="F498">
            <v>-1472.2031980000902</v>
          </cell>
          <cell r="G498">
            <v>-859.38149499997962</v>
          </cell>
          <cell r="H498">
            <v>-435.26498199999332</v>
          </cell>
          <cell r="I498">
            <v>-211.87178500002483</v>
          </cell>
          <cell r="J498">
            <v>-186.30253400001675</v>
          </cell>
          <cell r="K498">
            <v>-248.58794400002807</v>
          </cell>
          <cell r="L498">
            <v>-744.6155049999943</v>
          </cell>
          <cell r="M498">
            <v>-1245.4392150000203</v>
          </cell>
          <cell r="N498">
            <v>-1051.4494019999984</v>
          </cell>
          <cell r="O498">
            <v>-409.07285599998431</v>
          </cell>
          <cell r="P498">
            <v>-743.07125699997414</v>
          </cell>
          <cell r="Q498">
            <v>530.61516599997412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</row>
        <row r="499">
          <cell r="C499" t="str">
            <v>Huntington</v>
          </cell>
          <cell r="F499">
            <v>0</v>
          </cell>
          <cell r="G499">
            <v>-79.816690000006929</v>
          </cell>
          <cell r="H499">
            <v>-246.33355499990284</v>
          </cell>
          <cell r="I499">
            <v>-645.30178300000262</v>
          </cell>
          <cell r="J499">
            <v>-1096.3704739999375</v>
          </cell>
          <cell r="K499">
            <v>-948.56149300001562</v>
          </cell>
          <cell r="L499">
            <v>-20.896900000050664</v>
          </cell>
          <cell r="M499">
            <v>-21.080079999985173</v>
          </cell>
          <cell r="N499">
            <v>-120.58664999995381</v>
          </cell>
          <cell r="O499">
            <v>-487.66540500003612</v>
          </cell>
          <cell r="P499">
            <v>-57.970209999941289</v>
          </cell>
          <cell r="Q499">
            <v>-21.07984999998007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</row>
        <row r="500">
          <cell r="C500" t="str">
            <v>Jim Bridger</v>
          </cell>
          <cell r="F500">
            <v>-559.15344000002369</v>
          </cell>
          <cell r="G500">
            <v>-428.7219000000041</v>
          </cell>
          <cell r="H500">
            <v>-864.82014099997468</v>
          </cell>
          <cell r="I500">
            <v>-325.36276800004998</v>
          </cell>
          <cell r="J500">
            <v>-333.8568100000266</v>
          </cell>
          <cell r="K500">
            <v>-472.63158899993869</v>
          </cell>
          <cell r="L500">
            <v>-592.17474600009155</v>
          </cell>
          <cell r="M500">
            <v>-780.44624199997634</v>
          </cell>
          <cell r="N500">
            <v>-1272.6001000000397</v>
          </cell>
          <cell r="O500">
            <v>-937.44410000002244</v>
          </cell>
          <cell r="P500">
            <v>-1347.3822389999987</v>
          </cell>
          <cell r="Q500">
            <v>297.14999499998521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</row>
        <row r="501">
          <cell r="C501" t="str">
            <v>Naughton</v>
          </cell>
          <cell r="F501">
            <v>0</v>
          </cell>
          <cell r="G501">
            <v>-82.022120000008726</v>
          </cell>
          <cell r="H501">
            <v>-53.517705000005662</v>
          </cell>
          <cell r="I501">
            <v>-220.5478240000084</v>
          </cell>
          <cell r="J501">
            <v>-247.5509890000103</v>
          </cell>
          <cell r="K501">
            <v>-89.590328999998746</v>
          </cell>
          <cell r="L501">
            <v>0</v>
          </cell>
          <cell r="M501">
            <v>0</v>
          </cell>
          <cell r="N501">
            <v>0</v>
          </cell>
          <cell r="O501">
            <v>-5.2700159999949392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</row>
        <row r="502">
          <cell r="C502" t="str">
            <v>Wyodak</v>
          </cell>
          <cell r="F502">
            <v>0</v>
          </cell>
          <cell r="G502">
            <v>0</v>
          </cell>
          <cell r="H502">
            <v>0</v>
          </cell>
          <cell r="I502">
            <v>-36.890150000006543</v>
          </cell>
          <cell r="J502">
            <v>-10.540039999992587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</row>
        <row r="503">
          <cell r="C503" t="str">
            <v>Ramp Loss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</row>
        <row r="505">
          <cell r="A505" t="str">
            <v>Total Coal Generation</v>
          </cell>
          <cell r="F505">
            <v>-2289.0259600002319</v>
          </cell>
          <cell r="G505">
            <v>-1682.1625720001757</v>
          </cell>
          <cell r="H505">
            <v>-1707.7764590000734</v>
          </cell>
          <cell r="I505">
            <v>-1706.5252389996313</v>
          </cell>
          <cell r="J505">
            <v>-2152.1906440001912</v>
          </cell>
          <cell r="K505">
            <v>-1894.973466000054</v>
          </cell>
          <cell r="L505">
            <v>-1440.0223659998737</v>
          </cell>
          <cell r="M505">
            <v>-2105.4443500004709</v>
          </cell>
          <cell r="N505">
            <v>-2459.98606200004</v>
          </cell>
          <cell r="O505">
            <v>-1905.0851490003988</v>
          </cell>
          <cell r="P505">
            <v>-2231.5133529994637</v>
          </cell>
          <cell r="Q505">
            <v>934.80475900042802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</row>
        <row r="507">
          <cell r="A507" t="str">
            <v>Gas Generation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-121.2098700000206</v>
          </cell>
          <cell r="P508">
            <v>-434.22552999999607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</row>
        <row r="510">
          <cell r="F510">
            <v>-350.14656500000274</v>
          </cell>
          <cell r="G510">
            <v>-243.06093700000201</v>
          </cell>
          <cell r="H510">
            <v>-138.17862999998033</v>
          </cell>
          <cell r="I510">
            <v>-76.375150000007125</v>
          </cell>
          <cell r="J510">
            <v>-57.403043000027537</v>
          </cell>
          <cell r="K510">
            <v>-88.03282299998682</v>
          </cell>
          <cell r="L510">
            <v>-20.979647000029217</v>
          </cell>
          <cell r="M510">
            <v>-5.316274999990128</v>
          </cell>
          <cell r="N510">
            <v>-8.1512649999931455</v>
          </cell>
          <cell r="O510">
            <v>-150.01135099993553</v>
          </cell>
          <cell r="P510">
            <v>-177.2907600000035</v>
          </cell>
          <cell r="Q510">
            <v>-39.32901500002481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</row>
        <row r="512">
          <cell r="F512">
            <v>0</v>
          </cell>
          <cell r="G512">
            <v>0</v>
          </cell>
          <cell r="H512">
            <v>-0.4599980000002688</v>
          </cell>
          <cell r="I512">
            <v>-46.453958000000057</v>
          </cell>
          <cell r="J512">
            <v>-39.433961999999156</v>
          </cell>
          <cell r="K512">
            <v>-9.3050039999980072</v>
          </cell>
          <cell r="L512">
            <v>-26.18325349999941</v>
          </cell>
          <cell r="M512">
            <v>-46.650157000000036</v>
          </cell>
          <cell r="N512">
            <v>-36.129077499997948</v>
          </cell>
          <cell r="O512">
            <v>-26.1402020000005</v>
          </cell>
          <cell r="P512">
            <v>-10</v>
          </cell>
          <cell r="Q512">
            <v>10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</row>
        <row r="513">
          <cell r="F513">
            <v>0</v>
          </cell>
          <cell r="G513">
            <v>0</v>
          </cell>
          <cell r="H513">
            <v>-21.080079999985173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</row>
        <row r="514">
          <cell r="F514">
            <v>-231.14730000001146</v>
          </cell>
          <cell r="G514">
            <v>-18.595279999979539</v>
          </cell>
          <cell r="H514">
            <v>-85.393770000024233</v>
          </cell>
          <cell r="I514">
            <v>-105.26080999994883</v>
          </cell>
          <cell r="J514">
            <v>0</v>
          </cell>
          <cell r="K514">
            <v>-21.080090000003111</v>
          </cell>
          <cell r="L514">
            <v>-5.2700099999783561</v>
          </cell>
          <cell r="M514">
            <v>0</v>
          </cell>
          <cell r="N514">
            <v>0</v>
          </cell>
          <cell r="O514">
            <v>-31.619999999995343</v>
          </cell>
          <cell r="P514">
            <v>-63.240029999986291</v>
          </cell>
          <cell r="Q514">
            <v>-53.888059999968391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</row>
        <row r="515">
          <cell r="F515">
            <v>-142.37859000000753</v>
          </cell>
          <cell r="G515">
            <v>-166.22299999999814</v>
          </cell>
          <cell r="H515">
            <v>-111.30496999999741</v>
          </cell>
          <cell r="I515">
            <v>-152.07429700001376</v>
          </cell>
          <cell r="J515">
            <v>-273.79724799998803</v>
          </cell>
          <cell r="K515">
            <v>-297.03496599994833</v>
          </cell>
          <cell r="L515">
            <v>-26.294078999955673</v>
          </cell>
          <cell r="M515">
            <v>-47.743390000017826</v>
          </cell>
          <cell r="N515">
            <v>-175.98097000003327</v>
          </cell>
          <cell r="O515">
            <v>-216.53908299998147</v>
          </cell>
          <cell r="P515">
            <v>-379.36835000000428</v>
          </cell>
          <cell r="Q515">
            <v>-6184.2257899999968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</row>
        <row r="518">
          <cell r="A518" t="str">
            <v>Total Gas Generation</v>
          </cell>
          <cell r="F518">
            <v>-723.67245499999262</v>
          </cell>
          <cell r="G518">
            <v>-427.87921699997969</v>
          </cell>
          <cell r="H518">
            <v>-356.41744800005108</v>
          </cell>
          <cell r="I518">
            <v>-380.16421499999706</v>
          </cell>
          <cell r="J518">
            <v>-370.63425300002564</v>
          </cell>
          <cell r="K518">
            <v>-415.45288300001994</v>
          </cell>
          <cell r="L518">
            <v>-78.72698950022459</v>
          </cell>
          <cell r="M518">
            <v>-99.709822000237182</v>
          </cell>
          <cell r="N518">
            <v>-220.2613124998752</v>
          </cell>
          <cell r="O518">
            <v>-545.52050599991344</v>
          </cell>
          <cell r="P518">
            <v>-1064.1246700002812</v>
          </cell>
          <cell r="Q518">
            <v>-6267.4428650001064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</row>
        <row r="520">
          <cell r="A520" t="str">
            <v>Hydro Generation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</row>
        <row r="524">
          <cell r="A524" t="str">
            <v>Total Hydro Generation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</row>
        <row r="526">
          <cell r="A526" t="str">
            <v>Other Generation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</row>
        <row r="546">
          <cell r="A546" t="str">
            <v>Total Other Generation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</row>
        <row r="548">
          <cell r="A548" t="str">
            <v>IRP Resources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</row>
        <row r="573">
          <cell r="A573" t="str">
            <v>Total IRP Resources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</row>
        <row r="575">
          <cell r="A575" t="str">
            <v>Growth Station Resources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</row>
        <row r="584">
          <cell r="A584" t="str">
            <v>Total Growth Station Resources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</row>
        <row r="585">
          <cell r="F585" t="str">
            <v>=</v>
          </cell>
          <cell r="G585" t="str">
            <v>=</v>
          </cell>
          <cell r="H585" t="str">
            <v>=</v>
          </cell>
          <cell r="I585" t="str">
            <v>=</v>
          </cell>
          <cell r="J585" t="str">
            <v>=</v>
          </cell>
          <cell r="K585" t="str">
            <v>=</v>
          </cell>
          <cell r="L585" t="str">
            <v>=</v>
          </cell>
          <cell r="M585" t="str">
            <v>=</v>
          </cell>
          <cell r="N585" t="str">
            <v>=</v>
          </cell>
          <cell r="O585" t="str">
            <v>=</v>
          </cell>
          <cell r="P585" t="str">
            <v>=</v>
          </cell>
          <cell r="Q585" t="str">
            <v>=</v>
          </cell>
          <cell r="R585" t="str">
            <v>=</v>
          </cell>
          <cell r="S585" t="str">
            <v>=</v>
          </cell>
          <cell r="T585" t="str">
            <v>=</v>
          </cell>
          <cell r="U585" t="str">
            <v>=</v>
          </cell>
          <cell r="V585" t="str">
            <v>=</v>
          </cell>
          <cell r="W585" t="str">
            <v>=</v>
          </cell>
          <cell r="X585" t="str">
            <v>=</v>
          </cell>
          <cell r="Y585" t="str">
            <v>=</v>
          </cell>
          <cell r="Z585" t="str">
            <v>=</v>
          </cell>
          <cell r="AA585" t="str">
            <v>=</v>
          </cell>
          <cell r="AB585" t="str">
            <v>=</v>
          </cell>
          <cell r="AC585" t="str">
            <v>=</v>
          </cell>
          <cell r="AD585" t="str">
            <v>=</v>
          </cell>
          <cell r="AE585" t="str">
            <v>=</v>
          </cell>
          <cell r="AF585" t="str">
            <v>=</v>
          </cell>
          <cell r="AG585" t="str">
            <v>=</v>
          </cell>
          <cell r="AH585" t="str">
            <v>=</v>
          </cell>
          <cell r="AI585" t="str">
            <v>=</v>
          </cell>
          <cell r="AJ585" t="str">
            <v>=</v>
          </cell>
          <cell r="AK585" t="str">
            <v>=</v>
          </cell>
          <cell r="AL585" t="str">
            <v>=</v>
          </cell>
          <cell r="AM585" t="str">
            <v>=</v>
          </cell>
          <cell r="AN585" t="str">
            <v>=</v>
          </cell>
          <cell r="AO585" t="str">
            <v>=</v>
          </cell>
          <cell r="AP585" t="str">
            <v>=</v>
          </cell>
          <cell r="AQ585" t="str">
            <v>=</v>
          </cell>
          <cell r="AR585" t="str">
            <v>=</v>
          </cell>
          <cell r="AS585" t="str">
            <v>=</v>
          </cell>
          <cell r="AT585" t="str">
            <v>=</v>
          </cell>
          <cell r="AU585" t="str">
            <v>=</v>
          </cell>
          <cell r="AV585" t="str">
            <v>=</v>
          </cell>
          <cell r="AW585" t="str">
            <v>=</v>
          </cell>
          <cell r="AX585" t="str">
            <v>=</v>
          </cell>
          <cell r="AY585" t="str">
            <v>=</v>
          </cell>
          <cell r="AZ585" t="str">
            <v>=</v>
          </cell>
          <cell r="BA585" t="str">
            <v>=</v>
          </cell>
          <cell r="BB585" t="str">
            <v>=</v>
          </cell>
          <cell r="BC585" t="str">
            <v>=</v>
          </cell>
          <cell r="BD585" t="str">
            <v>=</v>
          </cell>
          <cell r="BE585" t="str">
            <v>=</v>
          </cell>
          <cell r="BF585" t="str">
            <v>=</v>
          </cell>
          <cell r="BG585" t="str">
            <v>=</v>
          </cell>
          <cell r="BH585" t="str">
            <v>=</v>
          </cell>
          <cell r="BI585" t="str">
            <v>=</v>
          </cell>
          <cell r="BJ585" t="str">
            <v>=</v>
          </cell>
          <cell r="BK585" t="str">
            <v>=</v>
          </cell>
          <cell r="BL585" t="str">
            <v>=</v>
          </cell>
          <cell r="BM585" t="str">
            <v>=</v>
          </cell>
          <cell r="BN585" t="str">
            <v>=</v>
          </cell>
          <cell r="BO585" t="str">
            <v>=</v>
          </cell>
          <cell r="BP585" t="str">
            <v>=</v>
          </cell>
          <cell r="BQ585" t="str">
            <v>=</v>
          </cell>
          <cell r="BR585" t="str">
            <v>=</v>
          </cell>
          <cell r="BS585" t="str">
            <v>=</v>
          </cell>
          <cell r="BT585" t="str">
            <v>=</v>
          </cell>
          <cell r="BU585" t="str">
            <v>=</v>
          </cell>
          <cell r="BV585" t="str">
            <v>=</v>
          </cell>
          <cell r="BW585" t="str">
            <v>=</v>
          </cell>
          <cell r="BX585" t="str">
            <v>=</v>
          </cell>
          <cell r="BY585" t="str">
            <v>=</v>
          </cell>
          <cell r="BZ585" t="str">
            <v>=</v>
          </cell>
          <cell r="CA585" t="str">
            <v>=</v>
          </cell>
          <cell r="CB585" t="str">
            <v>=</v>
          </cell>
          <cell r="CC585" t="str">
            <v>=</v>
          </cell>
          <cell r="CD585" t="str">
            <v>=</v>
          </cell>
          <cell r="CE585" t="str">
            <v>=</v>
          </cell>
          <cell r="CF585" t="str">
            <v>=</v>
          </cell>
          <cell r="CG585" t="str">
            <v>=</v>
          </cell>
          <cell r="CH585" t="str">
            <v>=</v>
          </cell>
          <cell r="CI585" t="str">
            <v>=</v>
          </cell>
          <cell r="CJ585" t="str">
            <v>=</v>
          </cell>
          <cell r="CK585" t="str">
            <v>=</v>
          </cell>
          <cell r="CL585" t="str">
            <v>=</v>
          </cell>
          <cell r="CM585" t="str">
            <v>=</v>
          </cell>
          <cell r="CN585" t="str">
            <v>=</v>
          </cell>
          <cell r="CO585" t="str">
            <v>=</v>
          </cell>
          <cell r="CP585" t="str">
            <v>=</v>
          </cell>
          <cell r="CQ585" t="str">
            <v>=</v>
          </cell>
          <cell r="CR585" t="str">
            <v>=</v>
          </cell>
          <cell r="CS585" t="str">
            <v>=</v>
          </cell>
          <cell r="CT585" t="str">
            <v>=</v>
          </cell>
          <cell r="CU585" t="str">
            <v>=</v>
          </cell>
          <cell r="CV585" t="str">
            <v>=</v>
          </cell>
          <cell r="CW585" t="str">
            <v>=</v>
          </cell>
          <cell r="CX585" t="str">
            <v>=</v>
          </cell>
          <cell r="CY585" t="str">
            <v>=</v>
          </cell>
          <cell r="CZ585" t="str">
            <v>=</v>
          </cell>
          <cell r="DA585" t="str">
            <v>=</v>
          </cell>
          <cell r="DB585" t="str">
            <v>=</v>
          </cell>
          <cell r="DC585" t="str">
            <v>=</v>
          </cell>
          <cell r="DD585" t="str">
            <v>=</v>
          </cell>
          <cell r="DE585" t="str">
            <v>=</v>
          </cell>
          <cell r="DF585" t="str">
            <v>=</v>
          </cell>
          <cell r="DG585" t="str">
            <v>=</v>
          </cell>
          <cell r="DH585" t="str">
            <v>=</v>
          </cell>
          <cell r="DI585" t="str">
            <v>=</v>
          </cell>
          <cell r="DJ585" t="str">
            <v>=</v>
          </cell>
          <cell r="DK585" t="str">
            <v>=</v>
          </cell>
          <cell r="DL585" t="str">
            <v>=</v>
          </cell>
          <cell r="DM585" t="str">
            <v>=</v>
          </cell>
          <cell r="DN585" t="str">
            <v>=</v>
          </cell>
          <cell r="DO585" t="str">
            <v>=</v>
          </cell>
          <cell r="DP585" t="str">
            <v>=</v>
          </cell>
          <cell r="DQ585" t="str">
            <v>=</v>
          </cell>
          <cell r="DR585" t="str">
            <v>=</v>
          </cell>
          <cell r="DS585" t="str">
            <v>=</v>
          </cell>
          <cell r="DT585" t="str">
            <v>=</v>
          </cell>
          <cell r="DU585" t="str">
            <v>=</v>
          </cell>
          <cell r="DV585" t="str">
            <v>=</v>
          </cell>
          <cell r="DW585" t="str">
            <v>=</v>
          </cell>
          <cell r="DX585" t="str">
            <v>=</v>
          </cell>
          <cell r="DY585" t="str">
            <v>=</v>
          </cell>
          <cell r="DZ585" t="str">
            <v>=</v>
          </cell>
          <cell r="EA585" t="str">
            <v>=</v>
          </cell>
          <cell r="EB585" t="str">
            <v>=</v>
          </cell>
          <cell r="EC585" t="str">
            <v>=</v>
          </cell>
          <cell r="ED585" t="str">
            <v>=</v>
          </cell>
        </row>
        <row r="586">
          <cell r="A586" t="str">
            <v>Total Resources</v>
          </cell>
          <cell r="F586">
            <v>440.61258499976248</v>
          </cell>
          <cell r="G586">
            <v>727.68821099959314</v>
          </cell>
          <cell r="H586">
            <v>772.08459299895912</v>
          </cell>
          <cell r="I586">
            <v>211.79154600016773</v>
          </cell>
          <cell r="J586">
            <v>229.62570300046355</v>
          </cell>
          <cell r="K586">
            <v>185.04535100050271</v>
          </cell>
          <cell r="L586">
            <v>803.37574717961252</v>
          </cell>
          <cell r="M586">
            <v>256.73013799823821</v>
          </cell>
          <cell r="N586">
            <v>188.44605550076813</v>
          </cell>
          <cell r="O586">
            <v>590.42834499850869</v>
          </cell>
          <cell r="P586">
            <v>246.96492699999362</v>
          </cell>
          <cell r="Q586">
            <v>-863.34497500024736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</row>
        <row r="587">
          <cell r="F587" t="str">
            <v>=</v>
          </cell>
          <cell r="G587" t="str">
            <v>=</v>
          </cell>
          <cell r="H587" t="str">
            <v>=</v>
          </cell>
          <cell r="I587" t="str">
            <v>=</v>
          </cell>
          <cell r="J587" t="str">
            <v>=</v>
          </cell>
          <cell r="K587" t="str">
            <v>=</v>
          </cell>
          <cell r="L587" t="str">
            <v>=</v>
          </cell>
          <cell r="M587" t="str">
            <v>=</v>
          </cell>
          <cell r="N587" t="str">
            <v>=</v>
          </cell>
          <cell r="O587" t="str">
            <v>=</v>
          </cell>
          <cell r="P587" t="str">
            <v>=</v>
          </cell>
          <cell r="Q587" t="str">
            <v>=</v>
          </cell>
          <cell r="R587" t="str">
            <v>=</v>
          </cell>
          <cell r="S587" t="str">
            <v>=</v>
          </cell>
          <cell r="T587" t="str">
            <v>=</v>
          </cell>
          <cell r="U587" t="str">
            <v>=</v>
          </cell>
          <cell r="V587" t="str">
            <v>=</v>
          </cell>
          <cell r="W587" t="str">
            <v>=</v>
          </cell>
          <cell r="X587" t="str">
            <v>=</v>
          </cell>
          <cell r="Y587" t="str">
            <v>=</v>
          </cell>
          <cell r="Z587" t="str">
            <v>=</v>
          </cell>
          <cell r="AA587" t="str">
            <v>=</v>
          </cell>
          <cell r="AB587" t="str">
            <v>=</v>
          </cell>
          <cell r="AC587" t="str">
            <v>=</v>
          </cell>
          <cell r="AD587" t="str">
            <v>=</v>
          </cell>
          <cell r="AE587" t="str">
            <v>=</v>
          </cell>
          <cell r="AF587" t="str">
            <v>=</v>
          </cell>
          <cell r="AG587" t="str">
            <v>=</v>
          </cell>
          <cell r="AH587" t="str">
            <v>=</v>
          </cell>
          <cell r="AI587" t="str">
            <v>=</v>
          </cell>
          <cell r="AJ587" t="str">
            <v>=</v>
          </cell>
          <cell r="AK587" t="str">
            <v>=</v>
          </cell>
          <cell r="AL587" t="str">
            <v>=</v>
          </cell>
          <cell r="AM587" t="str">
            <v>=</v>
          </cell>
          <cell r="AN587" t="str">
            <v>=</v>
          </cell>
          <cell r="AO587" t="str">
            <v>=</v>
          </cell>
          <cell r="AP587" t="str">
            <v>=</v>
          </cell>
          <cell r="AQ587" t="str">
            <v>=</v>
          </cell>
          <cell r="AR587" t="str">
            <v>=</v>
          </cell>
          <cell r="AS587" t="str">
            <v>=</v>
          </cell>
          <cell r="AT587" t="str">
            <v>=</v>
          </cell>
          <cell r="AU587" t="str">
            <v>=</v>
          </cell>
          <cell r="AV587" t="str">
            <v>=</v>
          </cell>
          <cell r="AW587" t="str">
            <v>=</v>
          </cell>
          <cell r="AX587" t="str">
            <v>=</v>
          </cell>
          <cell r="AY587" t="str">
            <v>=</v>
          </cell>
          <cell r="AZ587" t="str">
            <v>=</v>
          </cell>
          <cell r="BA587" t="str">
            <v>=</v>
          </cell>
          <cell r="BB587" t="str">
            <v>=</v>
          </cell>
          <cell r="BC587" t="str">
            <v>=</v>
          </cell>
          <cell r="BD587" t="str">
            <v>=</v>
          </cell>
          <cell r="BE587" t="str">
            <v>=</v>
          </cell>
          <cell r="BF587" t="str">
            <v>=</v>
          </cell>
          <cell r="BG587" t="str">
            <v>=</v>
          </cell>
          <cell r="BH587" t="str">
            <v>=</v>
          </cell>
          <cell r="BI587" t="str">
            <v>=</v>
          </cell>
          <cell r="BJ587" t="str">
            <v>=</v>
          </cell>
          <cell r="BK587" t="str">
            <v>=</v>
          </cell>
          <cell r="BL587" t="str">
            <v>=</v>
          </cell>
          <cell r="BM587" t="str">
            <v>=</v>
          </cell>
          <cell r="BN587" t="str">
            <v>=</v>
          </cell>
          <cell r="BO587" t="str">
            <v>=</v>
          </cell>
          <cell r="BP587" t="str">
            <v>=</v>
          </cell>
          <cell r="BQ587" t="str">
            <v>=</v>
          </cell>
          <cell r="BR587" t="str">
            <v>=</v>
          </cell>
          <cell r="BS587" t="str">
            <v>=</v>
          </cell>
          <cell r="BT587" t="str">
            <v>=</v>
          </cell>
          <cell r="BU587" t="str">
            <v>=</v>
          </cell>
          <cell r="BV587" t="str">
            <v>=</v>
          </cell>
          <cell r="BW587" t="str">
            <v>=</v>
          </cell>
          <cell r="BX587" t="str">
            <v>=</v>
          </cell>
          <cell r="BY587" t="str">
            <v>=</v>
          </cell>
          <cell r="BZ587" t="str">
            <v>=</v>
          </cell>
          <cell r="CA587" t="str">
            <v>=</v>
          </cell>
          <cell r="CB587" t="str">
            <v>=</v>
          </cell>
          <cell r="CC587" t="str">
            <v>=</v>
          </cell>
          <cell r="CD587" t="str">
            <v>=</v>
          </cell>
          <cell r="CE587" t="str">
            <v>=</v>
          </cell>
          <cell r="CF587" t="str">
            <v>=</v>
          </cell>
          <cell r="CG587" t="str">
            <v>=</v>
          </cell>
          <cell r="CH587" t="str">
            <v>=</v>
          </cell>
          <cell r="CI587" t="str">
            <v>=</v>
          </cell>
          <cell r="CJ587" t="str">
            <v>=</v>
          </cell>
          <cell r="CK587" t="str">
            <v>=</v>
          </cell>
          <cell r="CL587" t="str">
            <v>=</v>
          </cell>
          <cell r="CM587" t="str">
            <v>=</v>
          </cell>
          <cell r="CN587" t="str">
            <v>=</v>
          </cell>
          <cell r="CO587" t="str">
            <v>=</v>
          </cell>
          <cell r="CP587" t="str">
            <v>=</v>
          </cell>
          <cell r="CQ587" t="str">
            <v>=</v>
          </cell>
          <cell r="CR587" t="str">
            <v>=</v>
          </cell>
          <cell r="CS587" t="str">
            <v>=</v>
          </cell>
          <cell r="CT587" t="str">
            <v>=</v>
          </cell>
          <cell r="CU587" t="str">
            <v>=</v>
          </cell>
          <cell r="CV587" t="str">
            <v>=</v>
          </cell>
          <cell r="CW587" t="str">
            <v>=</v>
          </cell>
          <cell r="CX587" t="str">
            <v>=</v>
          </cell>
          <cell r="CY587" t="str">
            <v>=</v>
          </cell>
          <cell r="CZ587" t="str">
            <v>=</v>
          </cell>
          <cell r="DA587" t="str">
            <v>=</v>
          </cell>
          <cell r="DB587" t="str">
            <v>=</v>
          </cell>
          <cell r="DC587" t="str">
            <v>=</v>
          </cell>
          <cell r="DD587" t="str">
            <v>=</v>
          </cell>
          <cell r="DE587" t="str">
            <v>=</v>
          </cell>
          <cell r="DF587" t="str">
            <v>=</v>
          </cell>
          <cell r="DG587" t="str">
            <v>=</v>
          </cell>
          <cell r="DH587" t="str">
            <v>=</v>
          </cell>
          <cell r="DI587" t="str">
            <v>=</v>
          </cell>
          <cell r="DJ587" t="str">
            <v>=</v>
          </cell>
          <cell r="DK587" t="str">
            <v>=</v>
          </cell>
          <cell r="DL587" t="str">
            <v>=</v>
          </cell>
          <cell r="DM587" t="str">
            <v>=</v>
          </cell>
          <cell r="DN587" t="str">
            <v>=</v>
          </cell>
          <cell r="DO587" t="str">
            <v>=</v>
          </cell>
          <cell r="DP587" t="str">
            <v>=</v>
          </cell>
          <cell r="DQ587" t="str">
            <v>=</v>
          </cell>
          <cell r="DR587" t="str">
            <v>=</v>
          </cell>
          <cell r="DS587" t="str">
            <v>=</v>
          </cell>
          <cell r="DT587" t="str">
            <v>=</v>
          </cell>
          <cell r="DU587" t="str">
            <v>=</v>
          </cell>
          <cell r="DV587" t="str">
            <v>=</v>
          </cell>
          <cell r="DW587" t="str">
            <v>=</v>
          </cell>
          <cell r="DX587" t="str">
            <v>=</v>
          </cell>
          <cell r="DY587" t="str">
            <v>=</v>
          </cell>
          <cell r="DZ587" t="str">
            <v>=</v>
          </cell>
          <cell r="EA587" t="str">
            <v>=</v>
          </cell>
          <cell r="EB587" t="str">
            <v>=</v>
          </cell>
          <cell r="EC587" t="str">
            <v>=</v>
          </cell>
          <cell r="ED587" t="str">
            <v>=</v>
          </cell>
        </row>
        <row r="588"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 t="str">
            <v/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 t="str">
            <v/>
          </cell>
          <cell r="BU588" t="str">
            <v/>
          </cell>
          <cell r="BV588" t="str">
            <v/>
          </cell>
          <cell r="BW588" t="str">
            <v/>
          </cell>
          <cell r="BX588" t="str">
            <v/>
          </cell>
          <cell r="BY588" t="str">
            <v/>
          </cell>
          <cell r="BZ588" t="str">
            <v/>
          </cell>
          <cell r="CA588" t="str">
            <v/>
          </cell>
          <cell r="CB588" t="str">
            <v/>
          </cell>
          <cell r="CC588" t="str">
            <v/>
          </cell>
          <cell r="CD588" t="str">
            <v/>
          </cell>
          <cell r="CE588" t="str">
            <v/>
          </cell>
          <cell r="CF588" t="str">
            <v/>
          </cell>
          <cell r="CG588" t="str">
            <v/>
          </cell>
          <cell r="CH588" t="str">
            <v/>
          </cell>
          <cell r="CI588" t="str">
            <v/>
          </cell>
          <cell r="CJ588" t="str">
            <v/>
          </cell>
          <cell r="CK588" t="str">
            <v/>
          </cell>
          <cell r="CL588" t="str">
            <v/>
          </cell>
          <cell r="CM588" t="str">
            <v/>
          </cell>
          <cell r="CN588" t="str">
            <v/>
          </cell>
          <cell r="CO588" t="str">
            <v/>
          </cell>
          <cell r="CP588" t="str">
            <v/>
          </cell>
          <cell r="CQ588" t="str">
            <v/>
          </cell>
          <cell r="CR588" t="str">
            <v/>
          </cell>
          <cell r="CS588" t="str">
            <v/>
          </cell>
          <cell r="CT588" t="str">
            <v/>
          </cell>
          <cell r="CU588" t="str">
            <v/>
          </cell>
          <cell r="CV588" t="str">
            <v/>
          </cell>
          <cell r="CW588" t="str">
            <v/>
          </cell>
          <cell r="CX588" t="str">
            <v/>
          </cell>
          <cell r="CY588" t="str">
            <v/>
          </cell>
          <cell r="CZ588" t="str">
            <v/>
          </cell>
          <cell r="DA588" t="str">
            <v/>
          </cell>
          <cell r="DB588" t="str">
            <v/>
          </cell>
          <cell r="DC588" t="str">
            <v/>
          </cell>
          <cell r="DD588" t="str">
            <v/>
          </cell>
          <cell r="DE588" t="str">
            <v/>
          </cell>
          <cell r="DF588" t="str">
            <v/>
          </cell>
          <cell r="DG588" t="str">
            <v/>
          </cell>
          <cell r="DH588" t="str">
            <v/>
          </cell>
          <cell r="DI588" t="str">
            <v/>
          </cell>
          <cell r="DJ588" t="str">
            <v/>
          </cell>
          <cell r="DK588" t="str">
            <v/>
          </cell>
          <cell r="DL588" t="str">
            <v/>
          </cell>
          <cell r="DM588" t="str">
            <v/>
          </cell>
          <cell r="DN588" t="str">
            <v/>
          </cell>
          <cell r="DO588" t="str">
            <v/>
          </cell>
          <cell r="DP588" t="str">
            <v/>
          </cell>
          <cell r="DQ588" t="str">
            <v/>
          </cell>
          <cell r="DR588" t="str">
            <v/>
          </cell>
          <cell r="DS588" t="str">
            <v/>
          </cell>
          <cell r="DT588" t="str">
            <v/>
          </cell>
          <cell r="DU588" t="str">
            <v/>
          </cell>
          <cell r="DV588" t="str">
            <v/>
          </cell>
          <cell r="DW588" t="str">
            <v/>
          </cell>
          <cell r="DX588" t="str">
            <v/>
          </cell>
          <cell r="DY588" t="str">
            <v/>
          </cell>
          <cell r="DZ588" t="str">
            <v/>
          </cell>
          <cell r="EA588" t="str">
            <v/>
          </cell>
          <cell r="EB588" t="str">
            <v/>
          </cell>
          <cell r="EC588" t="str">
            <v/>
          </cell>
          <cell r="ED588" t="str">
            <v/>
          </cell>
        </row>
        <row r="589"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  <cell r="BP589" t="str">
            <v/>
          </cell>
          <cell r="BQ589" t="str">
            <v/>
          </cell>
          <cell r="BR589" t="str">
            <v/>
          </cell>
          <cell r="BS589" t="str">
            <v/>
          </cell>
          <cell r="BT589" t="str">
            <v/>
          </cell>
          <cell r="BU589" t="str">
            <v/>
          </cell>
          <cell r="BV589" t="str">
            <v/>
          </cell>
          <cell r="BW589" t="str">
            <v/>
          </cell>
          <cell r="BX589" t="str">
            <v/>
          </cell>
          <cell r="BY589" t="str">
            <v/>
          </cell>
          <cell r="BZ589" t="str">
            <v/>
          </cell>
          <cell r="CA589" t="str">
            <v/>
          </cell>
          <cell r="CB589" t="str">
            <v/>
          </cell>
          <cell r="CC589" t="str">
            <v/>
          </cell>
          <cell r="CD589" t="str">
            <v/>
          </cell>
          <cell r="CE589" t="str">
            <v/>
          </cell>
          <cell r="CF589" t="str">
            <v/>
          </cell>
          <cell r="CG589" t="str">
            <v/>
          </cell>
          <cell r="CH589" t="str">
            <v/>
          </cell>
          <cell r="CI589" t="str">
            <v/>
          </cell>
          <cell r="CJ589" t="str">
            <v/>
          </cell>
          <cell r="CK589" t="str">
            <v/>
          </cell>
          <cell r="CL589" t="str">
            <v/>
          </cell>
          <cell r="CM589" t="str">
            <v/>
          </cell>
          <cell r="CN589" t="str">
            <v/>
          </cell>
          <cell r="CO589" t="str">
            <v/>
          </cell>
          <cell r="CP589" t="str">
            <v/>
          </cell>
          <cell r="CQ589" t="str">
            <v/>
          </cell>
          <cell r="CR589" t="str">
            <v/>
          </cell>
          <cell r="CS589" t="str">
            <v/>
          </cell>
          <cell r="CT589" t="str">
            <v/>
          </cell>
          <cell r="CU589" t="str">
            <v/>
          </cell>
          <cell r="CV589" t="str">
            <v/>
          </cell>
          <cell r="CW589" t="str">
            <v/>
          </cell>
          <cell r="CX589" t="str">
            <v/>
          </cell>
          <cell r="CY589" t="str">
            <v/>
          </cell>
          <cell r="CZ589" t="str">
            <v/>
          </cell>
          <cell r="DA589" t="str">
            <v/>
          </cell>
          <cell r="DB589" t="str">
            <v/>
          </cell>
          <cell r="DC589" t="str">
            <v/>
          </cell>
          <cell r="DD589" t="str">
            <v/>
          </cell>
          <cell r="DE589" t="str">
            <v/>
          </cell>
          <cell r="DF589" t="str">
            <v/>
          </cell>
          <cell r="DG589" t="str">
            <v/>
          </cell>
          <cell r="DH589" t="str">
            <v/>
          </cell>
          <cell r="DI589" t="str">
            <v/>
          </cell>
          <cell r="DJ589" t="str">
            <v/>
          </cell>
          <cell r="DK589" t="str">
            <v/>
          </cell>
          <cell r="DL589" t="str">
            <v/>
          </cell>
          <cell r="DM589" t="str">
            <v/>
          </cell>
          <cell r="DN589" t="str">
            <v/>
          </cell>
          <cell r="DO589" t="str">
            <v/>
          </cell>
          <cell r="DP589" t="str">
            <v/>
          </cell>
          <cell r="DQ589" t="str">
            <v/>
          </cell>
          <cell r="DR589" t="str">
            <v/>
          </cell>
          <cell r="DS589" t="str">
            <v/>
          </cell>
          <cell r="DT589" t="str">
            <v/>
          </cell>
          <cell r="DU589" t="str">
            <v/>
          </cell>
          <cell r="DV589" t="str">
            <v/>
          </cell>
          <cell r="DW589" t="str">
            <v/>
          </cell>
          <cell r="DX589" t="str">
            <v/>
          </cell>
          <cell r="DY589" t="str">
            <v/>
          </cell>
          <cell r="DZ589" t="str">
            <v/>
          </cell>
          <cell r="EA589" t="str">
            <v/>
          </cell>
          <cell r="EB589" t="str">
            <v/>
          </cell>
          <cell r="EC589" t="str">
            <v/>
          </cell>
          <cell r="ED589" t="str">
            <v/>
          </cell>
        </row>
        <row r="590">
          <cell r="J590" t="str">
            <v>"The Rack"</v>
          </cell>
          <cell r="W590" t="str">
            <v>"The Rack"</v>
          </cell>
          <cell r="AJ590" t="str">
            <v>"The Rack"</v>
          </cell>
          <cell r="AW590" t="str">
            <v>"The Rack"</v>
          </cell>
          <cell r="BJ590" t="str">
            <v>"The Rack"</v>
          </cell>
          <cell r="BW590" t="str">
            <v>"The Rack"</v>
          </cell>
          <cell r="CJ590" t="str">
            <v>"The Rack"</v>
          </cell>
          <cell r="CW590" t="str">
            <v>"The Rack"</v>
          </cell>
          <cell r="DJ590" t="str">
            <v>"The Rack"</v>
          </cell>
          <cell r="DW590" t="str">
            <v>"The Rack"</v>
          </cell>
        </row>
        <row r="592">
          <cell r="A592" t="str">
            <v>Fuel Burned  (MMBtu)</v>
          </cell>
        </row>
        <row r="593">
          <cell r="F593">
            <v>-1661.3999999999069</v>
          </cell>
          <cell r="G593">
            <v>-1087.1000000000931</v>
          </cell>
          <cell r="H593">
            <v>-455.30000000004657</v>
          </cell>
          <cell r="I593">
            <v>-404.19999999995343</v>
          </cell>
          <cell r="J593">
            <v>-178</v>
          </cell>
          <cell r="K593">
            <v>-50.799999999813735</v>
          </cell>
          <cell r="L593">
            <v>-591.19999999995343</v>
          </cell>
          <cell r="M593">
            <v>-303.10000000009313</v>
          </cell>
          <cell r="N593">
            <v>-101.70000000018626</v>
          </cell>
          <cell r="O593">
            <v>-101</v>
          </cell>
          <cell r="P593">
            <v>-503.5</v>
          </cell>
          <cell r="Q593">
            <v>-293.10000000009313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</row>
        <row r="594">
          <cell r="F594">
            <v>0</v>
          </cell>
          <cell r="G594">
            <v>-17.099999999860302</v>
          </cell>
          <cell r="H594">
            <v>0</v>
          </cell>
          <cell r="I594">
            <v>-96.549999999930151</v>
          </cell>
          <cell r="J594">
            <v>0</v>
          </cell>
          <cell r="K594">
            <v>-94.960000000079162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</row>
        <row r="595">
          <cell r="F595">
            <v>-372.5</v>
          </cell>
          <cell r="G595">
            <v>-477.27000000001863</v>
          </cell>
          <cell r="H595">
            <v>-47.139999999897555</v>
          </cell>
          <cell r="I595">
            <v>0</v>
          </cell>
          <cell r="J595">
            <v>0</v>
          </cell>
          <cell r="K595">
            <v>0</v>
          </cell>
          <cell r="L595">
            <v>-205</v>
          </cell>
          <cell r="M595">
            <v>-273.13999999966472</v>
          </cell>
          <cell r="N595">
            <v>0</v>
          </cell>
          <cell r="O595">
            <v>-119.94999999995343</v>
          </cell>
          <cell r="P595">
            <v>-214.2400000001071</v>
          </cell>
          <cell r="Q595">
            <v>360.11999999999534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</row>
        <row r="596">
          <cell r="F596">
            <v>0</v>
          </cell>
          <cell r="G596">
            <v>-405.81000000052154</v>
          </cell>
          <cell r="H596">
            <v>-516.16000000014901</v>
          </cell>
          <cell r="I596">
            <v>-2345.839999999851</v>
          </cell>
          <cell r="J596">
            <v>-2806.5099999997765</v>
          </cell>
          <cell r="K596">
            <v>-1376.6499999994412</v>
          </cell>
          <cell r="L596">
            <v>0</v>
          </cell>
          <cell r="M596">
            <v>0</v>
          </cell>
          <cell r="N596">
            <v>0</v>
          </cell>
          <cell r="O596">
            <v>-463.75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</row>
        <row r="597">
          <cell r="F597">
            <v>-515.02000000001863</v>
          </cell>
          <cell r="G597">
            <v>-328.54999999993015</v>
          </cell>
          <cell r="H597">
            <v>-88.869999999995343</v>
          </cell>
          <cell r="I597">
            <v>-52.659999999974389</v>
          </cell>
          <cell r="J597">
            <v>-43.220000000030268</v>
          </cell>
          <cell r="K597">
            <v>0</v>
          </cell>
          <cell r="L597">
            <v>-13.07999999995809</v>
          </cell>
          <cell r="M597">
            <v>0</v>
          </cell>
          <cell r="N597">
            <v>-52.779999999969732</v>
          </cell>
          <cell r="O597">
            <v>-24.970000000088476</v>
          </cell>
          <cell r="P597">
            <v>-99.839999999967404</v>
          </cell>
          <cell r="Q597">
            <v>1210.9700000000303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</row>
        <row r="598">
          <cell r="F598">
            <v>-14502.299999998882</v>
          </cell>
          <cell r="G598">
            <v>-8329.8000000007451</v>
          </cell>
          <cell r="H598">
            <v>-4187.3699999996461</v>
          </cell>
          <cell r="I598">
            <v>-2055.6000000000931</v>
          </cell>
          <cell r="J598">
            <v>-1804.9600000004284</v>
          </cell>
          <cell r="K598">
            <v>-2402.4500000001863</v>
          </cell>
          <cell r="L598">
            <v>-7299.3000000007451</v>
          </cell>
          <cell r="M598">
            <v>-12172.299999999814</v>
          </cell>
          <cell r="N598">
            <v>-10208.700000000186</v>
          </cell>
          <cell r="O598">
            <v>-4026.5</v>
          </cell>
          <cell r="P598">
            <v>-7224.6000000005588</v>
          </cell>
          <cell r="Q598">
            <v>5274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</row>
        <row r="599">
          <cell r="F599">
            <v>0</v>
          </cell>
          <cell r="G599">
            <v>-735.20000000018626</v>
          </cell>
          <cell r="H599">
            <v>-2309</v>
          </cell>
          <cell r="I599">
            <v>-6003.5</v>
          </cell>
          <cell r="J599">
            <v>-10146.299999999814</v>
          </cell>
          <cell r="K599">
            <v>-8850</v>
          </cell>
          <cell r="L599">
            <v>-203.29999999981374</v>
          </cell>
          <cell r="M599">
            <v>-209</v>
          </cell>
          <cell r="N599">
            <v>-1174.2999999998137</v>
          </cell>
          <cell r="O599">
            <v>-4755.2000000001863</v>
          </cell>
          <cell r="P599">
            <v>-575</v>
          </cell>
          <cell r="Q599">
            <v>-199.20000000018626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</row>
        <row r="600">
          <cell r="F600">
            <v>-5594.4000000003725</v>
          </cell>
          <cell r="G600">
            <v>-4382</v>
          </cell>
          <cell r="H600">
            <v>-8517.9000000003725</v>
          </cell>
          <cell r="I600">
            <v>-3129.4000000003725</v>
          </cell>
          <cell r="J600">
            <v>-3222.2400000002235</v>
          </cell>
          <cell r="K600">
            <v>-4518.9000000003725</v>
          </cell>
          <cell r="L600">
            <v>-5917.1999999992549</v>
          </cell>
          <cell r="M600">
            <v>-7904.0999999996275</v>
          </cell>
          <cell r="N600">
            <v>-12432.059999998659</v>
          </cell>
          <cell r="O600">
            <v>-9222.7000000001863</v>
          </cell>
          <cell r="P600">
            <v>-12976.859999999404</v>
          </cell>
          <cell r="Q600">
            <v>2237.3999999994412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</row>
        <row r="601">
          <cell r="F601">
            <v>0</v>
          </cell>
          <cell r="G601">
            <v>-795.40000000037253</v>
          </cell>
          <cell r="H601">
            <v>-501.5</v>
          </cell>
          <cell r="I601">
            <v>-2137.6499999999069</v>
          </cell>
          <cell r="J601">
            <v>-2414.9499999997206</v>
          </cell>
          <cell r="K601">
            <v>-903.20000000018626</v>
          </cell>
          <cell r="L601">
            <v>0</v>
          </cell>
          <cell r="M601">
            <v>0</v>
          </cell>
          <cell r="N601">
            <v>0</v>
          </cell>
          <cell r="O601">
            <v>-51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-411.26000000000931</v>
          </cell>
          <cell r="J602">
            <v>-115.89999999990687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-727.60000000009313</v>
          </cell>
          <cell r="P604">
            <v>-2628.5999999996275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</row>
        <row r="606">
          <cell r="F606">
            <v>-2125.2550000001211</v>
          </cell>
          <cell r="G606">
            <v>-1454.8580000000075</v>
          </cell>
          <cell r="H606">
            <v>-819.20200000004843</v>
          </cell>
          <cell r="I606">
            <v>-441.30000000004657</v>
          </cell>
          <cell r="J606">
            <v>-333.23200000007637</v>
          </cell>
          <cell r="K606">
            <v>-526.58000000007451</v>
          </cell>
          <cell r="L606">
            <v>-137.70999999996275</v>
          </cell>
          <cell r="M606">
            <v>-49.069999999832362</v>
          </cell>
          <cell r="N606">
            <v>-55.794000000227243</v>
          </cell>
          <cell r="O606">
            <v>-898.18999999994412</v>
          </cell>
          <cell r="P606">
            <v>-1050</v>
          </cell>
          <cell r="Q606">
            <v>-144.99500000011176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</row>
        <row r="608">
          <cell r="F608">
            <v>0</v>
          </cell>
          <cell r="G608">
            <v>0</v>
          </cell>
          <cell r="H608">
            <v>-3.6820000000006985</v>
          </cell>
          <cell r="I608">
            <v>-377.22199999997974</v>
          </cell>
          <cell r="J608">
            <v>-319.24900000001071</v>
          </cell>
          <cell r="K608">
            <v>-75.450000000011642</v>
          </cell>
          <cell r="L608">
            <v>-211.53699999995297</v>
          </cell>
          <cell r="M608">
            <v>-375.04999999998836</v>
          </cell>
          <cell r="N608">
            <v>-291.67600000003586</v>
          </cell>
          <cell r="O608">
            <v>-213.09799999999814</v>
          </cell>
          <cell r="P608">
            <v>-163.2100000000064</v>
          </cell>
          <cell r="Q608">
            <v>163.21099999999569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</row>
        <row r="609">
          <cell r="F609">
            <v>0</v>
          </cell>
          <cell r="G609">
            <v>0</v>
          </cell>
          <cell r="H609">
            <v>-60.650000000023283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</row>
        <row r="610">
          <cell r="F610">
            <v>-1333</v>
          </cell>
          <cell r="G610">
            <v>-114.60000000009313</v>
          </cell>
          <cell r="H610">
            <v>-507.5</v>
          </cell>
          <cell r="I610">
            <v>-601.20000000018626</v>
          </cell>
          <cell r="J610">
            <v>0</v>
          </cell>
          <cell r="K610">
            <v>-114.5</v>
          </cell>
          <cell r="L610">
            <v>-32.599999999627471</v>
          </cell>
          <cell r="M610">
            <v>0</v>
          </cell>
          <cell r="N610">
            <v>0</v>
          </cell>
          <cell r="O610">
            <v>-193.20000000018626</v>
          </cell>
          <cell r="P610">
            <v>-382.29999999981374</v>
          </cell>
          <cell r="Q610">
            <v>-311.29999999981374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</row>
        <row r="611">
          <cell r="F611">
            <v>-889.5</v>
          </cell>
          <cell r="G611">
            <v>-1082.6000000000931</v>
          </cell>
          <cell r="H611">
            <v>-723.4000000001397</v>
          </cell>
          <cell r="I611">
            <v>-1015.5840000000317</v>
          </cell>
          <cell r="J611">
            <v>-1776.2199999997392</v>
          </cell>
          <cell r="K611">
            <v>-1885.074000000488</v>
          </cell>
          <cell r="L611">
            <v>-183.89399999985471</v>
          </cell>
          <cell r="M611">
            <v>-328.57999999960884</v>
          </cell>
          <cell r="N611">
            <v>-1196.1739999996498</v>
          </cell>
          <cell r="O611">
            <v>-1414.7139999996871</v>
          </cell>
          <cell r="P611">
            <v>-2489.7999999998137</v>
          </cell>
          <cell r="Q611">
            <v>-42788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</row>
        <row r="623">
          <cell r="A623" t="str">
            <v>Burn Rate (MMBtu/MWh)</v>
          </cell>
        </row>
        <row r="624">
          <cell r="F624">
            <v>1E-3</v>
          </cell>
          <cell r="G624">
            <v>2E-3</v>
          </cell>
          <cell r="H624">
            <v>1E-3</v>
          </cell>
          <cell r="I624">
            <v>1E-3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1E-3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E627">
            <v>0</v>
          </cell>
        </row>
        <row r="628">
          <cell r="F628">
            <v>1E-3</v>
          </cell>
          <cell r="G628">
            <v>1E-3</v>
          </cell>
          <cell r="H628">
            <v>1E-3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-3.0000000000000001E-3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</row>
        <row r="629">
          <cell r="F629">
            <v>1E-3</v>
          </cell>
          <cell r="G629">
            <v>2E-3</v>
          </cell>
          <cell r="H629">
            <v>2E-3</v>
          </cell>
          <cell r="I629">
            <v>1E-3</v>
          </cell>
          <cell r="J629">
            <v>1E-3</v>
          </cell>
          <cell r="K629">
            <v>1E-3</v>
          </cell>
          <cell r="L629">
            <v>1E-3</v>
          </cell>
          <cell r="M629">
            <v>1E-3</v>
          </cell>
          <cell r="N629">
            <v>2E-3</v>
          </cell>
          <cell r="O629">
            <v>1E-3</v>
          </cell>
          <cell r="P629">
            <v>2E-3</v>
          </cell>
          <cell r="Q629">
            <v>-1E-3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2E-3</v>
          </cell>
          <cell r="J630">
            <v>3.0000000000000001E-3</v>
          </cell>
          <cell r="K630">
            <v>2E-3</v>
          </cell>
          <cell r="L630">
            <v>0</v>
          </cell>
          <cell r="M630">
            <v>0</v>
          </cell>
          <cell r="N630">
            <v>0</v>
          </cell>
          <cell r="O630">
            <v>1E-3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</row>
        <row r="631">
          <cell r="F631">
            <v>0</v>
          </cell>
          <cell r="G631">
            <v>0</v>
          </cell>
          <cell r="H631">
            <v>1E-3</v>
          </cell>
          <cell r="I631">
            <v>1E-3</v>
          </cell>
          <cell r="J631">
            <v>1E-3</v>
          </cell>
          <cell r="K631">
            <v>1E-3</v>
          </cell>
          <cell r="L631">
            <v>0</v>
          </cell>
          <cell r="M631">
            <v>0</v>
          </cell>
          <cell r="N631">
            <v>1E-3</v>
          </cell>
          <cell r="O631">
            <v>1E-3</v>
          </cell>
          <cell r="P631">
            <v>2E-3</v>
          </cell>
          <cell r="Q631">
            <v>-1E-3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1E-3</v>
          </cell>
          <cell r="J632">
            <v>1E-3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2E-3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</row>
        <row r="637">
          <cell r="F637">
            <v>2E-3</v>
          </cell>
          <cell r="G637">
            <v>1E-3</v>
          </cell>
          <cell r="H637">
            <v>1E-3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1E-3</v>
          </cell>
          <cell r="P637">
            <v>1E-3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</row>
        <row r="639">
          <cell r="F639">
            <v>0</v>
          </cell>
          <cell r="G639">
            <v>0</v>
          </cell>
          <cell r="H639">
            <v>1E-3</v>
          </cell>
          <cell r="I639">
            <v>1.2999999999999999E-2</v>
          </cell>
          <cell r="J639">
            <v>6.0000000000000001E-3</v>
          </cell>
          <cell r="K639">
            <v>4.0000000000000001E-3</v>
          </cell>
          <cell r="L639">
            <v>7.0000000000000001E-3</v>
          </cell>
          <cell r="M639">
            <v>1.2E-2</v>
          </cell>
          <cell r="N639">
            <v>1.0999999999999999E-2</v>
          </cell>
          <cell r="O639">
            <v>1.2E-2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</row>
        <row r="641">
          <cell r="F641">
            <v>1E-3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</row>
        <row r="642">
          <cell r="F642">
            <v>1E-3</v>
          </cell>
          <cell r="G642">
            <v>0</v>
          </cell>
          <cell r="H642">
            <v>0</v>
          </cell>
          <cell r="I642">
            <v>0</v>
          </cell>
          <cell r="J642">
            <v>1E-3</v>
          </cell>
          <cell r="K642">
            <v>1E-3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1E-3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E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E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E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T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E652">
            <v>0</v>
          </cell>
        </row>
        <row r="654">
          <cell r="A654" t="str">
            <v>Average Fuel Cost ($/MMBtu)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T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T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T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T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T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T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T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</row>
        <row r="684">
          <cell r="A684" t="str">
            <v>Peak Capacity (Nameplate)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  <cell r="DD685">
            <v>0</v>
          </cell>
          <cell r="DE685">
            <v>0</v>
          </cell>
          <cell r="DF685">
            <v>0</v>
          </cell>
          <cell r="DG685">
            <v>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T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0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T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T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T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T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T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T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  <cell r="DD701">
            <v>0</v>
          </cell>
          <cell r="DE701">
            <v>0</v>
          </cell>
          <cell r="DF701">
            <v>0</v>
          </cell>
          <cell r="DG701">
            <v>0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T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  <cell r="DD702">
            <v>0</v>
          </cell>
          <cell r="DE702">
            <v>0</v>
          </cell>
          <cell r="DF702">
            <v>0</v>
          </cell>
          <cell r="DG702">
            <v>0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T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T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</row>
        <row r="704"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E717">
            <v>0</v>
          </cell>
          <cell r="DF717">
            <v>0</v>
          </cell>
          <cell r="DG717">
            <v>0</v>
          </cell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T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  <cell r="DD722">
            <v>0</v>
          </cell>
          <cell r="DE722">
            <v>0</v>
          </cell>
          <cell r="DF722">
            <v>0</v>
          </cell>
          <cell r="DG722">
            <v>0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T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0</v>
          </cell>
          <cell r="CU723">
            <v>0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  <cell r="DD723">
            <v>0</v>
          </cell>
          <cell r="DE723">
            <v>0</v>
          </cell>
          <cell r="DF723">
            <v>0</v>
          </cell>
          <cell r="DG723">
            <v>0</v>
          </cell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T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</row>
        <row r="726">
          <cell r="A726" t="str">
            <v>Capacity Factor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0</v>
          </cell>
          <cell r="CU727">
            <v>0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0</v>
          </cell>
          <cell r="DA727">
            <v>0</v>
          </cell>
          <cell r="DB727">
            <v>0</v>
          </cell>
          <cell r="DC727">
            <v>0</v>
          </cell>
          <cell r="DD727">
            <v>0</v>
          </cell>
          <cell r="DE727">
            <v>0</v>
          </cell>
          <cell r="DF727">
            <v>0</v>
          </cell>
          <cell r="DG727">
            <v>0</v>
          </cell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T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</row>
        <row r="729">
          <cell r="F729">
            <v>-1E-3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M729">
            <v>0</v>
          </cell>
          <cell r="CN729">
            <v>0</v>
          </cell>
          <cell r="CO729">
            <v>0</v>
          </cell>
          <cell r="CP729">
            <v>0</v>
          </cell>
          <cell r="CQ729">
            <v>0</v>
          </cell>
          <cell r="CR729">
            <v>0</v>
          </cell>
          <cell r="CS729">
            <v>0</v>
          </cell>
          <cell r="CT729">
            <v>0</v>
          </cell>
          <cell r="CU729">
            <v>0</v>
          </cell>
          <cell r="CV729">
            <v>0</v>
          </cell>
          <cell r="CW729">
            <v>0</v>
          </cell>
          <cell r="CX729">
            <v>0</v>
          </cell>
          <cell r="CY729">
            <v>0</v>
          </cell>
          <cell r="CZ729">
            <v>0</v>
          </cell>
          <cell r="DA729">
            <v>0</v>
          </cell>
          <cell r="DB729">
            <v>0</v>
          </cell>
          <cell r="DC729">
            <v>0</v>
          </cell>
          <cell r="DD729">
            <v>0</v>
          </cell>
          <cell r="DE729">
            <v>0</v>
          </cell>
          <cell r="DF729">
            <v>0</v>
          </cell>
          <cell r="DG729">
            <v>0</v>
          </cell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T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0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  <cell r="DD730">
            <v>0</v>
          </cell>
          <cell r="DE730">
            <v>0</v>
          </cell>
          <cell r="DF730">
            <v>0</v>
          </cell>
          <cell r="DG730">
            <v>0</v>
          </cell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T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  <cell r="CT731">
            <v>0</v>
          </cell>
          <cell r="CU731">
            <v>0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  <cell r="DD731">
            <v>0</v>
          </cell>
          <cell r="DE731">
            <v>0</v>
          </cell>
          <cell r="DF731">
            <v>0</v>
          </cell>
          <cell r="DG731">
            <v>0</v>
          </cell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T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0</v>
          </cell>
          <cell r="CU732">
            <v>0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  <cell r="DD732">
            <v>0</v>
          </cell>
          <cell r="DE732">
            <v>0</v>
          </cell>
          <cell r="DF732">
            <v>0</v>
          </cell>
          <cell r="DG732">
            <v>0</v>
          </cell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T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</row>
        <row r="733">
          <cell r="F733">
            <v>-1E-3</v>
          </cell>
          <cell r="G733">
            <v>-1E-3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2E-3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</row>
        <row r="734">
          <cell r="F734">
            <v>-2E-3</v>
          </cell>
          <cell r="G734">
            <v>-1E-3</v>
          </cell>
          <cell r="H734">
            <v>-1E-3</v>
          </cell>
          <cell r="I734">
            <v>0</v>
          </cell>
          <cell r="J734">
            <v>0</v>
          </cell>
          <cell r="K734">
            <v>0</v>
          </cell>
          <cell r="L734">
            <v>-1E-3</v>
          </cell>
          <cell r="M734">
            <v>-1E-3</v>
          </cell>
          <cell r="N734">
            <v>-1E-3</v>
          </cell>
          <cell r="O734">
            <v>0</v>
          </cell>
          <cell r="P734">
            <v>-1E-3</v>
          </cell>
          <cell r="Q734">
            <v>1E-3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-1E-3</v>
          </cell>
          <cell r="J735">
            <v>-2E-3</v>
          </cell>
          <cell r="K735">
            <v>-1E-3</v>
          </cell>
          <cell r="L735">
            <v>0</v>
          </cell>
          <cell r="M735">
            <v>0</v>
          </cell>
          <cell r="N735">
            <v>0</v>
          </cell>
          <cell r="O735">
            <v>-1E-3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</row>
        <row r="736">
          <cell r="F736">
            <v>-1E-3</v>
          </cell>
          <cell r="G736">
            <v>0</v>
          </cell>
          <cell r="H736">
            <v>-1E-3</v>
          </cell>
          <cell r="I736">
            <v>0</v>
          </cell>
          <cell r="J736">
            <v>0</v>
          </cell>
          <cell r="K736">
            <v>0</v>
          </cell>
          <cell r="L736">
            <v>-1E-3</v>
          </cell>
          <cell r="M736">
            <v>-1E-3</v>
          </cell>
          <cell r="N736">
            <v>-1E-3</v>
          </cell>
          <cell r="O736">
            <v>-1E-3</v>
          </cell>
          <cell r="P736">
            <v>-1E-3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-1E-3</v>
          </cell>
          <cell r="J737">
            <v>-1E-3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T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</row>
        <row r="740"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-1E-3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</row>
        <row r="742">
          <cell r="F742">
            <v>-1E-3</v>
          </cell>
          <cell r="G742">
            <v>-1E-3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</row>
        <row r="744">
          <cell r="F744">
            <v>0</v>
          </cell>
          <cell r="G744">
            <v>0</v>
          </cell>
          <cell r="H744">
            <v>0</v>
          </cell>
          <cell r="I744">
            <v>-1E-3</v>
          </cell>
          <cell r="J744">
            <v>0</v>
          </cell>
          <cell r="K744">
            <v>0</v>
          </cell>
          <cell r="L744">
            <v>0</v>
          </cell>
          <cell r="M744">
            <v>-1E-3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</row>
        <row r="745"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</row>
        <row r="746">
          <cell r="F746">
            <v>-1E-3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-1E-3</v>
          </cell>
          <cell r="K747">
            <v>-1E-3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-1E-3</v>
          </cell>
          <cell r="Q747">
            <v>-1.2999999999999999E-2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</row>
        <row r="762"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</row>
        <row r="764"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</row>
        <row r="766"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</row>
        <row r="772">
          <cell r="A772" t="str">
            <v>Integration Charge</v>
          </cell>
        </row>
        <row r="775"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</row>
        <row r="776"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</row>
        <row r="778"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</row>
        <row r="779"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</row>
        <row r="780"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</row>
        <row r="788"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  <cell r="CF811">
            <v>0</v>
          </cell>
          <cell r="CG811">
            <v>0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0</v>
          </cell>
          <cell r="CM811">
            <v>0</v>
          </cell>
          <cell r="CN811">
            <v>0</v>
          </cell>
          <cell r="CO811">
            <v>0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0</v>
          </cell>
          <cell r="CU811">
            <v>0</v>
          </cell>
          <cell r="CV811">
            <v>0</v>
          </cell>
          <cell r="CW811">
            <v>0</v>
          </cell>
          <cell r="CX811">
            <v>0</v>
          </cell>
          <cell r="CY811">
            <v>0</v>
          </cell>
          <cell r="CZ811">
            <v>0</v>
          </cell>
          <cell r="DA811">
            <v>0</v>
          </cell>
          <cell r="DB811">
            <v>0</v>
          </cell>
          <cell r="DC811">
            <v>0</v>
          </cell>
          <cell r="DD811">
            <v>0</v>
          </cell>
          <cell r="DE811">
            <v>0</v>
          </cell>
          <cell r="DF811">
            <v>0</v>
          </cell>
          <cell r="DG811">
            <v>0</v>
          </cell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T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  <cell r="CF812">
            <v>0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M812">
            <v>0</v>
          </cell>
          <cell r="CN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0</v>
          </cell>
          <cell r="CU812">
            <v>0</v>
          </cell>
          <cell r="CV812">
            <v>0</v>
          </cell>
          <cell r="CW812">
            <v>0</v>
          </cell>
          <cell r="CX812">
            <v>0</v>
          </cell>
          <cell r="CY812">
            <v>0</v>
          </cell>
          <cell r="CZ812">
            <v>0</v>
          </cell>
          <cell r="DA812">
            <v>0</v>
          </cell>
          <cell r="DB812">
            <v>0</v>
          </cell>
          <cell r="DC812">
            <v>0</v>
          </cell>
          <cell r="DD812">
            <v>0</v>
          </cell>
          <cell r="DE812">
            <v>0</v>
          </cell>
          <cell r="DF812">
            <v>0</v>
          </cell>
          <cell r="DG812">
            <v>0</v>
          </cell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T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M813">
            <v>0</v>
          </cell>
          <cell r="CN813">
            <v>0</v>
          </cell>
          <cell r="CO813">
            <v>0</v>
          </cell>
          <cell r="CP813">
            <v>0</v>
          </cell>
          <cell r="CQ813">
            <v>0</v>
          </cell>
          <cell r="CR813">
            <v>0</v>
          </cell>
          <cell r="CS813">
            <v>0</v>
          </cell>
          <cell r="CT813">
            <v>0</v>
          </cell>
          <cell r="CU813">
            <v>0</v>
          </cell>
          <cell r="CV813">
            <v>0</v>
          </cell>
          <cell r="CW813">
            <v>0</v>
          </cell>
          <cell r="CX813">
            <v>0</v>
          </cell>
          <cell r="CY813">
            <v>0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  <cell r="DD813">
            <v>0</v>
          </cell>
          <cell r="DE813">
            <v>0</v>
          </cell>
          <cell r="DF813">
            <v>0</v>
          </cell>
          <cell r="DG813">
            <v>0</v>
          </cell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T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0</v>
          </cell>
          <cell r="CH814">
            <v>0</v>
          </cell>
          <cell r="CI814">
            <v>0</v>
          </cell>
          <cell r="CJ814">
            <v>0</v>
          </cell>
          <cell r="CK814">
            <v>0</v>
          </cell>
          <cell r="CL814">
            <v>0</v>
          </cell>
          <cell r="CM814">
            <v>0</v>
          </cell>
          <cell r="CN814">
            <v>0</v>
          </cell>
          <cell r="CO814">
            <v>0</v>
          </cell>
          <cell r="CP814">
            <v>0</v>
          </cell>
          <cell r="CQ814">
            <v>0</v>
          </cell>
          <cell r="CR814">
            <v>0</v>
          </cell>
          <cell r="CS814">
            <v>0</v>
          </cell>
          <cell r="CT814">
            <v>0</v>
          </cell>
          <cell r="CU814">
            <v>0</v>
          </cell>
          <cell r="CV814">
            <v>0</v>
          </cell>
          <cell r="CW814">
            <v>0</v>
          </cell>
          <cell r="CX814">
            <v>0</v>
          </cell>
          <cell r="CY814">
            <v>0</v>
          </cell>
          <cell r="CZ814">
            <v>0</v>
          </cell>
          <cell r="DA814">
            <v>0</v>
          </cell>
          <cell r="DB814">
            <v>0</v>
          </cell>
          <cell r="DC814">
            <v>0</v>
          </cell>
          <cell r="DD814">
            <v>0</v>
          </cell>
          <cell r="DE814">
            <v>0</v>
          </cell>
          <cell r="DF814">
            <v>0</v>
          </cell>
          <cell r="DG814">
            <v>0</v>
          </cell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T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0</v>
          </cell>
          <cell r="CH815">
            <v>0</v>
          </cell>
          <cell r="CI815">
            <v>0</v>
          </cell>
          <cell r="CJ815">
            <v>0</v>
          </cell>
          <cell r="CK815">
            <v>0</v>
          </cell>
          <cell r="CL815">
            <v>0</v>
          </cell>
          <cell r="CM815">
            <v>0</v>
          </cell>
          <cell r="CN815">
            <v>0</v>
          </cell>
          <cell r="CO815">
            <v>0</v>
          </cell>
          <cell r="CP815">
            <v>0</v>
          </cell>
          <cell r="CQ815">
            <v>0</v>
          </cell>
          <cell r="CR815">
            <v>0</v>
          </cell>
          <cell r="CS815">
            <v>0</v>
          </cell>
          <cell r="CT815">
            <v>0</v>
          </cell>
          <cell r="CU815">
            <v>0</v>
          </cell>
          <cell r="CV815">
            <v>0</v>
          </cell>
          <cell r="CW815">
            <v>0</v>
          </cell>
          <cell r="CX815">
            <v>0</v>
          </cell>
          <cell r="CY815">
            <v>0</v>
          </cell>
          <cell r="CZ815">
            <v>0</v>
          </cell>
          <cell r="DA815">
            <v>0</v>
          </cell>
          <cell r="DB815">
            <v>0</v>
          </cell>
          <cell r="DC815">
            <v>0</v>
          </cell>
          <cell r="DD815">
            <v>0</v>
          </cell>
          <cell r="DE815">
            <v>0</v>
          </cell>
          <cell r="DF815">
            <v>0</v>
          </cell>
          <cell r="DG815">
            <v>0</v>
          </cell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T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0</v>
          </cell>
          <cell r="CT816">
            <v>0</v>
          </cell>
          <cell r="CU816">
            <v>0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  <cell r="DD816">
            <v>0</v>
          </cell>
          <cell r="DE816">
            <v>0</v>
          </cell>
          <cell r="DF816">
            <v>0</v>
          </cell>
          <cell r="DG816">
            <v>0</v>
          </cell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T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0</v>
          </cell>
          <cell r="CU817">
            <v>0</v>
          </cell>
          <cell r="CV817">
            <v>0</v>
          </cell>
          <cell r="CW817">
            <v>0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  <cell r="DD817">
            <v>0</v>
          </cell>
          <cell r="DE817">
            <v>0</v>
          </cell>
          <cell r="DF817">
            <v>0</v>
          </cell>
          <cell r="DG817">
            <v>0</v>
          </cell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T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M818">
            <v>0</v>
          </cell>
          <cell r="CN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0</v>
          </cell>
          <cell r="CU818">
            <v>0</v>
          </cell>
          <cell r="CV818">
            <v>0</v>
          </cell>
          <cell r="CW818">
            <v>0</v>
          </cell>
          <cell r="CX818">
            <v>0</v>
          </cell>
          <cell r="CY818">
            <v>0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  <cell r="DD818">
            <v>0</v>
          </cell>
          <cell r="DE818">
            <v>0</v>
          </cell>
          <cell r="DF818">
            <v>0</v>
          </cell>
          <cell r="DG818">
            <v>0</v>
          </cell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T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0</v>
          </cell>
          <cell r="CM819">
            <v>0</v>
          </cell>
          <cell r="CN819">
            <v>0</v>
          </cell>
          <cell r="CO819">
            <v>0</v>
          </cell>
          <cell r="CP819">
            <v>0</v>
          </cell>
          <cell r="CQ819">
            <v>0</v>
          </cell>
          <cell r="CR819">
            <v>0</v>
          </cell>
          <cell r="CS819">
            <v>0</v>
          </cell>
          <cell r="CT819">
            <v>0</v>
          </cell>
          <cell r="CU819">
            <v>0</v>
          </cell>
          <cell r="CV819">
            <v>0</v>
          </cell>
          <cell r="CW819">
            <v>0</v>
          </cell>
          <cell r="CX819">
            <v>0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  <cell r="DD819">
            <v>0</v>
          </cell>
          <cell r="DE819">
            <v>0</v>
          </cell>
          <cell r="DF819">
            <v>0</v>
          </cell>
          <cell r="DG819">
            <v>0</v>
          </cell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T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0</v>
          </cell>
          <cell r="CR820">
            <v>0</v>
          </cell>
          <cell r="CS820">
            <v>0</v>
          </cell>
          <cell r="CT820">
            <v>0</v>
          </cell>
          <cell r="CU820">
            <v>0</v>
          </cell>
          <cell r="CV820">
            <v>0</v>
          </cell>
          <cell r="CW820">
            <v>0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  <cell r="DD820">
            <v>0</v>
          </cell>
          <cell r="DE820">
            <v>0</v>
          </cell>
          <cell r="DF820">
            <v>0</v>
          </cell>
          <cell r="DG820">
            <v>0</v>
          </cell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T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0</v>
          </cell>
          <cell r="CR822">
            <v>0</v>
          </cell>
          <cell r="CS822">
            <v>0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  <cell r="DD822">
            <v>0</v>
          </cell>
          <cell r="DE822">
            <v>0</v>
          </cell>
          <cell r="DF822">
            <v>0</v>
          </cell>
          <cell r="DG822">
            <v>0</v>
          </cell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T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0</v>
          </cell>
          <cell r="CT823">
            <v>0</v>
          </cell>
          <cell r="CU823">
            <v>0</v>
          </cell>
          <cell r="CV823">
            <v>0</v>
          </cell>
          <cell r="CW823">
            <v>0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  <cell r="DD823">
            <v>0</v>
          </cell>
          <cell r="DE823">
            <v>0</v>
          </cell>
          <cell r="DF823">
            <v>0</v>
          </cell>
          <cell r="DG823">
            <v>0</v>
          </cell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T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0</v>
          </cell>
          <cell r="CH824">
            <v>0</v>
          </cell>
          <cell r="CI824">
            <v>0</v>
          </cell>
          <cell r="CJ824">
            <v>0</v>
          </cell>
          <cell r="CK824">
            <v>0</v>
          </cell>
          <cell r="CL824">
            <v>0</v>
          </cell>
          <cell r="CM824">
            <v>0</v>
          </cell>
          <cell r="CN824">
            <v>0</v>
          </cell>
          <cell r="CO824">
            <v>0</v>
          </cell>
          <cell r="CP824">
            <v>0</v>
          </cell>
          <cell r="CQ824">
            <v>0</v>
          </cell>
          <cell r="CR824">
            <v>0</v>
          </cell>
          <cell r="CS824">
            <v>0</v>
          </cell>
          <cell r="CT824">
            <v>0</v>
          </cell>
          <cell r="CU824">
            <v>0</v>
          </cell>
          <cell r="CV824">
            <v>0</v>
          </cell>
          <cell r="CW824">
            <v>0</v>
          </cell>
          <cell r="CX824">
            <v>0</v>
          </cell>
          <cell r="CY824">
            <v>0</v>
          </cell>
          <cell r="CZ824">
            <v>0</v>
          </cell>
          <cell r="DA824">
            <v>0</v>
          </cell>
          <cell r="DB824">
            <v>0</v>
          </cell>
          <cell r="DC824">
            <v>0</v>
          </cell>
          <cell r="DD824">
            <v>0</v>
          </cell>
          <cell r="DE824">
            <v>0</v>
          </cell>
          <cell r="DF824">
            <v>0</v>
          </cell>
          <cell r="DG824">
            <v>0</v>
          </cell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T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0</v>
          </cell>
          <cell r="CH825">
            <v>0</v>
          </cell>
          <cell r="CI825">
            <v>0</v>
          </cell>
          <cell r="CJ825">
            <v>0</v>
          </cell>
          <cell r="CK825">
            <v>0</v>
          </cell>
          <cell r="CL825">
            <v>0</v>
          </cell>
          <cell r="CM825">
            <v>0</v>
          </cell>
          <cell r="CN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0</v>
          </cell>
          <cell r="CU825">
            <v>0</v>
          </cell>
          <cell r="CV825">
            <v>0</v>
          </cell>
          <cell r="CW825">
            <v>0</v>
          </cell>
          <cell r="CX825">
            <v>0</v>
          </cell>
          <cell r="CY825">
            <v>0</v>
          </cell>
          <cell r="CZ825">
            <v>0</v>
          </cell>
          <cell r="DA825">
            <v>0</v>
          </cell>
          <cell r="DB825">
            <v>0</v>
          </cell>
          <cell r="DC825">
            <v>0</v>
          </cell>
          <cell r="DD825">
            <v>0</v>
          </cell>
          <cell r="DE825">
            <v>0</v>
          </cell>
          <cell r="DF825">
            <v>0</v>
          </cell>
          <cell r="DG825">
            <v>0</v>
          </cell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T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0</v>
          </cell>
          <cell r="CM826">
            <v>0</v>
          </cell>
          <cell r="CN826">
            <v>0</v>
          </cell>
          <cell r="CO826">
            <v>0</v>
          </cell>
          <cell r="CP826">
            <v>0</v>
          </cell>
          <cell r="CQ826">
            <v>0</v>
          </cell>
          <cell r="CR826">
            <v>0</v>
          </cell>
          <cell r="CS826">
            <v>0</v>
          </cell>
          <cell r="CT826">
            <v>0</v>
          </cell>
          <cell r="CU826">
            <v>0</v>
          </cell>
          <cell r="CV826">
            <v>0</v>
          </cell>
          <cell r="CW826">
            <v>0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  <cell r="DD826">
            <v>0</v>
          </cell>
          <cell r="DE826">
            <v>0</v>
          </cell>
          <cell r="DF826">
            <v>0</v>
          </cell>
          <cell r="DG826">
            <v>0</v>
          </cell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T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0</v>
          </cell>
          <cell r="CD827">
            <v>0</v>
          </cell>
          <cell r="CE827">
            <v>0</v>
          </cell>
          <cell r="CF827">
            <v>0</v>
          </cell>
          <cell r="CG827">
            <v>0</v>
          </cell>
          <cell r="CH827">
            <v>0</v>
          </cell>
          <cell r="CI827">
            <v>0</v>
          </cell>
          <cell r="CJ827">
            <v>0</v>
          </cell>
          <cell r="CK827">
            <v>0</v>
          </cell>
          <cell r="CL827">
            <v>0</v>
          </cell>
          <cell r="CM827">
            <v>0</v>
          </cell>
          <cell r="CN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0</v>
          </cell>
          <cell r="CU827">
            <v>0</v>
          </cell>
          <cell r="CV827">
            <v>0</v>
          </cell>
          <cell r="CW827">
            <v>0</v>
          </cell>
          <cell r="CX827">
            <v>0</v>
          </cell>
          <cell r="CY827">
            <v>0</v>
          </cell>
          <cell r="CZ827">
            <v>0</v>
          </cell>
          <cell r="DA827">
            <v>0</v>
          </cell>
          <cell r="DB827">
            <v>0</v>
          </cell>
          <cell r="DC827">
            <v>0</v>
          </cell>
          <cell r="DD827">
            <v>0</v>
          </cell>
          <cell r="DE827">
            <v>0</v>
          </cell>
          <cell r="DF827">
            <v>0</v>
          </cell>
          <cell r="DG827">
            <v>0</v>
          </cell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T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0</v>
          </cell>
          <cell r="CU828">
            <v>0</v>
          </cell>
          <cell r="CV828">
            <v>0</v>
          </cell>
          <cell r="CW828">
            <v>0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  <cell r="DD828">
            <v>0</v>
          </cell>
          <cell r="DE828">
            <v>0</v>
          </cell>
          <cell r="DF828">
            <v>0</v>
          </cell>
          <cell r="DG828">
            <v>0</v>
          </cell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T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0</v>
          </cell>
          <cell r="CU829">
            <v>0</v>
          </cell>
          <cell r="CV829">
            <v>0</v>
          </cell>
          <cell r="CW829">
            <v>0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  <cell r="DD829">
            <v>0</v>
          </cell>
          <cell r="DE829">
            <v>0</v>
          </cell>
          <cell r="DF829">
            <v>0</v>
          </cell>
          <cell r="DG829">
            <v>0</v>
          </cell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T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0</v>
          </cell>
          <cell r="CU830">
            <v>0</v>
          </cell>
          <cell r="CV830">
            <v>0</v>
          </cell>
          <cell r="CW830">
            <v>0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  <cell r="DD830">
            <v>0</v>
          </cell>
          <cell r="DE830">
            <v>0</v>
          </cell>
          <cell r="DF830">
            <v>0</v>
          </cell>
          <cell r="DG830">
            <v>0</v>
          </cell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T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0</v>
          </cell>
          <cell r="CH831">
            <v>0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0</v>
          </cell>
          <cell r="CY831">
            <v>0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  <cell r="DD831">
            <v>0</v>
          </cell>
          <cell r="DE831">
            <v>0</v>
          </cell>
          <cell r="DF831">
            <v>0</v>
          </cell>
          <cell r="DG831">
            <v>0</v>
          </cell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T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  <cell r="CF832">
            <v>0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M832">
            <v>0</v>
          </cell>
          <cell r="CN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0</v>
          </cell>
          <cell r="CU832">
            <v>0</v>
          </cell>
          <cell r="CV832">
            <v>0</v>
          </cell>
          <cell r="CW832">
            <v>0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  <cell r="DD832">
            <v>0</v>
          </cell>
          <cell r="DE832">
            <v>0</v>
          </cell>
          <cell r="DF832">
            <v>0</v>
          </cell>
          <cell r="DG832">
            <v>0</v>
          </cell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T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0</v>
          </cell>
          <cell r="CU833">
            <v>0</v>
          </cell>
          <cell r="CV833">
            <v>0</v>
          </cell>
          <cell r="CW833">
            <v>0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  <cell r="DD833">
            <v>0</v>
          </cell>
          <cell r="DE833">
            <v>0</v>
          </cell>
          <cell r="DF833">
            <v>0</v>
          </cell>
          <cell r="DG833">
            <v>0</v>
          </cell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T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0</v>
          </cell>
          <cell r="CU834">
            <v>0</v>
          </cell>
          <cell r="CV834">
            <v>0</v>
          </cell>
          <cell r="CW834">
            <v>0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  <cell r="DD834">
            <v>0</v>
          </cell>
          <cell r="DE834">
            <v>0</v>
          </cell>
          <cell r="DF834">
            <v>0</v>
          </cell>
          <cell r="DG834">
            <v>0</v>
          </cell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T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0</v>
          </cell>
          <cell r="CU835">
            <v>0</v>
          </cell>
          <cell r="CV835">
            <v>0</v>
          </cell>
          <cell r="CW835">
            <v>0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  <cell r="DD835">
            <v>0</v>
          </cell>
          <cell r="DE835">
            <v>0</v>
          </cell>
          <cell r="DF835">
            <v>0</v>
          </cell>
          <cell r="DG835">
            <v>0</v>
          </cell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T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M836">
            <v>0</v>
          </cell>
          <cell r="CN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0</v>
          </cell>
          <cell r="CU836">
            <v>0</v>
          </cell>
          <cell r="CV836">
            <v>0</v>
          </cell>
          <cell r="CW836">
            <v>0</v>
          </cell>
          <cell r="CX836">
            <v>0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  <cell r="DD836">
            <v>0</v>
          </cell>
          <cell r="DE836">
            <v>0</v>
          </cell>
          <cell r="DF836">
            <v>0</v>
          </cell>
          <cell r="DG836">
            <v>0</v>
          </cell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T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0</v>
          </cell>
          <cell r="CU837">
            <v>0</v>
          </cell>
          <cell r="CV837">
            <v>0</v>
          </cell>
          <cell r="CW837">
            <v>0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  <cell r="DD837">
            <v>0</v>
          </cell>
          <cell r="DE837">
            <v>0</v>
          </cell>
          <cell r="DF837">
            <v>0</v>
          </cell>
          <cell r="DG837">
            <v>0</v>
          </cell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T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  <cell r="DD839">
            <v>0</v>
          </cell>
          <cell r="DE839">
            <v>0</v>
          </cell>
          <cell r="DF839">
            <v>0</v>
          </cell>
          <cell r="DG839">
            <v>0</v>
          </cell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T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0</v>
          </cell>
          <cell r="CU840">
            <v>0</v>
          </cell>
          <cell r="CV840">
            <v>0</v>
          </cell>
          <cell r="CW840">
            <v>0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  <cell r="DD840">
            <v>0</v>
          </cell>
          <cell r="DE840">
            <v>0</v>
          </cell>
          <cell r="DF840">
            <v>0</v>
          </cell>
          <cell r="DG840">
            <v>0</v>
          </cell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T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0</v>
          </cell>
          <cell r="CU841">
            <v>0</v>
          </cell>
          <cell r="CV841">
            <v>0</v>
          </cell>
          <cell r="CW841">
            <v>0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  <cell r="DD841">
            <v>0</v>
          </cell>
          <cell r="DE841">
            <v>0</v>
          </cell>
          <cell r="DF841">
            <v>0</v>
          </cell>
          <cell r="DG841">
            <v>0</v>
          </cell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T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0</v>
          </cell>
          <cell r="CW842">
            <v>0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  <cell r="DD842">
            <v>0</v>
          </cell>
          <cell r="DE842">
            <v>0</v>
          </cell>
          <cell r="DF842">
            <v>0</v>
          </cell>
          <cell r="DG842">
            <v>0</v>
          </cell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T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M845">
            <v>0</v>
          </cell>
          <cell r="CN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0</v>
          </cell>
          <cell r="CU845">
            <v>0</v>
          </cell>
          <cell r="CV845">
            <v>0</v>
          </cell>
          <cell r="CW845">
            <v>0</v>
          </cell>
          <cell r="CX845">
            <v>0</v>
          </cell>
          <cell r="CY845">
            <v>0</v>
          </cell>
          <cell r="CZ845">
            <v>0</v>
          </cell>
          <cell r="DA845">
            <v>0</v>
          </cell>
          <cell r="DB845">
            <v>0</v>
          </cell>
          <cell r="DC845">
            <v>0</v>
          </cell>
          <cell r="DD845">
            <v>0</v>
          </cell>
          <cell r="DE845">
            <v>0</v>
          </cell>
          <cell r="DF845">
            <v>0</v>
          </cell>
          <cell r="DG845">
            <v>0</v>
          </cell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T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</row>
        <row r="846"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  <cell r="CF846">
            <v>0</v>
          </cell>
          <cell r="CG846">
            <v>0</v>
          </cell>
          <cell r="CH846">
            <v>0</v>
          </cell>
          <cell r="CI846">
            <v>0</v>
          </cell>
          <cell r="CJ846">
            <v>0</v>
          </cell>
          <cell r="CK846">
            <v>0</v>
          </cell>
          <cell r="CL846">
            <v>0</v>
          </cell>
          <cell r="CM846">
            <v>0</v>
          </cell>
          <cell r="CN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0</v>
          </cell>
          <cell r="CU846">
            <v>0</v>
          </cell>
          <cell r="CV846">
            <v>0</v>
          </cell>
          <cell r="CW846">
            <v>0</v>
          </cell>
          <cell r="CX846">
            <v>0</v>
          </cell>
          <cell r="CY846">
            <v>0</v>
          </cell>
          <cell r="CZ846">
            <v>0</v>
          </cell>
          <cell r="DA846">
            <v>0</v>
          </cell>
          <cell r="DB846">
            <v>0</v>
          </cell>
          <cell r="DC846">
            <v>0</v>
          </cell>
          <cell r="DD846">
            <v>0</v>
          </cell>
          <cell r="DE846">
            <v>0</v>
          </cell>
          <cell r="DF846">
            <v>0</v>
          </cell>
          <cell r="DG846">
            <v>0</v>
          </cell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T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  <cell r="CF847">
            <v>0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M847">
            <v>0</v>
          </cell>
          <cell r="CN847">
            <v>0</v>
          </cell>
          <cell r="CO847">
            <v>0</v>
          </cell>
          <cell r="CP847">
            <v>0</v>
          </cell>
          <cell r="CQ847">
            <v>0</v>
          </cell>
          <cell r="CR847">
            <v>0</v>
          </cell>
          <cell r="CS847">
            <v>0</v>
          </cell>
          <cell r="CT847">
            <v>0</v>
          </cell>
          <cell r="CU847">
            <v>0</v>
          </cell>
          <cell r="CV847">
            <v>0</v>
          </cell>
          <cell r="CW847">
            <v>0</v>
          </cell>
          <cell r="CX847">
            <v>0</v>
          </cell>
          <cell r="CY847">
            <v>0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  <cell r="DD847">
            <v>0</v>
          </cell>
          <cell r="DE847">
            <v>0</v>
          </cell>
          <cell r="DF847">
            <v>0</v>
          </cell>
          <cell r="DG847">
            <v>0</v>
          </cell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T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  <cell r="CF848">
            <v>0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M848">
            <v>0</v>
          </cell>
          <cell r="CN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0</v>
          </cell>
          <cell r="CU848">
            <v>0</v>
          </cell>
          <cell r="CV848">
            <v>0</v>
          </cell>
          <cell r="CW848">
            <v>0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  <cell r="DD848">
            <v>0</v>
          </cell>
          <cell r="DE848">
            <v>0</v>
          </cell>
          <cell r="DF848">
            <v>0</v>
          </cell>
          <cell r="DG848">
            <v>0</v>
          </cell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T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0</v>
          </cell>
          <cell r="CU849">
            <v>0</v>
          </cell>
          <cell r="CV849">
            <v>0</v>
          </cell>
          <cell r="CW849">
            <v>0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  <cell r="DD849">
            <v>0</v>
          </cell>
          <cell r="DE849">
            <v>0</v>
          </cell>
          <cell r="DF849">
            <v>0</v>
          </cell>
          <cell r="DG849">
            <v>0</v>
          </cell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T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0</v>
          </cell>
          <cell r="CD850">
            <v>0</v>
          </cell>
          <cell r="CE850">
            <v>0</v>
          </cell>
          <cell r="CF850">
            <v>0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0</v>
          </cell>
          <cell r="CU850">
            <v>0</v>
          </cell>
          <cell r="CV850">
            <v>0</v>
          </cell>
          <cell r="CW850">
            <v>0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  <cell r="DD850">
            <v>0</v>
          </cell>
          <cell r="DE850">
            <v>0</v>
          </cell>
          <cell r="DF850">
            <v>0</v>
          </cell>
          <cell r="DG850">
            <v>0</v>
          </cell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T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0</v>
          </cell>
          <cell r="CD853">
            <v>0</v>
          </cell>
          <cell r="CE853">
            <v>0</v>
          </cell>
          <cell r="CF853">
            <v>0</v>
          </cell>
          <cell r="CG853">
            <v>0</v>
          </cell>
          <cell r="CH853">
            <v>0</v>
          </cell>
          <cell r="CI853">
            <v>0</v>
          </cell>
          <cell r="CJ853">
            <v>0</v>
          </cell>
          <cell r="CK853">
            <v>0</v>
          </cell>
          <cell r="CL853">
            <v>0</v>
          </cell>
          <cell r="CM853">
            <v>0</v>
          </cell>
          <cell r="CN853">
            <v>0</v>
          </cell>
          <cell r="CO853">
            <v>0</v>
          </cell>
          <cell r="CP853">
            <v>0</v>
          </cell>
          <cell r="CQ853">
            <v>0</v>
          </cell>
          <cell r="CR853">
            <v>0</v>
          </cell>
          <cell r="CS853">
            <v>0</v>
          </cell>
          <cell r="CT853">
            <v>0</v>
          </cell>
          <cell r="CU853">
            <v>0</v>
          </cell>
          <cell r="CV853">
            <v>0</v>
          </cell>
          <cell r="CW853">
            <v>0</v>
          </cell>
          <cell r="CX853">
            <v>0</v>
          </cell>
          <cell r="CY853">
            <v>0</v>
          </cell>
          <cell r="CZ853">
            <v>0</v>
          </cell>
          <cell r="DA853">
            <v>0</v>
          </cell>
          <cell r="DB853">
            <v>0</v>
          </cell>
          <cell r="DC853">
            <v>0</v>
          </cell>
          <cell r="DD853">
            <v>0</v>
          </cell>
          <cell r="DE853">
            <v>0</v>
          </cell>
          <cell r="DF853">
            <v>0</v>
          </cell>
          <cell r="DG853">
            <v>0</v>
          </cell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T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0</v>
          </cell>
          <cell r="CD854">
            <v>0</v>
          </cell>
          <cell r="CE854">
            <v>0</v>
          </cell>
          <cell r="CF854">
            <v>0</v>
          </cell>
          <cell r="CG854">
            <v>0</v>
          </cell>
          <cell r="CH854">
            <v>0</v>
          </cell>
          <cell r="CI854">
            <v>0</v>
          </cell>
          <cell r="CJ854">
            <v>0</v>
          </cell>
          <cell r="CK854">
            <v>0</v>
          </cell>
          <cell r="CL854">
            <v>0</v>
          </cell>
          <cell r="CM854">
            <v>0</v>
          </cell>
          <cell r="CN854">
            <v>0</v>
          </cell>
          <cell r="CO854">
            <v>0</v>
          </cell>
          <cell r="CP854">
            <v>0</v>
          </cell>
          <cell r="CQ854">
            <v>0</v>
          </cell>
          <cell r="CR854">
            <v>0</v>
          </cell>
          <cell r="CS854">
            <v>0</v>
          </cell>
          <cell r="CT854">
            <v>0</v>
          </cell>
          <cell r="CU854">
            <v>0</v>
          </cell>
          <cell r="CV854">
            <v>0</v>
          </cell>
          <cell r="CW854">
            <v>0</v>
          </cell>
          <cell r="CX854">
            <v>0</v>
          </cell>
          <cell r="CY854">
            <v>0</v>
          </cell>
          <cell r="CZ854">
            <v>0</v>
          </cell>
          <cell r="DA854">
            <v>0</v>
          </cell>
          <cell r="DB854">
            <v>0</v>
          </cell>
          <cell r="DC854">
            <v>0</v>
          </cell>
          <cell r="DD854">
            <v>0</v>
          </cell>
          <cell r="DE854">
            <v>0</v>
          </cell>
          <cell r="DF854">
            <v>0</v>
          </cell>
          <cell r="DG854">
            <v>0</v>
          </cell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T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0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T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0</v>
          </cell>
          <cell r="CH857">
            <v>0</v>
          </cell>
          <cell r="CI857">
            <v>0</v>
          </cell>
          <cell r="CJ857">
            <v>0</v>
          </cell>
          <cell r="CK857">
            <v>0</v>
          </cell>
          <cell r="CL857">
            <v>0</v>
          </cell>
          <cell r="CM857">
            <v>0</v>
          </cell>
          <cell r="CN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0</v>
          </cell>
          <cell r="CS857">
            <v>0</v>
          </cell>
          <cell r="CT857">
            <v>0</v>
          </cell>
          <cell r="CU857">
            <v>0</v>
          </cell>
          <cell r="CV857">
            <v>0</v>
          </cell>
          <cell r="CW857">
            <v>0</v>
          </cell>
          <cell r="CX857">
            <v>0</v>
          </cell>
          <cell r="CY857">
            <v>0</v>
          </cell>
          <cell r="CZ857">
            <v>0</v>
          </cell>
          <cell r="DA857">
            <v>0</v>
          </cell>
          <cell r="DB857">
            <v>0</v>
          </cell>
          <cell r="DC857">
            <v>0</v>
          </cell>
          <cell r="DD857">
            <v>0</v>
          </cell>
          <cell r="DE857">
            <v>0</v>
          </cell>
          <cell r="DF857">
            <v>0</v>
          </cell>
          <cell r="DG857">
            <v>0</v>
          </cell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T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0</v>
          </cell>
          <cell r="CH858">
            <v>0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0</v>
          </cell>
          <cell r="CW858">
            <v>0</v>
          </cell>
          <cell r="CX858">
            <v>0</v>
          </cell>
          <cell r="CY858">
            <v>0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  <cell r="DD858">
            <v>0</v>
          </cell>
          <cell r="DE858">
            <v>0</v>
          </cell>
          <cell r="DF858">
            <v>0</v>
          </cell>
          <cell r="DG858">
            <v>0</v>
          </cell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T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CX861">
            <v>0</v>
          </cell>
          <cell r="CY861">
            <v>0</v>
          </cell>
          <cell r="CZ861">
            <v>0</v>
          </cell>
          <cell r="DA861">
            <v>0</v>
          </cell>
          <cell r="DB861">
            <v>0</v>
          </cell>
          <cell r="DC861">
            <v>0</v>
          </cell>
          <cell r="DD861">
            <v>0</v>
          </cell>
          <cell r="DE861">
            <v>0</v>
          </cell>
          <cell r="DF861">
            <v>0</v>
          </cell>
          <cell r="DG861">
            <v>0</v>
          </cell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T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0</v>
          </cell>
          <cell r="CH864">
            <v>0</v>
          </cell>
          <cell r="CI864">
            <v>0</v>
          </cell>
          <cell r="CJ864">
            <v>0</v>
          </cell>
          <cell r="CK864">
            <v>0</v>
          </cell>
          <cell r="CL864">
            <v>0</v>
          </cell>
          <cell r="CM864">
            <v>0</v>
          </cell>
          <cell r="CN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0</v>
          </cell>
          <cell r="CS864">
            <v>0</v>
          </cell>
          <cell r="CT864">
            <v>0</v>
          </cell>
          <cell r="CU864">
            <v>0</v>
          </cell>
          <cell r="CV864">
            <v>0</v>
          </cell>
          <cell r="CW864">
            <v>0</v>
          </cell>
          <cell r="CX864">
            <v>0</v>
          </cell>
          <cell r="CY864">
            <v>0</v>
          </cell>
          <cell r="CZ864">
            <v>0</v>
          </cell>
          <cell r="DA864">
            <v>0</v>
          </cell>
          <cell r="DB864">
            <v>0</v>
          </cell>
          <cell r="DC864">
            <v>0</v>
          </cell>
          <cell r="DD864">
            <v>0</v>
          </cell>
          <cell r="DE864">
            <v>0</v>
          </cell>
          <cell r="DF864">
            <v>0</v>
          </cell>
          <cell r="DG864">
            <v>0</v>
          </cell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T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0</v>
          </cell>
          <cell r="CH865">
            <v>0</v>
          </cell>
          <cell r="CI865">
            <v>0</v>
          </cell>
          <cell r="CJ865">
            <v>0</v>
          </cell>
          <cell r="CK865">
            <v>0</v>
          </cell>
          <cell r="CL865">
            <v>0</v>
          </cell>
          <cell r="CM865">
            <v>0</v>
          </cell>
          <cell r="CN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0</v>
          </cell>
          <cell r="CU865">
            <v>0</v>
          </cell>
          <cell r="CV865">
            <v>0</v>
          </cell>
          <cell r="CW865">
            <v>0</v>
          </cell>
          <cell r="CX865">
            <v>0</v>
          </cell>
          <cell r="CY865">
            <v>0</v>
          </cell>
          <cell r="CZ865">
            <v>0</v>
          </cell>
          <cell r="DA865">
            <v>0</v>
          </cell>
          <cell r="DB865">
            <v>0</v>
          </cell>
          <cell r="DC865">
            <v>0</v>
          </cell>
          <cell r="DD865">
            <v>0</v>
          </cell>
          <cell r="DE865">
            <v>0</v>
          </cell>
          <cell r="DF865">
            <v>0</v>
          </cell>
          <cell r="DG865">
            <v>0</v>
          </cell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T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0</v>
          </cell>
          <cell r="CH868">
            <v>0</v>
          </cell>
          <cell r="CI868">
            <v>0</v>
          </cell>
          <cell r="CJ868">
            <v>0</v>
          </cell>
          <cell r="CK868">
            <v>0</v>
          </cell>
          <cell r="CL868">
            <v>0</v>
          </cell>
          <cell r="CM868">
            <v>0</v>
          </cell>
          <cell r="CN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0</v>
          </cell>
          <cell r="CU868">
            <v>0</v>
          </cell>
          <cell r="CV868">
            <v>0</v>
          </cell>
          <cell r="CW868">
            <v>0</v>
          </cell>
          <cell r="CX868">
            <v>0</v>
          </cell>
          <cell r="CY868">
            <v>0</v>
          </cell>
          <cell r="CZ868">
            <v>0</v>
          </cell>
          <cell r="DA868">
            <v>0</v>
          </cell>
          <cell r="DB868">
            <v>0</v>
          </cell>
          <cell r="DC868">
            <v>0</v>
          </cell>
          <cell r="DD868">
            <v>0</v>
          </cell>
          <cell r="DE868">
            <v>0</v>
          </cell>
          <cell r="DF868">
            <v>0</v>
          </cell>
          <cell r="DG868">
            <v>0</v>
          </cell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T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</row>
        <row r="869">
          <cell r="F869">
            <v>4.2575683918819607E-3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1.8372934007924613E-2</v>
          </cell>
          <cell r="L869">
            <v>-1.2413415376592241E-2</v>
          </cell>
          <cell r="M869">
            <v>-3.9836066537482395E-2</v>
          </cell>
          <cell r="N869">
            <v>2.3977640213516338E-2</v>
          </cell>
          <cell r="O869">
            <v>0</v>
          </cell>
          <cell r="P869">
            <v>5.485624605707784E-3</v>
          </cell>
          <cell r="Q869">
            <v>3.2956649008607286E-2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0</v>
          </cell>
          <cell r="CH869">
            <v>0</v>
          </cell>
          <cell r="CI869">
            <v>0</v>
          </cell>
          <cell r="CJ869">
            <v>0</v>
          </cell>
          <cell r="CK869">
            <v>0</v>
          </cell>
          <cell r="CL869">
            <v>0</v>
          </cell>
          <cell r="CM869">
            <v>0</v>
          </cell>
          <cell r="CN869">
            <v>0</v>
          </cell>
          <cell r="CO869">
            <v>0</v>
          </cell>
          <cell r="CP869">
            <v>0</v>
          </cell>
          <cell r="CQ869">
            <v>0</v>
          </cell>
          <cell r="CR869">
            <v>0</v>
          </cell>
          <cell r="CS869">
            <v>0</v>
          </cell>
          <cell r="CT869">
            <v>0</v>
          </cell>
          <cell r="CU869">
            <v>0</v>
          </cell>
          <cell r="CV869">
            <v>0</v>
          </cell>
          <cell r="CW869">
            <v>0</v>
          </cell>
          <cell r="CX869">
            <v>0</v>
          </cell>
          <cell r="CY869">
            <v>0</v>
          </cell>
          <cell r="CZ869">
            <v>0</v>
          </cell>
          <cell r="DA869">
            <v>0</v>
          </cell>
          <cell r="DB869">
            <v>0</v>
          </cell>
          <cell r="DC869">
            <v>0</v>
          </cell>
          <cell r="DD869">
            <v>0</v>
          </cell>
          <cell r="DE869">
            <v>0</v>
          </cell>
          <cell r="DF869">
            <v>0</v>
          </cell>
          <cell r="DG869">
            <v>0</v>
          </cell>
          <cell r="DH869">
            <v>0</v>
          </cell>
          <cell r="DI869">
            <v>0</v>
          </cell>
          <cell r="DJ869">
            <v>0</v>
          </cell>
          <cell r="DK869">
            <v>0</v>
          </cell>
          <cell r="DL869">
            <v>0</v>
          </cell>
          <cell r="DM869">
            <v>0</v>
          </cell>
          <cell r="DN869">
            <v>0</v>
          </cell>
          <cell r="DO869">
            <v>0</v>
          </cell>
          <cell r="DP869">
            <v>0</v>
          </cell>
          <cell r="DQ869">
            <v>0</v>
          </cell>
          <cell r="DR869">
            <v>0</v>
          </cell>
          <cell r="DS869">
            <v>0</v>
          </cell>
          <cell r="DT869">
            <v>0</v>
          </cell>
          <cell r="DU869">
            <v>0</v>
          </cell>
          <cell r="DV869">
            <v>0</v>
          </cell>
          <cell r="DW869">
            <v>0</v>
          </cell>
          <cell r="DX869">
            <v>0</v>
          </cell>
          <cell r="DY869">
            <v>0</v>
          </cell>
          <cell r="DZ869">
            <v>0</v>
          </cell>
          <cell r="EA869">
            <v>0</v>
          </cell>
          <cell r="EB869">
            <v>0</v>
          </cell>
          <cell r="EC869">
            <v>0</v>
          </cell>
          <cell r="ED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0</v>
          </cell>
          <cell r="CF870">
            <v>0</v>
          </cell>
          <cell r="CG870">
            <v>0</v>
          </cell>
          <cell r="CH870">
            <v>0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0</v>
          </cell>
          <cell r="CW870">
            <v>0</v>
          </cell>
          <cell r="CX870">
            <v>0</v>
          </cell>
          <cell r="CY870">
            <v>0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  <cell r="DD870">
            <v>0</v>
          </cell>
          <cell r="DE870">
            <v>0</v>
          </cell>
          <cell r="DF870">
            <v>0</v>
          </cell>
          <cell r="DG870">
            <v>0</v>
          </cell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T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0</v>
          </cell>
          <cell r="CJ872">
            <v>0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0</v>
          </cell>
          <cell r="DA872">
            <v>0</v>
          </cell>
          <cell r="DB872">
            <v>0</v>
          </cell>
          <cell r="DC872">
            <v>0</v>
          </cell>
          <cell r="DD872">
            <v>0</v>
          </cell>
          <cell r="DE872">
            <v>0</v>
          </cell>
          <cell r="DF872">
            <v>0</v>
          </cell>
          <cell r="DG872">
            <v>0</v>
          </cell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T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</row>
        <row r="873">
          <cell r="F873">
            <v>-8.8942649573198196E-3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2.0766908483285107E-2</v>
          </cell>
          <cell r="N873">
            <v>-2.5628331746364807E-2</v>
          </cell>
          <cell r="O873">
            <v>0</v>
          </cell>
          <cell r="P873">
            <v>0</v>
          </cell>
          <cell r="Q873">
            <v>-2.0515405746866833E-2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0</v>
          </cell>
          <cell r="CF873">
            <v>0</v>
          </cell>
          <cell r="CG873">
            <v>0</v>
          </cell>
          <cell r="CH873">
            <v>0</v>
          </cell>
          <cell r="CI873">
            <v>0</v>
          </cell>
          <cell r="CJ873">
            <v>0</v>
          </cell>
          <cell r="CK873">
            <v>0</v>
          </cell>
          <cell r="CL873">
            <v>0</v>
          </cell>
          <cell r="CM873">
            <v>0</v>
          </cell>
          <cell r="CN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0</v>
          </cell>
          <cell r="CU873">
            <v>0</v>
          </cell>
          <cell r="CV873">
            <v>0</v>
          </cell>
          <cell r="CW873">
            <v>0</v>
          </cell>
          <cell r="CX873">
            <v>0</v>
          </cell>
          <cell r="CY873">
            <v>0</v>
          </cell>
          <cell r="CZ873">
            <v>0</v>
          </cell>
          <cell r="DA873">
            <v>0</v>
          </cell>
          <cell r="DB873">
            <v>0</v>
          </cell>
          <cell r="DC873">
            <v>0</v>
          </cell>
          <cell r="DD873">
            <v>0</v>
          </cell>
          <cell r="DE873">
            <v>0</v>
          </cell>
          <cell r="DF873">
            <v>0</v>
          </cell>
          <cell r="DG873">
            <v>0</v>
          </cell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T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0</v>
          </cell>
          <cell r="CF874">
            <v>0</v>
          </cell>
          <cell r="CG874">
            <v>0</v>
          </cell>
          <cell r="CH874">
            <v>0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M874">
            <v>0</v>
          </cell>
          <cell r="CN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0</v>
          </cell>
          <cell r="CU874">
            <v>0</v>
          </cell>
          <cell r="CV874">
            <v>0</v>
          </cell>
          <cell r="CW874">
            <v>0</v>
          </cell>
          <cell r="CX874">
            <v>0</v>
          </cell>
          <cell r="CY874">
            <v>0</v>
          </cell>
          <cell r="CZ874">
            <v>0</v>
          </cell>
          <cell r="DA874">
            <v>0</v>
          </cell>
          <cell r="DB874">
            <v>0</v>
          </cell>
          <cell r="DC874">
            <v>0</v>
          </cell>
          <cell r="DD874">
            <v>0</v>
          </cell>
          <cell r="DE874">
            <v>0</v>
          </cell>
          <cell r="DF874">
            <v>0</v>
          </cell>
          <cell r="DG874">
            <v>0</v>
          </cell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T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  <cell r="CF877">
            <v>0</v>
          </cell>
          <cell r="CG877">
            <v>0</v>
          </cell>
          <cell r="CH877">
            <v>0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0</v>
          </cell>
          <cell r="CW877">
            <v>0</v>
          </cell>
          <cell r="CX877">
            <v>0</v>
          </cell>
          <cell r="CY877">
            <v>0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  <cell r="DD877">
            <v>0</v>
          </cell>
          <cell r="DE877">
            <v>0</v>
          </cell>
          <cell r="DF877">
            <v>0</v>
          </cell>
          <cell r="DG877">
            <v>0</v>
          </cell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T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0</v>
          </cell>
          <cell r="CJ879">
            <v>0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0</v>
          </cell>
          <cell r="DA879">
            <v>0</v>
          </cell>
          <cell r="DB879">
            <v>0</v>
          </cell>
          <cell r="DC879">
            <v>0</v>
          </cell>
          <cell r="DD879">
            <v>0</v>
          </cell>
          <cell r="DE879">
            <v>0</v>
          </cell>
          <cell r="DF879">
            <v>0</v>
          </cell>
          <cell r="DG879">
            <v>0</v>
          </cell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T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>
            <v>0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0</v>
          </cell>
          <cell r="CB880">
            <v>0</v>
          </cell>
          <cell r="CC880">
            <v>0</v>
          </cell>
          <cell r="CD880">
            <v>0</v>
          </cell>
          <cell r="CE880">
            <v>0</v>
          </cell>
          <cell r="CF880">
            <v>0</v>
          </cell>
          <cell r="CG880">
            <v>0</v>
          </cell>
          <cell r="CH880">
            <v>0</v>
          </cell>
          <cell r="CI880">
            <v>0</v>
          </cell>
          <cell r="CJ880">
            <v>0</v>
          </cell>
          <cell r="CK880">
            <v>0</v>
          </cell>
          <cell r="CL880">
            <v>0</v>
          </cell>
          <cell r="CM880">
            <v>0</v>
          </cell>
          <cell r="CN880">
            <v>0</v>
          </cell>
          <cell r="CO880">
            <v>0</v>
          </cell>
          <cell r="CP880">
            <v>0</v>
          </cell>
          <cell r="CQ880">
            <v>0</v>
          </cell>
          <cell r="CR880">
            <v>0</v>
          </cell>
          <cell r="CS880">
            <v>0</v>
          </cell>
          <cell r="CT880">
            <v>0</v>
          </cell>
          <cell r="CU880">
            <v>0</v>
          </cell>
          <cell r="CV880">
            <v>0</v>
          </cell>
          <cell r="CW880">
            <v>0</v>
          </cell>
          <cell r="CX880">
            <v>0</v>
          </cell>
          <cell r="CY880">
            <v>0</v>
          </cell>
          <cell r="CZ880">
            <v>0</v>
          </cell>
          <cell r="DA880">
            <v>0</v>
          </cell>
          <cell r="DB880">
            <v>0</v>
          </cell>
          <cell r="DC880">
            <v>0</v>
          </cell>
          <cell r="DD880">
            <v>0</v>
          </cell>
          <cell r="DE880">
            <v>0</v>
          </cell>
          <cell r="DF880">
            <v>0</v>
          </cell>
          <cell r="DG880">
            <v>0</v>
          </cell>
          <cell r="DH880">
            <v>0</v>
          </cell>
          <cell r="DI880">
            <v>0</v>
          </cell>
          <cell r="DJ880">
            <v>0</v>
          </cell>
          <cell r="DK880">
            <v>0</v>
          </cell>
          <cell r="DL880">
            <v>0</v>
          </cell>
          <cell r="DM880">
            <v>0</v>
          </cell>
          <cell r="DN880">
            <v>0</v>
          </cell>
          <cell r="DO880">
            <v>0</v>
          </cell>
          <cell r="DP880">
            <v>0</v>
          </cell>
          <cell r="DQ880">
            <v>0</v>
          </cell>
          <cell r="DR880">
            <v>0</v>
          </cell>
          <cell r="DS880">
            <v>0</v>
          </cell>
          <cell r="DT880">
            <v>0</v>
          </cell>
          <cell r="DU880">
            <v>0</v>
          </cell>
          <cell r="DV880">
            <v>0</v>
          </cell>
          <cell r="DW880">
            <v>0</v>
          </cell>
          <cell r="DX880">
            <v>0</v>
          </cell>
          <cell r="DY880">
            <v>0</v>
          </cell>
          <cell r="DZ880">
            <v>0</v>
          </cell>
          <cell r="EA880">
            <v>0</v>
          </cell>
          <cell r="EB880">
            <v>0</v>
          </cell>
          <cell r="EC880">
            <v>0</v>
          </cell>
          <cell r="ED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0</v>
          </cell>
          <cell r="CF881">
            <v>0</v>
          </cell>
          <cell r="CG881">
            <v>0</v>
          </cell>
          <cell r="CH881">
            <v>0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M881">
            <v>0</v>
          </cell>
          <cell r="CN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0</v>
          </cell>
          <cell r="CU881">
            <v>0</v>
          </cell>
          <cell r="CV881">
            <v>0</v>
          </cell>
          <cell r="CW881">
            <v>0</v>
          </cell>
          <cell r="CX881">
            <v>0</v>
          </cell>
          <cell r="CY881">
            <v>0</v>
          </cell>
          <cell r="CZ881">
            <v>0</v>
          </cell>
          <cell r="DA881">
            <v>0</v>
          </cell>
          <cell r="DB881">
            <v>0</v>
          </cell>
          <cell r="DC881">
            <v>0</v>
          </cell>
          <cell r="DD881">
            <v>0</v>
          </cell>
          <cell r="DE881">
            <v>0</v>
          </cell>
          <cell r="DF881">
            <v>0</v>
          </cell>
          <cell r="DG881">
            <v>0</v>
          </cell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T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0</v>
          </cell>
          <cell r="CD882">
            <v>0</v>
          </cell>
          <cell r="CE882">
            <v>0</v>
          </cell>
          <cell r="CF882">
            <v>0</v>
          </cell>
          <cell r="CG882">
            <v>0</v>
          </cell>
          <cell r="CH882">
            <v>0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0</v>
          </cell>
          <cell r="CU882">
            <v>0</v>
          </cell>
          <cell r="CV882">
            <v>0</v>
          </cell>
          <cell r="CW882">
            <v>0</v>
          </cell>
          <cell r="CX882">
            <v>0</v>
          </cell>
          <cell r="CY882">
            <v>0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  <cell r="DD882">
            <v>0</v>
          </cell>
          <cell r="DE882">
            <v>0</v>
          </cell>
          <cell r="DF882">
            <v>0</v>
          </cell>
          <cell r="DG882">
            <v>0</v>
          </cell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T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0</v>
          </cell>
          <cell r="CH884">
            <v>0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0</v>
          </cell>
          <cell r="CU884">
            <v>0</v>
          </cell>
          <cell r="CV884">
            <v>0</v>
          </cell>
          <cell r="CW884">
            <v>0</v>
          </cell>
          <cell r="CX884">
            <v>0</v>
          </cell>
          <cell r="CY884">
            <v>0</v>
          </cell>
          <cell r="CZ884">
            <v>0</v>
          </cell>
          <cell r="DA884">
            <v>0</v>
          </cell>
          <cell r="DB884">
            <v>0</v>
          </cell>
          <cell r="DC884">
            <v>0</v>
          </cell>
          <cell r="DD884">
            <v>0</v>
          </cell>
          <cell r="DE884">
            <v>0</v>
          </cell>
          <cell r="DF884">
            <v>0</v>
          </cell>
          <cell r="DG884">
            <v>0</v>
          </cell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T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</row>
        <row r="886">
          <cell r="A886" t="str">
            <v>Additional Fixed Costs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0</v>
          </cell>
          <cell r="CH887">
            <v>0</v>
          </cell>
          <cell r="CI887">
            <v>0</v>
          </cell>
          <cell r="CJ887">
            <v>0</v>
          </cell>
          <cell r="CK887">
            <v>0</v>
          </cell>
          <cell r="CL887">
            <v>0</v>
          </cell>
          <cell r="CM887">
            <v>0</v>
          </cell>
          <cell r="CN887">
            <v>0</v>
          </cell>
          <cell r="CO887">
            <v>0</v>
          </cell>
          <cell r="CP887">
            <v>0</v>
          </cell>
          <cell r="CQ887">
            <v>0</v>
          </cell>
          <cell r="CR887">
            <v>0</v>
          </cell>
          <cell r="CS887">
            <v>0</v>
          </cell>
          <cell r="CT887">
            <v>0</v>
          </cell>
          <cell r="CU887">
            <v>0</v>
          </cell>
          <cell r="CV887">
            <v>0</v>
          </cell>
          <cell r="CW887">
            <v>0</v>
          </cell>
          <cell r="CX887">
            <v>0</v>
          </cell>
          <cell r="CY887">
            <v>0</v>
          </cell>
          <cell r="CZ887">
            <v>0</v>
          </cell>
          <cell r="DA887">
            <v>0</v>
          </cell>
          <cell r="DB887">
            <v>0</v>
          </cell>
          <cell r="DC887">
            <v>0</v>
          </cell>
          <cell r="DD887">
            <v>0</v>
          </cell>
          <cell r="DE887">
            <v>0</v>
          </cell>
          <cell r="DF887">
            <v>0</v>
          </cell>
          <cell r="DG887">
            <v>0</v>
          </cell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T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0</v>
          </cell>
          <cell r="CY889">
            <v>0</v>
          </cell>
          <cell r="CZ889">
            <v>0</v>
          </cell>
          <cell r="DA889">
            <v>0</v>
          </cell>
          <cell r="DB889">
            <v>0</v>
          </cell>
          <cell r="DC889">
            <v>0</v>
          </cell>
          <cell r="DD889">
            <v>0</v>
          </cell>
          <cell r="DE889">
            <v>0</v>
          </cell>
          <cell r="DF889">
            <v>0</v>
          </cell>
          <cell r="DG889">
            <v>0</v>
          </cell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T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>
            <v>0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0</v>
          </cell>
          <cell r="CH890">
            <v>0</v>
          </cell>
          <cell r="CI890">
            <v>0</v>
          </cell>
          <cell r="CJ890">
            <v>0</v>
          </cell>
          <cell r="CK890">
            <v>0</v>
          </cell>
          <cell r="CL890">
            <v>0</v>
          </cell>
          <cell r="CM890">
            <v>0</v>
          </cell>
          <cell r="CN890">
            <v>0</v>
          </cell>
          <cell r="CO890">
            <v>0</v>
          </cell>
          <cell r="CP890">
            <v>0</v>
          </cell>
          <cell r="CQ890">
            <v>0</v>
          </cell>
          <cell r="CR890">
            <v>0</v>
          </cell>
          <cell r="CS890">
            <v>0</v>
          </cell>
          <cell r="CT890">
            <v>0</v>
          </cell>
          <cell r="CU890">
            <v>0</v>
          </cell>
          <cell r="CV890">
            <v>0</v>
          </cell>
          <cell r="CW890">
            <v>0</v>
          </cell>
          <cell r="CX890">
            <v>0</v>
          </cell>
          <cell r="CY890">
            <v>0</v>
          </cell>
          <cell r="CZ890">
            <v>0</v>
          </cell>
          <cell r="DA890">
            <v>0</v>
          </cell>
          <cell r="DB890">
            <v>0</v>
          </cell>
          <cell r="DC890">
            <v>0</v>
          </cell>
          <cell r="DD890">
            <v>0</v>
          </cell>
          <cell r="DE890">
            <v>0</v>
          </cell>
          <cell r="DF890">
            <v>0</v>
          </cell>
          <cell r="DG890">
            <v>0</v>
          </cell>
          <cell r="DH890">
            <v>0</v>
          </cell>
          <cell r="DI890">
            <v>0</v>
          </cell>
          <cell r="DJ890">
            <v>0</v>
          </cell>
          <cell r="DK890">
            <v>0</v>
          </cell>
          <cell r="DL890">
            <v>0</v>
          </cell>
          <cell r="DM890">
            <v>0</v>
          </cell>
          <cell r="DN890">
            <v>0</v>
          </cell>
          <cell r="DO890">
            <v>0</v>
          </cell>
          <cell r="DP890">
            <v>0</v>
          </cell>
          <cell r="DQ890">
            <v>0</v>
          </cell>
          <cell r="DR890">
            <v>0</v>
          </cell>
          <cell r="DS890">
            <v>0</v>
          </cell>
          <cell r="DT890">
            <v>0</v>
          </cell>
          <cell r="DU890">
            <v>0</v>
          </cell>
          <cell r="DV890">
            <v>0</v>
          </cell>
          <cell r="DW890">
            <v>0</v>
          </cell>
          <cell r="DX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0</v>
          </cell>
          <cell r="CH891">
            <v>0</v>
          </cell>
          <cell r="CI891">
            <v>0</v>
          </cell>
          <cell r="CJ891">
            <v>0</v>
          </cell>
          <cell r="CK891">
            <v>0</v>
          </cell>
          <cell r="CL891">
            <v>0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0</v>
          </cell>
          <cell r="CY891">
            <v>0</v>
          </cell>
          <cell r="CZ891">
            <v>0</v>
          </cell>
          <cell r="DA891">
            <v>0</v>
          </cell>
          <cell r="DB891">
            <v>0</v>
          </cell>
          <cell r="DC891">
            <v>0</v>
          </cell>
          <cell r="DD891">
            <v>0</v>
          </cell>
          <cell r="DE891">
            <v>0</v>
          </cell>
          <cell r="DF891">
            <v>0</v>
          </cell>
          <cell r="DG891">
            <v>0</v>
          </cell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T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0</v>
          </cell>
          <cell r="CH892">
            <v>0</v>
          </cell>
          <cell r="CI892">
            <v>0</v>
          </cell>
          <cell r="CJ892">
            <v>0</v>
          </cell>
          <cell r="CK892">
            <v>0</v>
          </cell>
          <cell r="CL892">
            <v>0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0</v>
          </cell>
          <cell r="CY892">
            <v>0</v>
          </cell>
          <cell r="CZ892">
            <v>0</v>
          </cell>
          <cell r="DA892">
            <v>0</v>
          </cell>
          <cell r="DB892">
            <v>0</v>
          </cell>
          <cell r="DC892">
            <v>0</v>
          </cell>
          <cell r="DD892">
            <v>0</v>
          </cell>
          <cell r="DE892">
            <v>0</v>
          </cell>
          <cell r="DF892">
            <v>0</v>
          </cell>
          <cell r="DG892">
            <v>0</v>
          </cell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T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  <cell r="CJ893">
            <v>0</v>
          </cell>
          <cell r="CK893">
            <v>0</v>
          </cell>
          <cell r="CL893">
            <v>0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0</v>
          </cell>
          <cell r="CU893">
            <v>0</v>
          </cell>
          <cell r="CV893">
            <v>0</v>
          </cell>
          <cell r="CW893">
            <v>0</v>
          </cell>
          <cell r="CX893">
            <v>0</v>
          </cell>
          <cell r="CY893">
            <v>0</v>
          </cell>
          <cell r="CZ893">
            <v>0</v>
          </cell>
          <cell r="DA893">
            <v>0</v>
          </cell>
          <cell r="DB893">
            <v>0</v>
          </cell>
          <cell r="DC893">
            <v>0</v>
          </cell>
          <cell r="DD893">
            <v>0</v>
          </cell>
          <cell r="DE893">
            <v>0</v>
          </cell>
          <cell r="DF893">
            <v>0</v>
          </cell>
          <cell r="DG893">
            <v>0</v>
          </cell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T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0</v>
          </cell>
          <cell r="CH894">
            <v>0</v>
          </cell>
          <cell r="CI894">
            <v>0</v>
          </cell>
          <cell r="CJ894">
            <v>0</v>
          </cell>
          <cell r="CK894">
            <v>0</v>
          </cell>
          <cell r="CL894">
            <v>0</v>
          </cell>
          <cell r="CM894">
            <v>0</v>
          </cell>
          <cell r="CN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0</v>
          </cell>
          <cell r="CU894">
            <v>0</v>
          </cell>
          <cell r="CV894">
            <v>0</v>
          </cell>
          <cell r="CW894">
            <v>0</v>
          </cell>
          <cell r="CX894">
            <v>0</v>
          </cell>
          <cell r="CY894">
            <v>0</v>
          </cell>
          <cell r="CZ894">
            <v>0</v>
          </cell>
          <cell r="DA894">
            <v>0</v>
          </cell>
          <cell r="DB894">
            <v>0</v>
          </cell>
          <cell r="DC894">
            <v>0</v>
          </cell>
          <cell r="DD894">
            <v>0</v>
          </cell>
          <cell r="DE894">
            <v>0</v>
          </cell>
          <cell r="DF894">
            <v>0</v>
          </cell>
          <cell r="DG894">
            <v>0</v>
          </cell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T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0</v>
          </cell>
          <cell r="CY895">
            <v>0</v>
          </cell>
          <cell r="CZ895">
            <v>0</v>
          </cell>
          <cell r="DA895">
            <v>0</v>
          </cell>
          <cell r="DB895">
            <v>0</v>
          </cell>
          <cell r="DC895">
            <v>0</v>
          </cell>
          <cell r="DD895">
            <v>0</v>
          </cell>
          <cell r="DE895">
            <v>0</v>
          </cell>
          <cell r="DF895">
            <v>0</v>
          </cell>
          <cell r="DG895">
            <v>0</v>
          </cell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T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0</v>
          </cell>
          <cell r="CH896">
            <v>0</v>
          </cell>
          <cell r="CI896">
            <v>0</v>
          </cell>
          <cell r="CJ896">
            <v>0</v>
          </cell>
          <cell r="CK896">
            <v>0</v>
          </cell>
          <cell r="CL896">
            <v>0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0</v>
          </cell>
          <cell r="CY896">
            <v>0</v>
          </cell>
          <cell r="CZ896">
            <v>0</v>
          </cell>
          <cell r="DA896">
            <v>0</v>
          </cell>
          <cell r="DB896">
            <v>0</v>
          </cell>
          <cell r="DC896">
            <v>0</v>
          </cell>
          <cell r="DD896">
            <v>0</v>
          </cell>
          <cell r="DE896">
            <v>0</v>
          </cell>
          <cell r="DF896">
            <v>0</v>
          </cell>
          <cell r="DG896">
            <v>0</v>
          </cell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T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0</v>
          </cell>
          <cell r="CH897">
            <v>0</v>
          </cell>
          <cell r="CI897">
            <v>0</v>
          </cell>
          <cell r="CJ897">
            <v>0</v>
          </cell>
          <cell r="CK897">
            <v>0</v>
          </cell>
          <cell r="CL897">
            <v>0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0</v>
          </cell>
          <cell r="CY897">
            <v>0</v>
          </cell>
          <cell r="CZ897">
            <v>0</v>
          </cell>
          <cell r="DA897">
            <v>0</v>
          </cell>
          <cell r="DB897">
            <v>0</v>
          </cell>
          <cell r="DC897">
            <v>0</v>
          </cell>
          <cell r="DD897">
            <v>0</v>
          </cell>
          <cell r="DE897">
            <v>0</v>
          </cell>
          <cell r="DF897">
            <v>0</v>
          </cell>
          <cell r="DG897">
            <v>0</v>
          </cell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T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G898">
            <v>0</v>
          </cell>
          <cell r="CH898">
            <v>0</v>
          </cell>
          <cell r="CI898">
            <v>0</v>
          </cell>
          <cell r="CJ898">
            <v>0</v>
          </cell>
          <cell r="CK898">
            <v>0</v>
          </cell>
          <cell r="CL898">
            <v>0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0</v>
          </cell>
          <cell r="CU898">
            <v>0</v>
          </cell>
          <cell r="CV898">
            <v>0</v>
          </cell>
          <cell r="CW898">
            <v>0</v>
          </cell>
          <cell r="CX898">
            <v>0</v>
          </cell>
          <cell r="CY898">
            <v>0</v>
          </cell>
          <cell r="CZ898">
            <v>0</v>
          </cell>
          <cell r="DA898">
            <v>0</v>
          </cell>
          <cell r="DB898">
            <v>0</v>
          </cell>
          <cell r="DC898">
            <v>0</v>
          </cell>
          <cell r="DD898">
            <v>0</v>
          </cell>
          <cell r="DE898">
            <v>0</v>
          </cell>
          <cell r="DF898">
            <v>0</v>
          </cell>
          <cell r="DG898">
            <v>0</v>
          </cell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T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</row>
        <row r="899">
          <cell r="J899" t="str">
            <v>Mills / kWh</v>
          </cell>
          <cell r="W899" t="str">
            <v>Mills / kWh</v>
          </cell>
          <cell r="AJ899" t="str">
            <v>Mills / kWh</v>
          </cell>
          <cell r="AW899" t="str">
            <v>Mills / kWh</v>
          </cell>
          <cell r="BJ899" t="str">
            <v>Mills / kWh</v>
          </cell>
          <cell r="BW899" t="str">
            <v>Mills / kWh</v>
          </cell>
          <cell r="CJ899" t="str">
            <v>Mills / kWh</v>
          </cell>
          <cell r="CW899" t="str">
            <v>Mills / kWh</v>
          </cell>
          <cell r="DJ899" t="str">
            <v>Mills / kWh</v>
          </cell>
          <cell r="DW899" t="str">
            <v>Mills / kWh</v>
          </cell>
        </row>
        <row r="900">
          <cell r="A900" t="str">
            <v>Special Sales For Resale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0</v>
          </cell>
          <cell r="BQ902">
            <v>0</v>
          </cell>
          <cell r="BR902">
            <v>0</v>
          </cell>
          <cell r="BS902">
            <v>0</v>
          </cell>
          <cell r="BT902">
            <v>0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0</v>
          </cell>
          <cell r="CD902">
            <v>0</v>
          </cell>
          <cell r="CE902">
            <v>0</v>
          </cell>
          <cell r="CF902">
            <v>0</v>
          </cell>
          <cell r="CG902">
            <v>0</v>
          </cell>
          <cell r="CH902">
            <v>0</v>
          </cell>
          <cell r="CI902">
            <v>0</v>
          </cell>
          <cell r="CJ902">
            <v>0</v>
          </cell>
          <cell r="CK902">
            <v>0</v>
          </cell>
          <cell r="CL902">
            <v>0</v>
          </cell>
          <cell r="CM902">
            <v>0</v>
          </cell>
          <cell r="CN902">
            <v>0</v>
          </cell>
          <cell r="CO902">
            <v>0</v>
          </cell>
          <cell r="CP902">
            <v>0</v>
          </cell>
          <cell r="CQ902">
            <v>0</v>
          </cell>
          <cell r="CR902">
            <v>0</v>
          </cell>
          <cell r="CS902">
            <v>0</v>
          </cell>
          <cell r="CT902">
            <v>0</v>
          </cell>
          <cell r="CU902">
            <v>0</v>
          </cell>
          <cell r="CV902">
            <v>0</v>
          </cell>
          <cell r="CW902">
            <v>0</v>
          </cell>
          <cell r="CX902">
            <v>0</v>
          </cell>
          <cell r="CY902">
            <v>0</v>
          </cell>
          <cell r="CZ902">
            <v>0</v>
          </cell>
          <cell r="DA902">
            <v>0</v>
          </cell>
          <cell r="DB902">
            <v>0</v>
          </cell>
          <cell r="DC902">
            <v>0</v>
          </cell>
          <cell r="DD902">
            <v>0</v>
          </cell>
          <cell r="DE902">
            <v>0</v>
          </cell>
          <cell r="DF902">
            <v>0</v>
          </cell>
          <cell r="DG902">
            <v>0</v>
          </cell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T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CX903">
            <v>0</v>
          </cell>
          <cell r="CY903">
            <v>0</v>
          </cell>
          <cell r="CZ903">
            <v>0</v>
          </cell>
          <cell r="DA903">
            <v>0</v>
          </cell>
          <cell r="DB903">
            <v>0</v>
          </cell>
          <cell r="DC903">
            <v>0</v>
          </cell>
          <cell r="DD903">
            <v>0</v>
          </cell>
          <cell r="DE903">
            <v>0</v>
          </cell>
          <cell r="DF903">
            <v>0</v>
          </cell>
          <cell r="DG903">
            <v>0</v>
          </cell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T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0</v>
          </cell>
          <cell r="CJ904">
            <v>0</v>
          </cell>
          <cell r="CK904">
            <v>0</v>
          </cell>
          <cell r="CL904">
            <v>0</v>
          </cell>
          <cell r="CM904">
            <v>0</v>
          </cell>
          <cell r="CN904">
            <v>0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0</v>
          </cell>
          <cell r="CU904">
            <v>0</v>
          </cell>
          <cell r="CV904">
            <v>0</v>
          </cell>
          <cell r="CW904">
            <v>0</v>
          </cell>
          <cell r="CX904">
            <v>0</v>
          </cell>
          <cell r="CY904">
            <v>0</v>
          </cell>
          <cell r="CZ904">
            <v>0</v>
          </cell>
          <cell r="DA904">
            <v>0</v>
          </cell>
          <cell r="DB904">
            <v>0</v>
          </cell>
          <cell r="DC904">
            <v>0</v>
          </cell>
          <cell r="DD904">
            <v>0</v>
          </cell>
          <cell r="DE904">
            <v>0</v>
          </cell>
          <cell r="DF904">
            <v>0</v>
          </cell>
          <cell r="DG904">
            <v>0</v>
          </cell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T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0</v>
          </cell>
          <cell r="BQ906">
            <v>0</v>
          </cell>
          <cell r="BR906">
            <v>0</v>
          </cell>
          <cell r="BS906">
            <v>0</v>
          </cell>
          <cell r="BT906">
            <v>0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0</v>
          </cell>
          <cell r="CJ906">
            <v>0</v>
          </cell>
          <cell r="CK906">
            <v>0</v>
          </cell>
          <cell r="CL906">
            <v>0</v>
          </cell>
          <cell r="CM906">
            <v>0</v>
          </cell>
          <cell r="CN906">
            <v>0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0</v>
          </cell>
          <cell r="CU906">
            <v>0</v>
          </cell>
          <cell r="CV906">
            <v>0</v>
          </cell>
          <cell r="CW906">
            <v>0</v>
          </cell>
          <cell r="CX906">
            <v>0</v>
          </cell>
          <cell r="CY906">
            <v>0</v>
          </cell>
          <cell r="CZ906">
            <v>0</v>
          </cell>
          <cell r="DA906">
            <v>0</v>
          </cell>
          <cell r="DB906">
            <v>0</v>
          </cell>
          <cell r="DC906">
            <v>0</v>
          </cell>
          <cell r="DD906">
            <v>0</v>
          </cell>
          <cell r="DE906">
            <v>0</v>
          </cell>
          <cell r="DF906">
            <v>0</v>
          </cell>
          <cell r="DG906">
            <v>0</v>
          </cell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T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0</v>
          </cell>
          <cell r="CJ907">
            <v>0</v>
          </cell>
          <cell r="CK907">
            <v>0</v>
          </cell>
          <cell r="CL907">
            <v>0</v>
          </cell>
          <cell r="CM907">
            <v>0</v>
          </cell>
          <cell r="CN907">
            <v>0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0</v>
          </cell>
          <cell r="CU907">
            <v>0</v>
          </cell>
          <cell r="CV907">
            <v>0</v>
          </cell>
          <cell r="CW907">
            <v>0</v>
          </cell>
          <cell r="CX907">
            <v>0</v>
          </cell>
          <cell r="CY907">
            <v>0</v>
          </cell>
          <cell r="CZ907">
            <v>0</v>
          </cell>
          <cell r="DA907">
            <v>0</v>
          </cell>
          <cell r="DB907">
            <v>0</v>
          </cell>
          <cell r="DC907">
            <v>0</v>
          </cell>
          <cell r="DD907">
            <v>0</v>
          </cell>
          <cell r="DE907">
            <v>0</v>
          </cell>
          <cell r="DF907">
            <v>0</v>
          </cell>
          <cell r="DG907">
            <v>0</v>
          </cell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T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0</v>
          </cell>
          <cell r="CJ908">
            <v>0</v>
          </cell>
          <cell r="CK908">
            <v>0</v>
          </cell>
          <cell r="CL908">
            <v>0</v>
          </cell>
          <cell r="CM908">
            <v>0</v>
          </cell>
          <cell r="CN908">
            <v>0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0</v>
          </cell>
          <cell r="DA908">
            <v>0</v>
          </cell>
          <cell r="DB908">
            <v>0</v>
          </cell>
          <cell r="DC908">
            <v>0</v>
          </cell>
          <cell r="DD908">
            <v>0</v>
          </cell>
          <cell r="DE908">
            <v>0</v>
          </cell>
          <cell r="DF908">
            <v>0</v>
          </cell>
          <cell r="DG908">
            <v>0</v>
          </cell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T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  <cell r="CF909">
            <v>0</v>
          </cell>
          <cell r="CG909">
            <v>0</v>
          </cell>
          <cell r="CH909">
            <v>0</v>
          </cell>
          <cell r="CI909">
            <v>0</v>
          </cell>
          <cell r="CJ909">
            <v>0</v>
          </cell>
          <cell r="CK909">
            <v>0</v>
          </cell>
          <cell r="CL909">
            <v>0</v>
          </cell>
          <cell r="CM909">
            <v>0</v>
          </cell>
          <cell r="CN909">
            <v>0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0</v>
          </cell>
          <cell r="CU909">
            <v>0</v>
          </cell>
          <cell r="CV909">
            <v>0</v>
          </cell>
          <cell r="CW909">
            <v>0</v>
          </cell>
          <cell r="CX909">
            <v>0</v>
          </cell>
          <cell r="CY909">
            <v>0</v>
          </cell>
          <cell r="CZ909">
            <v>0</v>
          </cell>
          <cell r="DA909">
            <v>0</v>
          </cell>
          <cell r="DB909">
            <v>0</v>
          </cell>
          <cell r="DC909">
            <v>0</v>
          </cell>
          <cell r="DD909">
            <v>0</v>
          </cell>
          <cell r="DE909">
            <v>0</v>
          </cell>
          <cell r="DF909">
            <v>0</v>
          </cell>
          <cell r="DG909">
            <v>0</v>
          </cell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T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0</v>
          </cell>
          <cell r="CH911">
            <v>0</v>
          </cell>
          <cell r="CI911">
            <v>0</v>
          </cell>
          <cell r="CJ911">
            <v>0</v>
          </cell>
          <cell r="CK911">
            <v>0</v>
          </cell>
          <cell r="CL911">
            <v>0</v>
          </cell>
          <cell r="CM911">
            <v>0</v>
          </cell>
          <cell r="CN911">
            <v>0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0</v>
          </cell>
          <cell r="CU911">
            <v>0</v>
          </cell>
          <cell r="CV911">
            <v>0</v>
          </cell>
          <cell r="CW911">
            <v>0</v>
          </cell>
          <cell r="CX911">
            <v>0</v>
          </cell>
          <cell r="CY911">
            <v>0</v>
          </cell>
          <cell r="CZ911">
            <v>0</v>
          </cell>
          <cell r="DA911">
            <v>0</v>
          </cell>
          <cell r="DB911">
            <v>0</v>
          </cell>
          <cell r="DC911">
            <v>0</v>
          </cell>
          <cell r="DD911">
            <v>0</v>
          </cell>
          <cell r="DE911">
            <v>0</v>
          </cell>
          <cell r="DF911">
            <v>0</v>
          </cell>
          <cell r="DG911">
            <v>0</v>
          </cell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T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0</v>
          </cell>
          <cell r="CH914">
            <v>0</v>
          </cell>
          <cell r="CI914">
            <v>0</v>
          </cell>
          <cell r="CJ914">
            <v>0</v>
          </cell>
          <cell r="CK914">
            <v>0</v>
          </cell>
          <cell r="CL914">
            <v>0</v>
          </cell>
          <cell r="CM914">
            <v>0</v>
          </cell>
          <cell r="CN914">
            <v>0</v>
          </cell>
          <cell r="CO914">
            <v>0</v>
          </cell>
          <cell r="CP914">
            <v>0</v>
          </cell>
          <cell r="CQ914">
            <v>0</v>
          </cell>
          <cell r="CR914">
            <v>0</v>
          </cell>
          <cell r="CS914">
            <v>0</v>
          </cell>
          <cell r="CT914">
            <v>0</v>
          </cell>
          <cell r="CU914">
            <v>0</v>
          </cell>
          <cell r="CV914">
            <v>0</v>
          </cell>
          <cell r="CW914">
            <v>0</v>
          </cell>
          <cell r="CX914">
            <v>0</v>
          </cell>
          <cell r="CY914">
            <v>0</v>
          </cell>
          <cell r="CZ914">
            <v>0</v>
          </cell>
          <cell r="DA914">
            <v>0</v>
          </cell>
          <cell r="DB914">
            <v>0</v>
          </cell>
          <cell r="DC914">
            <v>0</v>
          </cell>
          <cell r="DD914">
            <v>0</v>
          </cell>
          <cell r="DE914">
            <v>0</v>
          </cell>
          <cell r="DF914">
            <v>0</v>
          </cell>
          <cell r="DG914">
            <v>0</v>
          </cell>
          <cell r="DH914">
            <v>0</v>
          </cell>
          <cell r="DI914">
            <v>0</v>
          </cell>
          <cell r="DJ914">
            <v>0</v>
          </cell>
          <cell r="DK914">
            <v>0</v>
          </cell>
          <cell r="DL914">
            <v>0</v>
          </cell>
          <cell r="DM914">
            <v>0</v>
          </cell>
          <cell r="DN914">
            <v>0</v>
          </cell>
          <cell r="DO914">
            <v>0</v>
          </cell>
          <cell r="DP914">
            <v>0</v>
          </cell>
          <cell r="DQ914">
            <v>0</v>
          </cell>
          <cell r="DR914">
            <v>0</v>
          </cell>
          <cell r="DS914">
            <v>0</v>
          </cell>
          <cell r="DT914">
            <v>0</v>
          </cell>
          <cell r="DU914">
            <v>0</v>
          </cell>
          <cell r="DV914">
            <v>0</v>
          </cell>
          <cell r="DW914">
            <v>0</v>
          </cell>
          <cell r="DX914">
            <v>0</v>
          </cell>
          <cell r="DY914">
            <v>0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0</v>
          </cell>
          <cell r="BK915">
            <v>0</v>
          </cell>
          <cell r="BL915">
            <v>0</v>
          </cell>
          <cell r="BM915">
            <v>0</v>
          </cell>
          <cell r="BN915">
            <v>0</v>
          </cell>
          <cell r="BO915">
            <v>0</v>
          </cell>
          <cell r="BP915">
            <v>0</v>
          </cell>
          <cell r="BQ915">
            <v>0</v>
          </cell>
          <cell r="BR915">
            <v>0</v>
          </cell>
          <cell r="BS915">
            <v>0</v>
          </cell>
          <cell r="BT915">
            <v>0</v>
          </cell>
          <cell r="BU915">
            <v>0</v>
          </cell>
          <cell r="BV915">
            <v>0</v>
          </cell>
          <cell r="BW915">
            <v>0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0</v>
          </cell>
          <cell r="CH915">
            <v>0</v>
          </cell>
          <cell r="CI915">
            <v>0</v>
          </cell>
          <cell r="CJ915">
            <v>0</v>
          </cell>
          <cell r="CK915">
            <v>0</v>
          </cell>
          <cell r="CL915">
            <v>0</v>
          </cell>
          <cell r="CM915">
            <v>0</v>
          </cell>
          <cell r="CN915">
            <v>0</v>
          </cell>
          <cell r="CO915">
            <v>0</v>
          </cell>
          <cell r="CP915">
            <v>0</v>
          </cell>
          <cell r="CQ915">
            <v>0</v>
          </cell>
          <cell r="CR915">
            <v>0</v>
          </cell>
          <cell r="CS915">
            <v>0</v>
          </cell>
          <cell r="CT915">
            <v>0</v>
          </cell>
          <cell r="CU915">
            <v>0</v>
          </cell>
          <cell r="CV915">
            <v>0</v>
          </cell>
          <cell r="CW915">
            <v>0</v>
          </cell>
          <cell r="CX915">
            <v>0</v>
          </cell>
          <cell r="CY915">
            <v>0</v>
          </cell>
          <cell r="CZ915">
            <v>0</v>
          </cell>
          <cell r="DA915">
            <v>0</v>
          </cell>
          <cell r="DB915">
            <v>0</v>
          </cell>
          <cell r="DC915">
            <v>0</v>
          </cell>
          <cell r="DD915">
            <v>0</v>
          </cell>
          <cell r="DE915">
            <v>0</v>
          </cell>
          <cell r="DF915">
            <v>0</v>
          </cell>
          <cell r="DG915">
            <v>0</v>
          </cell>
          <cell r="DH915">
            <v>0</v>
          </cell>
          <cell r="DI915">
            <v>0</v>
          </cell>
          <cell r="DJ915">
            <v>0</v>
          </cell>
          <cell r="DK915">
            <v>0</v>
          </cell>
          <cell r="DL915">
            <v>0</v>
          </cell>
          <cell r="DM915">
            <v>0</v>
          </cell>
          <cell r="DN915">
            <v>0</v>
          </cell>
          <cell r="DO915">
            <v>0</v>
          </cell>
          <cell r="DP915">
            <v>0</v>
          </cell>
          <cell r="DQ915">
            <v>0</v>
          </cell>
          <cell r="DR915">
            <v>0</v>
          </cell>
          <cell r="DS915">
            <v>0</v>
          </cell>
          <cell r="DT915">
            <v>0</v>
          </cell>
          <cell r="DU915">
            <v>0</v>
          </cell>
          <cell r="DV915">
            <v>0</v>
          </cell>
          <cell r="DW915">
            <v>0</v>
          </cell>
          <cell r="DX915">
            <v>0</v>
          </cell>
          <cell r="DY915">
            <v>0</v>
          </cell>
          <cell r="DZ915">
            <v>0</v>
          </cell>
          <cell r="EA915">
            <v>0</v>
          </cell>
          <cell r="EB915">
            <v>0</v>
          </cell>
          <cell r="EC915">
            <v>0</v>
          </cell>
          <cell r="ED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0</v>
          </cell>
          <cell r="CH916">
            <v>0</v>
          </cell>
          <cell r="CI916">
            <v>0</v>
          </cell>
          <cell r="CJ916">
            <v>0</v>
          </cell>
          <cell r="CK916">
            <v>0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0</v>
          </cell>
          <cell r="CU916">
            <v>0</v>
          </cell>
          <cell r="CV916">
            <v>0</v>
          </cell>
          <cell r="CW916">
            <v>0</v>
          </cell>
          <cell r="CX916">
            <v>0</v>
          </cell>
          <cell r="CY916">
            <v>0</v>
          </cell>
          <cell r="CZ916">
            <v>0</v>
          </cell>
          <cell r="DA916">
            <v>0</v>
          </cell>
          <cell r="DB916">
            <v>0</v>
          </cell>
          <cell r="DC916">
            <v>0</v>
          </cell>
          <cell r="DD916">
            <v>0</v>
          </cell>
          <cell r="DE916">
            <v>0</v>
          </cell>
          <cell r="DF916">
            <v>0</v>
          </cell>
          <cell r="DG916">
            <v>0</v>
          </cell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T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0</v>
          </cell>
          <cell r="CH917">
            <v>0</v>
          </cell>
          <cell r="CI917">
            <v>0</v>
          </cell>
          <cell r="CJ917">
            <v>0</v>
          </cell>
          <cell r="CK917">
            <v>0</v>
          </cell>
          <cell r="CL917">
            <v>0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0</v>
          </cell>
          <cell r="CV917">
            <v>0</v>
          </cell>
          <cell r="CW917">
            <v>0</v>
          </cell>
          <cell r="CX917">
            <v>0</v>
          </cell>
          <cell r="CY917">
            <v>0</v>
          </cell>
          <cell r="CZ917">
            <v>0</v>
          </cell>
          <cell r="DA917">
            <v>0</v>
          </cell>
          <cell r="DB917">
            <v>0</v>
          </cell>
          <cell r="DC917">
            <v>0</v>
          </cell>
          <cell r="DD917">
            <v>0</v>
          </cell>
          <cell r="DE917">
            <v>0</v>
          </cell>
          <cell r="DF917">
            <v>0</v>
          </cell>
          <cell r="DG917">
            <v>0</v>
          </cell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T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0</v>
          </cell>
          <cell r="CL918">
            <v>0</v>
          </cell>
          <cell r="CM918">
            <v>0</v>
          </cell>
          <cell r="CN918">
            <v>0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0</v>
          </cell>
          <cell r="CU918">
            <v>0</v>
          </cell>
          <cell r="CV918">
            <v>0</v>
          </cell>
          <cell r="CW918">
            <v>0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0</v>
          </cell>
          <cell r="DC918">
            <v>0</v>
          </cell>
          <cell r="DD918">
            <v>0</v>
          </cell>
          <cell r="DE918">
            <v>0</v>
          </cell>
          <cell r="DF918">
            <v>0</v>
          </cell>
          <cell r="DG918">
            <v>0</v>
          </cell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T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O919">
            <v>0</v>
          </cell>
          <cell r="BP919">
            <v>0</v>
          </cell>
          <cell r="BQ919">
            <v>0</v>
          </cell>
          <cell r="BR919">
            <v>0</v>
          </cell>
          <cell r="BS919">
            <v>0</v>
          </cell>
          <cell r="BT919">
            <v>0</v>
          </cell>
          <cell r="BU919">
            <v>0</v>
          </cell>
          <cell r="BV919">
            <v>0</v>
          </cell>
          <cell r="BW919">
            <v>0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0</v>
          </cell>
          <cell r="CH919">
            <v>0</v>
          </cell>
          <cell r="CI919">
            <v>0</v>
          </cell>
          <cell r="CJ919">
            <v>0</v>
          </cell>
          <cell r="CK919">
            <v>0</v>
          </cell>
          <cell r="CL919">
            <v>0</v>
          </cell>
          <cell r="CM919">
            <v>0</v>
          </cell>
          <cell r="CN919">
            <v>0</v>
          </cell>
          <cell r="CO919">
            <v>0</v>
          </cell>
          <cell r="CP919">
            <v>0</v>
          </cell>
          <cell r="CQ919">
            <v>0</v>
          </cell>
          <cell r="CR919">
            <v>0</v>
          </cell>
          <cell r="CS919">
            <v>0</v>
          </cell>
          <cell r="CT919">
            <v>0</v>
          </cell>
          <cell r="CU919">
            <v>0</v>
          </cell>
          <cell r="CV919">
            <v>0</v>
          </cell>
          <cell r="CW919">
            <v>0</v>
          </cell>
          <cell r="CX919">
            <v>0</v>
          </cell>
          <cell r="CY919">
            <v>0</v>
          </cell>
          <cell r="CZ919">
            <v>0</v>
          </cell>
          <cell r="DA919">
            <v>0</v>
          </cell>
          <cell r="DB919">
            <v>0</v>
          </cell>
          <cell r="DC919">
            <v>0</v>
          </cell>
          <cell r="DD919">
            <v>0</v>
          </cell>
          <cell r="DE919">
            <v>0</v>
          </cell>
          <cell r="DF919">
            <v>0</v>
          </cell>
          <cell r="DG919">
            <v>0</v>
          </cell>
          <cell r="DH919">
            <v>0</v>
          </cell>
          <cell r="DI919">
            <v>0</v>
          </cell>
          <cell r="DJ919">
            <v>0</v>
          </cell>
          <cell r="DK919">
            <v>0</v>
          </cell>
          <cell r="DL919">
            <v>0</v>
          </cell>
          <cell r="DM919">
            <v>0</v>
          </cell>
          <cell r="DN919">
            <v>0</v>
          </cell>
          <cell r="DO919">
            <v>0</v>
          </cell>
          <cell r="DP919">
            <v>0</v>
          </cell>
          <cell r="DQ919">
            <v>0</v>
          </cell>
          <cell r="DR919">
            <v>0</v>
          </cell>
          <cell r="DS919">
            <v>0</v>
          </cell>
          <cell r="DT919">
            <v>0</v>
          </cell>
          <cell r="DU919">
            <v>0</v>
          </cell>
          <cell r="DV919">
            <v>0</v>
          </cell>
          <cell r="DW919">
            <v>0</v>
          </cell>
          <cell r="DX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0</v>
          </cell>
          <cell r="CQ920">
            <v>0</v>
          </cell>
          <cell r="CR920">
            <v>0</v>
          </cell>
          <cell r="CS920">
            <v>0</v>
          </cell>
          <cell r="CT920">
            <v>0</v>
          </cell>
          <cell r="CU920">
            <v>0</v>
          </cell>
          <cell r="CV920">
            <v>0</v>
          </cell>
          <cell r="CW920">
            <v>0</v>
          </cell>
          <cell r="CX920">
            <v>0</v>
          </cell>
          <cell r="CY920">
            <v>0</v>
          </cell>
          <cell r="CZ920">
            <v>0</v>
          </cell>
          <cell r="DA920">
            <v>0</v>
          </cell>
          <cell r="DB920">
            <v>0</v>
          </cell>
          <cell r="DC920">
            <v>0</v>
          </cell>
          <cell r="DD920">
            <v>0</v>
          </cell>
          <cell r="DE920">
            <v>0</v>
          </cell>
          <cell r="DF920">
            <v>0</v>
          </cell>
          <cell r="DG920">
            <v>0</v>
          </cell>
          <cell r="DH920">
            <v>0</v>
          </cell>
          <cell r="DI920">
            <v>0</v>
          </cell>
          <cell r="DJ920">
            <v>0</v>
          </cell>
          <cell r="DK920">
            <v>0</v>
          </cell>
          <cell r="DL920">
            <v>0</v>
          </cell>
          <cell r="DM920">
            <v>0</v>
          </cell>
          <cell r="DN920">
            <v>0</v>
          </cell>
          <cell r="DO920">
            <v>0</v>
          </cell>
          <cell r="DP920">
            <v>0</v>
          </cell>
          <cell r="DQ920">
            <v>0</v>
          </cell>
          <cell r="DR920">
            <v>0</v>
          </cell>
          <cell r="DS920">
            <v>0</v>
          </cell>
          <cell r="DT920">
            <v>0</v>
          </cell>
          <cell r="DU920">
            <v>0</v>
          </cell>
          <cell r="DV920">
            <v>0</v>
          </cell>
          <cell r="DW920">
            <v>0</v>
          </cell>
          <cell r="DX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</row>
        <row r="925">
          <cell r="F925">
            <v>0</v>
          </cell>
          <cell r="G925">
            <v>-0.01</v>
          </cell>
          <cell r="H925">
            <v>0</v>
          </cell>
          <cell r="I925">
            <v>0</v>
          </cell>
          <cell r="J925">
            <v>-0.01</v>
          </cell>
          <cell r="K925">
            <v>0</v>
          </cell>
          <cell r="L925">
            <v>0.01</v>
          </cell>
          <cell r="M925">
            <v>0.02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O925">
            <v>0</v>
          </cell>
          <cell r="BP925">
            <v>0</v>
          </cell>
          <cell r="BQ925">
            <v>0</v>
          </cell>
          <cell r="BR925">
            <v>0</v>
          </cell>
          <cell r="BS925">
            <v>0</v>
          </cell>
          <cell r="BT925">
            <v>0</v>
          </cell>
          <cell r="BU925">
            <v>0</v>
          </cell>
          <cell r="BV925">
            <v>0</v>
          </cell>
          <cell r="BW925">
            <v>0</v>
          </cell>
          <cell r="BX925">
            <v>0</v>
          </cell>
          <cell r="BY925">
            <v>0</v>
          </cell>
          <cell r="BZ925">
            <v>0</v>
          </cell>
          <cell r="CA925">
            <v>0</v>
          </cell>
          <cell r="CB925">
            <v>0</v>
          </cell>
          <cell r="CC925">
            <v>0</v>
          </cell>
          <cell r="CD925">
            <v>0</v>
          </cell>
          <cell r="CE925">
            <v>0</v>
          </cell>
          <cell r="CF925">
            <v>0</v>
          </cell>
          <cell r="CG925">
            <v>0</v>
          </cell>
          <cell r="CH925">
            <v>0</v>
          </cell>
          <cell r="CI925">
            <v>0</v>
          </cell>
          <cell r="CJ925">
            <v>0</v>
          </cell>
          <cell r="CK925">
            <v>0</v>
          </cell>
          <cell r="CL925">
            <v>0</v>
          </cell>
          <cell r="CM925">
            <v>0</v>
          </cell>
          <cell r="CN925">
            <v>0</v>
          </cell>
          <cell r="CO925">
            <v>0</v>
          </cell>
          <cell r="CP925">
            <v>0</v>
          </cell>
          <cell r="CQ925">
            <v>0</v>
          </cell>
          <cell r="CR925">
            <v>0</v>
          </cell>
          <cell r="CS925">
            <v>0</v>
          </cell>
          <cell r="CT925">
            <v>0</v>
          </cell>
          <cell r="CU925">
            <v>0</v>
          </cell>
          <cell r="CV925">
            <v>0</v>
          </cell>
          <cell r="CW925">
            <v>0</v>
          </cell>
          <cell r="CX925">
            <v>0</v>
          </cell>
          <cell r="CY925">
            <v>0</v>
          </cell>
          <cell r="CZ925">
            <v>0</v>
          </cell>
          <cell r="DA925">
            <v>0</v>
          </cell>
          <cell r="DB925">
            <v>0</v>
          </cell>
          <cell r="DC925">
            <v>0</v>
          </cell>
          <cell r="DD925">
            <v>0</v>
          </cell>
          <cell r="DE925">
            <v>0</v>
          </cell>
          <cell r="DF925">
            <v>0</v>
          </cell>
          <cell r="DG925">
            <v>0</v>
          </cell>
          <cell r="DH925">
            <v>0</v>
          </cell>
          <cell r="DI925">
            <v>0</v>
          </cell>
          <cell r="DJ925">
            <v>0</v>
          </cell>
          <cell r="DK925">
            <v>0</v>
          </cell>
          <cell r="DL925">
            <v>0</v>
          </cell>
          <cell r="DM925">
            <v>0</v>
          </cell>
          <cell r="DN925">
            <v>0</v>
          </cell>
          <cell r="DO925">
            <v>0</v>
          </cell>
          <cell r="DP925">
            <v>0</v>
          </cell>
          <cell r="DQ925">
            <v>0</v>
          </cell>
          <cell r="DR925">
            <v>0</v>
          </cell>
          <cell r="DS925">
            <v>0</v>
          </cell>
          <cell r="DT925">
            <v>0</v>
          </cell>
          <cell r="DU925">
            <v>0</v>
          </cell>
          <cell r="DV925">
            <v>0</v>
          </cell>
          <cell r="DW925">
            <v>0</v>
          </cell>
          <cell r="DX925">
            <v>0</v>
          </cell>
          <cell r="DY925">
            <v>0</v>
          </cell>
          <cell r="DZ925">
            <v>0</v>
          </cell>
          <cell r="EA925">
            <v>0</v>
          </cell>
          <cell r="EB925">
            <v>0</v>
          </cell>
          <cell r="EC925">
            <v>0</v>
          </cell>
          <cell r="ED925">
            <v>0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-0.01</v>
          </cell>
          <cell r="J926">
            <v>-0.02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-0.02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  <cell r="BO926">
            <v>0</v>
          </cell>
          <cell r="BP926">
            <v>0</v>
          </cell>
          <cell r="BQ926">
            <v>0</v>
          </cell>
          <cell r="BR926">
            <v>0</v>
          </cell>
          <cell r="BS926">
            <v>0</v>
          </cell>
          <cell r="BT926">
            <v>0</v>
          </cell>
          <cell r="BU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C926">
            <v>0</v>
          </cell>
          <cell r="CD926">
            <v>0</v>
          </cell>
          <cell r="CE926">
            <v>0</v>
          </cell>
          <cell r="CF926">
            <v>0</v>
          </cell>
          <cell r="CG926">
            <v>0</v>
          </cell>
          <cell r="CH926">
            <v>0</v>
          </cell>
          <cell r="CI926">
            <v>0</v>
          </cell>
          <cell r="CJ926">
            <v>0</v>
          </cell>
          <cell r="CK926">
            <v>0</v>
          </cell>
          <cell r="CL926">
            <v>0</v>
          </cell>
          <cell r="CM926">
            <v>0</v>
          </cell>
          <cell r="CN926">
            <v>0</v>
          </cell>
          <cell r="CO926">
            <v>0</v>
          </cell>
          <cell r="CP926">
            <v>0</v>
          </cell>
          <cell r="CQ926">
            <v>0</v>
          </cell>
          <cell r="CR926">
            <v>0</v>
          </cell>
          <cell r="CS926">
            <v>0</v>
          </cell>
          <cell r="CT926">
            <v>0</v>
          </cell>
          <cell r="CU926">
            <v>0</v>
          </cell>
          <cell r="CV926">
            <v>0</v>
          </cell>
          <cell r="CW926">
            <v>0</v>
          </cell>
          <cell r="CX926">
            <v>0</v>
          </cell>
          <cell r="CY926">
            <v>0</v>
          </cell>
          <cell r="CZ926">
            <v>0</v>
          </cell>
          <cell r="DA926">
            <v>0</v>
          </cell>
          <cell r="DB926">
            <v>0</v>
          </cell>
          <cell r="DC926">
            <v>0</v>
          </cell>
          <cell r="DD926">
            <v>0</v>
          </cell>
          <cell r="DE926">
            <v>0</v>
          </cell>
          <cell r="DF926">
            <v>0</v>
          </cell>
          <cell r="DG926">
            <v>0</v>
          </cell>
          <cell r="DH926">
            <v>0</v>
          </cell>
          <cell r="DI926">
            <v>0</v>
          </cell>
          <cell r="DJ926">
            <v>0</v>
          </cell>
          <cell r="DK926">
            <v>0</v>
          </cell>
          <cell r="DL926">
            <v>0</v>
          </cell>
          <cell r="DM926">
            <v>0</v>
          </cell>
          <cell r="DN926">
            <v>0</v>
          </cell>
          <cell r="DO926">
            <v>0</v>
          </cell>
          <cell r="DP926">
            <v>0</v>
          </cell>
          <cell r="DQ926">
            <v>0</v>
          </cell>
          <cell r="DR926">
            <v>0</v>
          </cell>
          <cell r="DS926">
            <v>0</v>
          </cell>
          <cell r="DT926">
            <v>0</v>
          </cell>
          <cell r="DU926">
            <v>0</v>
          </cell>
          <cell r="DV926">
            <v>0</v>
          </cell>
          <cell r="DW926">
            <v>0</v>
          </cell>
          <cell r="DX926">
            <v>0</v>
          </cell>
          <cell r="DY926">
            <v>0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</row>
        <row r="927">
          <cell r="F927">
            <v>0</v>
          </cell>
          <cell r="G927">
            <v>-0.01</v>
          </cell>
          <cell r="H927">
            <v>0</v>
          </cell>
          <cell r="I927">
            <v>-0.03</v>
          </cell>
          <cell r="J927">
            <v>-0.03</v>
          </cell>
          <cell r="K927">
            <v>0</v>
          </cell>
          <cell r="L927">
            <v>0.01</v>
          </cell>
          <cell r="M927">
            <v>0.01</v>
          </cell>
          <cell r="N927">
            <v>0.01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0</v>
          </cell>
          <cell r="BD927">
            <v>0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O927">
            <v>0</v>
          </cell>
          <cell r="BP927">
            <v>0</v>
          </cell>
          <cell r="BQ927">
            <v>0</v>
          </cell>
          <cell r="BR927">
            <v>0</v>
          </cell>
          <cell r="BS927">
            <v>0</v>
          </cell>
          <cell r="BT927">
            <v>0</v>
          </cell>
          <cell r="BU927">
            <v>0</v>
          </cell>
          <cell r="BV927">
            <v>0</v>
          </cell>
          <cell r="BW927">
            <v>0</v>
          </cell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C927">
            <v>0</v>
          </cell>
          <cell r="CD927">
            <v>0</v>
          </cell>
          <cell r="CE927">
            <v>0</v>
          </cell>
          <cell r="CF927">
            <v>0</v>
          </cell>
          <cell r="CG927">
            <v>0</v>
          </cell>
          <cell r="CH927">
            <v>0</v>
          </cell>
          <cell r="CI927">
            <v>0</v>
          </cell>
          <cell r="CJ927">
            <v>0</v>
          </cell>
          <cell r="CK927">
            <v>0</v>
          </cell>
          <cell r="CL927">
            <v>0</v>
          </cell>
          <cell r="CM927">
            <v>0</v>
          </cell>
          <cell r="CN927">
            <v>0</v>
          </cell>
          <cell r="CO927">
            <v>0</v>
          </cell>
          <cell r="CP927">
            <v>0</v>
          </cell>
          <cell r="CQ927">
            <v>0</v>
          </cell>
          <cell r="CR927">
            <v>0</v>
          </cell>
          <cell r="CS927">
            <v>0</v>
          </cell>
          <cell r="CT927">
            <v>0</v>
          </cell>
          <cell r="CU927">
            <v>0</v>
          </cell>
          <cell r="CV927">
            <v>0</v>
          </cell>
          <cell r="CW927">
            <v>0</v>
          </cell>
          <cell r="CX927">
            <v>0</v>
          </cell>
          <cell r="CY927">
            <v>0</v>
          </cell>
          <cell r="CZ927">
            <v>0</v>
          </cell>
          <cell r="DA927">
            <v>0</v>
          </cell>
          <cell r="DB927">
            <v>0</v>
          </cell>
          <cell r="DC927">
            <v>0</v>
          </cell>
          <cell r="DD927">
            <v>0</v>
          </cell>
          <cell r="DE927">
            <v>0</v>
          </cell>
          <cell r="DF927">
            <v>0</v>
          </cell>
          <cell r="DG927">
            <v>0</v>
          </cell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T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-0.01</v>
          </cell>
          <cell r="J928">
            <v>-0.01</v>
          </cell>
          <cell r="K928">
            <v>0</v>
          </cell>
          <cell r="L928">
            <v>0.01</v>
          </cell>
          <cell r="M928">
            <v>0.01</v>
          </cell>
          <cell r="N928">
            <v>0</v>
          </cell>
          <cell r="O928">
            <v>0</v>
          </cell>
          <cell r="P928">
            <v>-0.01</v>
          </cell>
          <cell r="Q928">
            <v>0.01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K928">
            <v>0</v>
          </cell>
          <cell r="CL928">
            <v>0</v>
          </cell>
          <cell r="CM928">
            <v>0</v>
          </cell>
          <cell r="CN928">
            <v>0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0</v>
          </cell>
          <cell r="CU928">
            <v>0</v>
          </cell>
          <cell r="CV928">
            <v>0</v>
          </cell>
          <cell r="CW928">
            <v>0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  <cell r="DB928">
            <v>0</v>
          </cell>
          <cell r="DC928">
            <v>0</v>
          </cell>
          <cell r="DD928">
            <v>0</v>
          </cell>
          <cell r="DE928">
            <v>0</v>
          </cell>
          <cell r="DF928">
            <v>0</v>
          </cell>
          <cell r="DG928">
            <v>0</v>
          </cell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T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</row>
        <row r="929">
          <cell r="F929">
            <v>0</v>
          </cell>
          <cell r="G929">
            <v>-0.03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M929">
            <v>0</v>
          </cell>
          <cell r="CN929">
            <v>0</v>
          </cell>
          <cell r="CO929">
            <v>0</v>
          </cell>
          <cell r="CP929">
            <v>0</v>
          </cell>
          <cell r="CQ929">
            <v>0</v>
          </cell>
          <cell r="CR929">
            <v>0</v>
          </cell>
          <cell r="CS929">
            <v>0</v>
          </cell>
          <cell r="CT929">
            <v>0</v>
          </cell>
          <cell r="CU929">
            <v>0</v>
          </cell>
          <cell r="CV929">
            <v>0</v>
          </cell>
          <cell r="CW929">
            <v>0</v>
          </cell>
          <cell r="CX929">
            <v>0</v>
          </cell>
          <cell r="CY929">
            <v>0</v>
          </cell>
          <cell r="CZ929">
            <v>0</v>
          </cell>
          <cell r="DA929">
            <v>0</v>
          </cell>
          <cell r="DB929">
            <v>0</v>
          </cell>
          <cell r="DC929">
            <v>0</v>
          </cell>
          <cell r="DD929">
            <v>0</v>
          </cell>
          <cell r="DE929">
            <v>0</v>
          </cell>
          <cell r="DF929">
            <v>0</v>
          </cell>
          <cell r="DG929">
            <v>0</v>
          </cell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T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  <cell r="DD930">
            <v>0</v>
          </cell>
          <cell r="DE930">
            <v>0</v>
          </cell>
          <cell r="DF930">
            <v>0</v>
          </cell>
          <cell r="DG930">
            <v>0</v>
          </cell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T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G931">
            <v>0</v>
          </cell>
          <cell r="CH931">
            <v>0</v>
          </cell>
          <cell r="CI931">
            <v>0</v>
          </cell>
          <cell r="CJ931">
            <v>0</v>
          </cell>
          <cell r="CK931">
            <v>0</v>
          </cell>
          <cell r="CL931">
            <v>0</v>
          </cell>
          <cell r="CM931">
            <v>0</v>
          </cell>
          <cell r="CN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0</v>
          </cell>
          <cell r="CU931">
            <v>0</v>
          </cell>
          <cell r="CV931">
            <v>0</v>
          </cell>
          <cell r="CW931">
            <v>0</v>
          </cell>
          <cell r="CX931">
            <v>0</v>
          </cell>
          <cell r="CY931">
            <v>0</v>
          </cell>
          <cell r="CZ931">
            <v>0</v>
          </cell>
          <cell r="DA931">
            <v>0</v>
          </cell>
          <cell r="DB931">
            <v>0</v>
          </cell>
          <cell r="DC931">
            <v>0</v>
          </cell>
          <cell r="DD931">
            <v>0</v>
          </cell>
          <cell r="DE931">
            <v>0</v>
          </cell>
          <cell r="DF931">
            <v>0</v>
          </cell>
          <cell r="DG931">
            <v>0</v>
          </cell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T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</row>
        <row r="933">
          <cell r="F933">
            <v>0</v>
          </cell>
          <cell r="G933">
            <v>-0.01</v>
          </cell>
          <cell r="H933">
            <v>0</v>
          </cell>
          <cell r="I933">
            <v>-0.01</v>
          </cell>
          <cell r="J933">
            <v>-0.01</v>
          </cell>
          <cell r="K933">
            <v>-0.01</v>
          </cell>
          <cell r="L933">
            <v>0</v>
          </cell>
          <cell r="M933">
            <v>0</v>
          </cell>
          <cell r="N933">
            <v>0</v>
          </cell>
          <cell r="O933">
            <v>-0.01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  <cell r="BF933">
            <v>0</v>
          </cell>
          <cell r="BG933">
            <v>0</v>
          </cell>
          <cell r="BH933">
            <v>0</v>
          </cell>
          <cell r="BI933">
            <v>0</v>
          </cell>
          <cell r="BJ933">
            <v>0</v>
          </cell>
          <cell r="BK933">
            <v>0</v>
          </cell>
          <cell r="BL933">
            <v>0</v>
          </cell>
          <cell r="BM933">
            <v>0</v>
          </cell>
          <cell r="BN933">
            <v>0</v>
          </cell>
          <cell r="BO933">
            <v>0</v>
          </cell>
          <cell r="BP933">
            <v>0</v>
          </cell>
          <cell r="BQ933">
            <v>0</v>
          </cell>
          <cell r="BR933">
            <v>0</v>
          </cell>
          <cell r="BS933">
            <v>0</v>
          </cell>
          <cell r="BT933">
            <v>0</v>
          </cell>
          <cell r="BU933">
            <v>0</v>
          </cell>
          <cell r="BV933">
            <v>0</v>
          </cell>
          <cell r="BW933">
            <v>0</v>
          </cell>
          <cell r="BX933">
            <v>0</v>
          </cell>
          <cell r="BY933">
            <v>0</v>
          </cell>
          <cell r="BZ933">
            <v>0</v>
          </cell>
          <cell r="CA933">
            <v>0</v>
          </cell>
          <cell r="CB933">
            <v>0</v>
          </cell>
          <cell r="CC933">
            <v>0</v>
          </cell>
          <cell r="CD933">
            <v>0</v>
          </cell>
          <cell r="CE933">
            <v>0</v>
          </cell>
          <cell r="CF933">
            <v>0</v>
          </cell>
          <cell r="CG933">
            <v>0</v>
          </cell>
          <cell r="CH933">
            <v>0</v>
          </cell>
          <cell r="CI933">
            <v>0</v>
          </cell>
          <cell r="CJ933">
            <v>0</v>
          </cell>
          <cell r="CK933">
            <v>0</v>
          </cell>
          <cell r="CL933">
            <v>0</v>
          </cell>
          <cell r="CM933">
            <v>0</v>
          </cell>
          <cell r="CN933">
            <v>0</v>
          </cell>
          <cell r="CO933">
            <v>0</v>
          </cell>
          <cell r="CP933">
            <v>0</v>
          </cell>
          <cell r="CQ933">
            <v>0</v>
          </cell>
          <cell r="CR933">
            <v>0</v>
          </cell>
          <cell r="CS933">
            <v>0</v>
          </cell>
          <cell r="CT933">
            <v>0</v>
          </cell>
          <cell r="CU933">
            <v>0</v>
          </cell>
          <cell r="CV933">
            <v>0</v>
          </cell>
          <cell r="CW933">
            <v>0</v>
          </cell>
          <cell r="CX933">
            <v>0</v>
          </cell>
          <cell r="CY933">
            <v>0</v>
          </cell>
          <cell r="CZ933">
            <v>0</v>
          </cell>
          <cell r="DA933">
            <v>0</v>
          </cell>
          <cell r="DB933">
            <v>0</v>
          </cell>
          <cell r="DC933">
            <v>0</v>
          </cell>
          <cell r="DD933">
            <v>0</v>
          </cell>
          <cell r="DE933">
            <v>0</v>
          </cell>
          <cell r="DF933">
            <v>0</v>
          </cell>
          <cell r="DG933">
            <v>0</v>
          </cell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T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</row>
        <row r="935">
          <cell r="A935" t="str">
            <v>Total Special Sales For Resale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-0.01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O935">
            <v>0</v>
          </cell>
          <cell r="BP935">
            <v>0</v>
          </cell>
          <cell r="BQ935">
            <v>0</v>
          </cell>
          <cell r="BR935">
            <v>0</v>
          </cell>
          <cell r="BS935">
            <v>0</v>
          </cell>
          <cell r="BT935">
            <v>0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  <cell r="CF935">
            <v>0</v>
          </cell>
          <cell r="CG935">
            <v>0</v>
          </cell>
          <cell r="CH935">
            <v>0</v>
          </cell>
          <cell r="CI935">
            <v>0</v>
          </cell>
          <cell r="CJ935">
            <v>0</v>
          </cell>
          <cell r="CK935">
            <v>0</v>
          </cell>
          <cell r="CL935">
            <v>0</v>
          </cell>
          <cell r="CM935">
            <v>0</v>
          </cell>
          <cell r="CN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0</v>
          </cell>
          <cell r="CU935">
            <v>0</v>
          </cell>
          <cell r="CV935">
            <v>0</v>
          </cell>
          <cell r="CW935">
            <v>0</v>
          </cell>
          <cell r="CX935">
            <v>0</v>
          </cell>
          <cell r="CY935">
            <v>0</v>
          </cell>
          <cell r="CZ935">
            <v>0</v>
          </cell>
          <cell r="DA935">
            <v>0</v>
          </cell>
          <cell r="DB935">
            <v>0</v>
          </cell>
          <cell r="DC935">
            <v>0</v>
          </cell>
          <cell r="DD935">
            <v>0</v>
          </cell>
          <cell r="DE935">
            <v>0</v>
          </cell>
          <cell r="DF935">
            <v>0</v>
          </cell>
          <cell r="DG935">
            <v>0</v>
          </cell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T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</row>
        <row r="937">
          <cell r="A937" t="str">
            <v>Purchased Power &amp; Net Interchange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  <cell r="BO939">
            <v>0</v>
          </cell>
          <cell r="BP939">
            <v>0</v>
          </cell>
          <cell r="BQ939">
            <v>0</v>
          </cell>
          <cell r="BR939">
            <v>0</v>
          </cell>
          <cell r="BS939">
            <v>0</v>
          </cell>
          <cell r="BT939">
            <v>0</v>
          </cell>
          <cell r="BU939">
            <v>0</v>
          </cell>
          <cell r="BV939">
            <v>0</v>
          </cell>
          <cell r="BW939">
            <v>0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0</v>
          </cell>
          <cell r="CH939">
            <v>0</v>
          </cell>
          <cell r="CI939">
            <v>0</v>
          </cell>
          <cell r="CJ939">
            <v>0</v>
          </cell>
          <cell r="CK939">
            <v>0</v>
          </cell>
          <cell r="CL939">
            <v>0</v>
          </cell>
          <cell r="CM939">
            <v>0</v>
          </cell>
          <cell r="CN939">
            <v>0</v>
          </cell>
          <cell r="CO939">
            <v>0</v>
          </cell>
          <cell r="CP939">
            <v>0</v>
          </cell>
          <cell r="CQ939">
            <v>0</v>
          </cell>
          <cell r="CR939">
            <v>0</v>
          </cell>
          <cell r="CS939">
            <v>0</v>
          </cell>
          <cell r="CT939">
            <v>0</v>
          </cell>
          <cell r="CU939">
            <v>0</v>
          </cell>
          <cell r="CV939">
            <v>0</v>
          </cell>
          <cell r="CW939">
            <v>0</v>
          </cell>
          <cell r="CX939">
            <v>0</v>
          </cell>
          <cell r="CY939">
            <v>0</v>
          </cell>
          <cell r="CZ939">
            <v>0</v>
          </cell>
          <cell r="DA939">
            <v>0</v>
          </cell>
          <cell r="DB939">
            <v>0</v>
          </cell>
          <cell r="DC939">
            <v>0</v>
          </cell>
          <cell r="DD939">
            <v>0</v>
          </cell>
          <cell r="DE939">
            <v>0</v>
          </cell>
          <cell r="DF939">
            <v>0</v>
          </cell>
          <cell r="DG939">
            <v>0</v>
          </cell>
          <cell r="DH939">
            <v>0</v>
          </cell>
          <cell r="DI939">
            <v>0</v>
          </cell>
          <cell r="DJ939">
            <v>0</v>
          </cell>
          <cell r="DK939">
            <v>0</v>
          </cell>
          <cell r="DL939">
            <v>0</v>
          </cell>
          <cell r="DM939">
            <v>0</v>
          </cell>
          <cell r="DN939">
            <v>0</v>
          </cell>
          <cell r="DO939">
            <v>0</v>
          </cell>
          <cell r="DP939">
            <v>0</v>
          </cell>
          <cell r="DQ939">
            <v>0</v>
          </cell>
          <cell r="DR939">
            <v>0</v>
          </cell>
          <cell r="DS939">
            <v>0</v>
          </cell>
          <cell r="DT939">
            <v>0</v>
          </cell>
          <cell r="DU939">
            <v>0</v>
          </cell>
          <cell r="DV939">
            <v>0</v>
          </cell>
          <cell r="DW939">
            <v>0</v>
          </cell>
          <cell r="DX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H940">
            <v>0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0</v>
          </cell>
          <cell r="BN940">
            <v>0</v>
          </cell>
          <cell r="BO940">
            <v>0</v>
          </cell>
          <cell r="BP940">
            <v>0</v>
          </cell>
          <cell r="BQ940">
            <v>0</v>
          </cell>
          <cell r="BR940">
            <v>0</v>
          </cell>
          <cell r="BS940">
            <v>0</v>
          </cell>
          <cell r="BT940">
            <v>0</v>
          </cell>
          <cell r="BU940">
            <v>0</v>
          </cell>
          <cell r="BV940">
            <v>0</v>
          </cell>
          <cell r="BW940">
            <v>0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0</v>
          </cell>
          <cell r="CH940">
            <v>0</v>
          </cell>
          <cell r="CI940">
            <v>0</v>
          </cell>
          <cell r="CJ940">
            <v>0</v>
          </cell>
          <cell r="CK940">
            <v>0</v>
          </cell>
          <cell r="CL940">
            <v>0</v>
          </cell>
          <cell r="CM940">
            <v>0</v>
          </cell>
          <cell r="CN940">
            <v>0</v>
          </cell>
          <cell r="CO940">
            <v>0</v>
          </cell>
          <cell r="CP940">
            <v>0</v>
          </cell>
          <cell r="CQ940">
            <v>0</v>
          </cell>
          <cell r="CR940">
            <v>0</v>
          </cell>
          <cell r="CS940">
            <v>0</v>
          </cell>
          <cell r="CT940">
            <v>0</v>
          </cell>
          <cell r="CU940">
            <v>0</v>
          </cell>
          <cell r="CV940">
            <v>0</v>
          </cell>
          <cell r="CW940">
            <v>0</v>
          </cell>
          <cell r="CX940">
            <v>0</v>
          </cell>
          <cell r="CY940">
            <v>0</v>
          </cell>
          <cell r="CZ940">
            <v>0</v>
          </cell>
          <cell r="DA940">
            <v>0</v>
          </cell>
          <cell r="DB940">
            <v>0</v>
          </cell>
          <cell r="DC940">
            <v>0</v>
          </cell>
          <cell r="DD940">
            <v>0</v>
          </cell>
          <cell r="DE940">
            <v>0</v>
          </cell>
          <cell r="DF940">
            <v>0</v>
          </cell>
          <cell r="DG940">
            <v>0</v>
          </cell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T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0</v>
          </cell>
          <cell r="BO941">
            <v>0</v>
          </cell>
          <cell r="BP941">
            <v>0</v>
          </cell>
          <cell r="BQ941">
            <v>0</v>
          </cell>
          <cell r="BR941">
            <v>0</v>
          </cell>
          <cell r="BS941">
            <v>0</v>
          </cell>
          <cell r="BT941">
            <v>0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0</v>
          </cell>
          <cell r="CI941">
            <v>0</v>
          </cell>
          <cell r="CJ941">
            <v>0</v>
          </cell>
          <cell r="CK941">
            <v>0</v>
          </cell>
          <cell r="CL941">
            <v>0</v>
          </cell>
          <cell r="CM941">
            <v>0</v>
          </cell>
          <cell r="CN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0</v>
          </cell>
          <cell r="CS941">
            <v>0</v>
          </cell>
          <cell r="CT941">
            <v>0</v>
          </cell>
          <cell r="CU941">
            <v>0</v>
          </cell>
          <cell r="CV941">
            <v>0</v>
          </cell>
          <cell r="CW941">
            <v>0</v>
          </cell>
          <cell r="CX941">
            <v>0</v>
          </cell>
          <cell r="CY941">
            <v>0</v>
          </cell>
          <cell r="CZ941">
            <v>0</v>
          </cell>
          <cell r="DA941">
            <v>0</v>
          </cell>
          <cell r="DB941">
            <v>0</v>
          </cell>
          <cell r="DC941">
            <v>0</v>
          </cell>
          <cell r="DD941">
            <v>0</v>
          </cell>
          <cell r="DE941">
            <v>0</v>
          </cell>
          <cell r="DF941">
            <v>0</v>
          </cell>
          <cell r="DG941">
            <v>0</v>
          </cell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T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0</v>
          </cell>
          <cell r="CH943">
            <v>0</v>
          </cell>
          <cell r="CI943">
            <v>0</v>
          </cell>
          <cell r="CJ943">
            <v>0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0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0</v>
          </cell>
          <cell r="DE943">
            <v>0</v>
          </cell>
          <cell r="DF943">
            <v>0</v>
          </cell>
          <cell r="DG943">
            <v>0</v>
          </cell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T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  <cell r="BO944">
            <v>0</v>
          </cell>
          <cell r="BP944">
            <v>0</v>
          </cell>
          <cell r="BQ944">
            <v>0</v>
          </cell>
          <cell r="BR944">
            <v>0</v>
          </cell>
          <cell r="BS944">
            <v>0</v>
          </cell>
          <cell r="BT944">
            <v>0</v>
          </cell>
          <cell r="BU944">
            <v>0</v>
          </cell>
          <cell r="BV944">
            <v>0</v>
          </cell>
          <cell r="BW944">
            <v>0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0</v>
          </cell>
          <cell r="CH944">
            <v>0</v>
          </cell>
          <cell r="CI944">
            <v>0</v>
          </cell>
          <cell r="CJ944">
            <v>0</v>
          </cell>
          <cell r="CK944">
            <v>0</v>
          </cell>
          <cell r="CL944">
            <v>0</v>
          </cell>
          <cell r="CM944">
            <v>0</v>
          </cell>
          <cell r="CN944">
            <v>0</v>
          </cell>
          <cell r="CO944">
            <v>0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0</v>
          </cell>
          <cell r="CU944">
            <v>0</v>
          </cell>
          <cell r="CV944">
            <v>0</v>
          </cell>
          <cell r="CW944">
            <v>0</v>
          </cell>
          <cell r="CX944">
            <v>0</v>
          </cell>
          <cell r="CY944">
            <v>0</v>
          </cell>
          <cell r="CZ944">
            <v>0</v>
          </cell>
          <cell r="DA944">
            <v>0</v>
          </cell>
          <cell r="DB944">
            <v>0</v>
          </cell>
          <cell r="DC944">
            <v>0</v>
          </cell>
          <cell r="DD944">
            <v>0</v>
          </cell>
          <cell r="DE944">
            <v>0</v>
          </cell>
          <cell r="DF944">
            <v>0</v>
          </cell>
          <cell r="DG944">
            <v>0</v>
          </cell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T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O945">
            <v>0</v>
          </cell>
          <cell r="BP945">
            <v>0</v>
          </cell>
          <cell r="BQ945">
            <v>0</v>
          </cell>
          <cell r="BR945">
            <v>0</v>
          </cell>
          <cell r="BS945">
            <v>0</v>
          </cell>
          <cell r="BT945">
            <v>0</v>
          </cell>
          <cell r="BU945">
            <v>0</v>
          </cell>
          <cell r="BV945">
            <v>0</v>
          </cell>
          <cell r="BW945">
            <v>0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0</v>
          </cell>
          <cell r="CH945">
            <v>0</v>
          </cell>
          <cell r="CI945">
            <v>0</v>
          </cell>
          <cell r="CJ945">
            <v>0</v>
          </cell>
          <cell r="CK945">
            <v>0</v>
          </cell>
          <cell r="CL945">
            <v>0</v>
          </cell>
          <cell r="CM945">
            <v>0</v>
          </cell>
          <cell r="CN945">
            <v>0</v>
          </cell>
          <cell r="CO945">
            <v>0</v>
          </cell>
          <cell r="CP945">
            <v>0</v>
          </cell>
          <cell r="CQ945">
            <v>0</v>
          </cell>
          <cell r="CR945">
            <v>0</v>
          </cell>
          <cell r="CS945">
            <v>0</v>
          </cell>
          <cell r="CT945">
            <v>0</v>
          </cell>
          <cell r="CU945">
            <v>0</v>
          </cell>
          <cell r="CV945">
            <v>0</v>
          </cell>
          <cell r="CW945">
            <v>0</v>
          </cell>
          <cell r="CX945">
            <v>0</v>
          </cell>
          <cell r="CY945">
            <v>0</v>
          </cell>
          <cell r="CZ945">
            <v>0</v>
          </cell>
          <cell r="DA945">
            <v>0</v>
          </cell>
          <cell r="DB945">
            <v>0</v>
          </cell>
          <cell r="DC945">
            <v>0</v>
          </cell>
          <cell r="DD945">
            <v>0</v>
          </cell>
          <cell r="DE945">
            <v>0</v>
          </cell>
          <cell r="DF945">
            <v>0</v>
          </cell>
          <cell r="DG945">
            <v>0</v>
          </cell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T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  <cell r="BO946">
            <v>0</v>
          </cell>
          <cell r="BP946">
            <v>0</v>
          </cell>
          <cell r="BQ946">
            <v>0</v>
          </cell>
          <cell r="BR946">
            <v>0</v>
          </cell>
          <cell r="BS946">
            <v>0</v>
          </cell>
          <cell r="BT946">
            <v>0</v>
          </cell>
          <cell r="BU946">
            <v>0</v>
          </cell>
          <cell r="BV946">
            <v>0</v>
          </cell>
          <cell r="BW946">
            <v>0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0</v>
          </cell>
          <cell r="CH946">
            <v>0</v>
          </cell>
          <cell r="CI946">
            <v>0</v>
          </cell>
          <cell r="CJ946">
            <v>0</v>
          </cell>
          <cell r="CK946">
            <v>0</v>
          </cell>
          <cell r="CL946">
            <v>0</v>
          </cell>
          <cell r="CM946">
            <v>0</v>
          </cell>
          <cell r="CN946">
            <v>0</v>
          </cell>
          <cell r="CO946">
            <v>0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  <cell r="DD946">
            <v>0</v>
          </cell>
          <cell r="DE946">
            <v>0</v>
          </cell>
          <cell r="DF946">
            <v>0</v>
          </cell>
          <cell r="DG946">
            <v>0</v>
          </cell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T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  <cell r="BO947">
            <v>0</v>
          </cell>
          <cell r="BP947">
            <v>0</v>
          </cell>
          <cell r="BQ947">
            <v>0</v>
          </cell>
          <cell r="BR947">
            <v>0</v>
          </cell>
          <cell r="BS947">
            <v>0</v>
          </cell>
          <cell r="BT947">
            <v>0</v>
          </cell>
          <cell r="BU947">
            <v>0</v>
          </cell>
          <cell r="BV947">
            <v>0</v>
          </cell>
          <cell r="BW947">
            <v>0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0</v>
          </cell>
          <cell r="CH947">
            <v>0</v>
          </cell>
          <cell r="CI947">
            <v>0</v>
          </cell>
          <cell r="CJ947">
            <v>0</v>
          </cell>
          <cell r="CK947">
            <v>0</v>
          </cell>
          <cell r="CL947">
            <v>0</v>
          </cell>
          <cell r="CM947">
            <v>0</v>
          </cell>
          <cell r="CN947">
            <v>0</v>
          </cell>
          <cell r="CO947">
            <v>0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0</v>
          </cell>
          <cell r="CU947">
            <v>0</v>
          </cell>
          <cell r="CV947">
            <v>0</v>
          </cell>
          <cell r="CW947">
            <v>0</v>
          </cell>
          <cell r="CX947">
            <v>0</v>
          </cell>
          <cell r="CY947">
            <v>0</v>
          </cell>
          <cell r="CZ947">
            <v>0</v>
          </cell>
          <cell r="DA947">
            <v>0</v>
          </cell>
          <cell r="DB947">
            <v>0</v>
          </cell>
          <cell r="DC947">
            <v>0</v>
          </cell>
          <cell r="DD947">
            <v>0</v>
          </cell>
          <cell r="DE947">
            <v>0</v>
          </cell>
          <cell r="DF947">
            <v>0</v>
          </cell>
          <cell r="DG947">
            <v>0</v>
          </cell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T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  <cell r="BF948">
            <v>0</v>
          </cell>
          <cell r="BG948">
            <v>0</v>
          </cell>
          <cell r="BH948">
            <v>0</v>
          </cell>
          <cell r="BI948">
            <v>0</v>
          </cell>
          <cell r="BJ948">
            <v>0</v>
          </cell>
          <cell r="BK948">
            <v>0</v>
          </cell>
          <cell r="BL948">
            <v>0</v>
          </cell>
          <cell r="BM948">
            <v>0</v>
          </cell>
          <cell r="BN948">
            <v>0</v>
          </cell>
          <cell r="BO948">
            <v>0</v>
          </cell>
          <cell r="BP948">
            <v>0</v>
          </cell>
          <cell r="BQ948">
            <v>0</v>
          </cell>
          <cell r="BR948">
            <v>0</v>
          </cell>
          <cell r="BS948">
            <v>0</v>
          </cell>
          <cell r="BT948">
            <v>0</v>
          </cell>
          <cell r="BU948">
            <v>0</v>
          </cell>
          <cell r="BV948">
            <v>0</v>
          </cell>
          <cell r="BW948">
            <v>0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0</v>
          </cell>
          <cell r="CH948">
            <v>0</v>
          </cell>
          <cell r="CI948">
            <v>0</v>
          </cell>
          <cell r="CJ948">
            <v>0</v>
          </cell>
          <cell r="CK948">
            <v>0</v>
          </cell>
          <cell r="CL948">
            <v>0</v>
          </cell>
          <cell r="CM948">
            <v>0</v>
          </cell>
          <cell r="CN948">
            <v>0</v>
          </cell>
          <cell r="CO948">
            <v>0</v>
          </cell>
          <cell r="CP948">
            <v>0</v>
          </cell>
          <cell r="CQ948">
            <v>0</v>
          </cell>
          <cell r="CR948">
            <v>0</v>
          </cell>
          <cell r="CS948">
            <v>0</v>
          </cell>
          <cell r="CT948">
            <v>0</v>
          </cell>
          <cell r="CU948">
            <v>0</v>
          </cell>
          <cell r="CV948">
            <v>0</v>
          </cell>
          <cell r="CW948">
            <v>0</v>
          </cell>
          <cell r="CX948">
            <v>0</v>
          </cell>
          <cell r="CY948">
            <v>0</v>
          </cell>
          <cell r="CZ948">
            <v>0</v>
          </cell>
          <cell r="DA948">
            <v>0</v>
          </cell>
          <cell r="DB948">
            <v>0</v>
          </cell>
          <cell r="DC948">
            <v>0</v>
          </cell>
          <cell r="DD948">
            <v>0</v>
          </cell>
          <cell r="DE948">
            <v>0</v>
          </cell>
          <cell r="DF948">
            <v>0</v>
          </cell>
          <cell r="DG948">
            <v>0</v>
          </cell>
          <cell r="DH948">
            <v>0</v>
          </cell>
          <cell r="DI948">
            <v>0</v>
          </cell>
          <cell r="DJ948">
            <v>0</v>
          </cell>
          <cell r="DK948">
            <v>0</v>
          </cell>
          <cell r="DL948">
            <v>0</v>
          </cell>
          <cell r="DM948">
            <v>0</v>
          </cell>
          <cell r="DN948">
            <v>0</v>
          </cell>
          <cell r="DO948">
            <v>0</v>
          </cell>
          <cell r="DP948">
            <v>0</v>
          </cell>
          <cell r="DQ948">
            <v>0</v>
          </cell>
          <cell r="DR948">
            <v>0</v>
          </cell>
          <cell r="DS948">
            <v>0</v>
          </cell>
          <cell r="DT948">
            <v>0</v>
          </cell>
          <cell r="DU948">
            <v>0</v>
          </cell>
          <cell r="DV948">
            <v>0</v>
          </cell>
          <cell r="DW948">
            <v>0</v>
          </cell>
          <cell r="DX948">
            <v>0</v>
          </cell>
          <cell r="DY948">
            <v>0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  <cell r="BO949">
            <v>0</v>
          </cell>
          <cell r="BP949">
            <v>0</v>
          </cell>
          <cell r="BQ949">
            <v>0</v>
          </cell>
          <cell r="BR949">
            <v>0</v>
          </cell>
          <cell r="BS949">
            <v>0</v>
          </cell>
          <cell r="BT949">
            <v>0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0</v>
          </cell>
          <cell r="CH949">
            <v>0</v>
          </cell>
          <cell r="CI949">
            <v>0</v>
          </cell>
          <cell r="CJ949">
            <v>0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  <cell r="DD949">
            <v>0</v>
          </cell>
          <cell r="DE949">
            <v>0</v>
          </cell>
          <cell r="DF949">
            <v>0</v>
          </cell>
          <cell r="DG949">
            <v>0</v>
          </cell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T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0</v>
          </cell>
          <cell r="BL950">
            <v>0</v>
          </cell>
          <cell r="BM950">
            <v>0</v>
          </cell>
          <cell r="BN950">
            <v>0</v>
          </cell>
          <cell r="BO950">
            <v>0</v>
          </cell>
          <cell r="BP950">
            <v>0</v>
          </cell>
          <cell r="BQ950">
            <v>0</v>
          </cell>
          <cell r="BR950">
            <v>0</v>
          </cell>
          <cell r="BS950">
            <v>0</v>
          </cell>
          <cell r="BT950">
            <v>0</v>
          </cell>
          <cell r="BU950">
            <v>0</v>
          </cell>
          <cell r="BV950">
            <v>0</v>
          </cell>
          <cell r="BW950">
            <v>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0</v>
          </cell>
          <cell r="CH950">
            <v>0</v>
          </cell>
          <cell r="CI950">
            <v>0</v>
          </cell>
          <cell r="CJ950">
            <v>0</v>
          </cell>
          <cell r="CK950">
            <v>0</v>
          </cell>
          <cell r="CL950">
            <v>0</v>
          </cell>
          <cell r="CM950">
            <v>0</v>
          </cell>
          <cell r="CN950">
            <v>0</v>
          </cell>
          <cell r="CO950">
            <v>0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0</v>
          </cell>
          <cell r="CU950">
            <v>0</v>
          </cell>
          <cell r="CV950">
            <v>0</v>
          </cell>
          <cell r="CW950">
            <v>0</v>
          </cell>
          <cell r="CX950">
            <v>0</v>
          </cell>
          <cell r="CY950">
            <v>0</v>
          </cell>
          <cell r="CZ950">
            <v>0</v>
          </cell>
          <cell r="DA950">
            <v>0</v>
          </cell>
          <cell r="DB950">
            <v>0</v>
          </cell>
          <cell r="DC950">
            <v>0</v>
          </cell>
          <cell r="DD950">
            <v>0</v>
          </cell>
          <cell r="DE950">
            <v>0</v>
          </cell>
          <cell r="DF950">
            <v>0</v>
          </cell>
          <cell r="DG950">
            <v>0</v>
          </cell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T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  <cell r="CF951">
            <v>0</v>
          </cell>
          <cell r="CG951">
            <v>0</v>
          </cell>
          <cell r="CH951">
            <v>0</v>
          </cell>
          <cell r="CI951">
            <v>0</v>
          </cell>
          <cell r="CJ951">
            <v>0</v>
          </cell>
          <cell r="CK951">
            <v>0</v>
          </cell>
          <cell r="CL951">
            <v>0</v>
          </cell>
          <cell r="CM951">
            <v>0</v>
          </cell>
          <cell r="CN951">
            <v>0</v>
          </cell>
          <cell r="CO951">
            <v>0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  <cell r="DB951">
            <v>0</v>
          </cell>
          <cell r="DC951">
            <v>0</v>
          </cell>
          <cell r="DD951">
            <v>0</v>
          </cell>
          <cell r="DE951">
            <v>0</v>
          </cell>
          <cell r="DF951">
            <v>0</v>
          </cell>
          <cell r="DG951">
            <v>0</v>
          </cell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T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>
            <v>0</v>
          </cell>
          <cell r="BM952">
            <v>0</v>
          </cell>
          <cell r="BN952">
            <v>0</v>
          </cell>
          <cell r="BO952">
            <v>0</v>
          </cell>
          <cell r="BP952">
            <v>0</v>
          </cell>
          <cell r="BQ952">
            <v>0</v>
          </cell>
          <cell r="BR952">
            <v>0</v>
          </cell>
          <cell r="BS952">
            <v>0</v>
          </cell>
          <cell r="BT952">
            <v>0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  <cell r="CF952">
            <v>0</v>
          </cell>
          <cell r="CG952">
            <v>0</v>
          </cell>
          <cell r="CH952">
            <v>0</v>
          </cell>
          <cell r="CI952">
            <v>0</v>
          </cell>
          <cell r="CJ952">
            <v>0</v>
          </cell>
          <cell r="CK952">
            <v>0</v>
          </cell>
          <cell r="CL952">
            <v>0</v>
          </cell>
          <cell r="CM952">
            <v>0</v>
          </cell>
          <cell r="CN952">
            <v>0</v>
          </cell>
          <cell r="CO952">
            <v>0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0</v>
          </cell>
          <cell r="CU952">
            <v>0</v>
          </cell>
          <cell r="CV952">
            <v>0</v>
          </cell>
          <cell r="CW952">
            <v>0</v>
          </cell>
          <cell r="CX952">
            <v>0</v>
          </cell>
          <cell r="CY952">
            <v>0</v>
          </cell>
          <cell r="CZ952">
            <v>0</v>
          </cell>
          <cell r="DA952">
            <v>0</v>
          </cell>
          <cell r="DB952">
            <v>0</v>
          </cell>
          <cell r="DC952">
            <v>0</v>
          </cell>
          <cell r="DD952">
            <v>0</v>
          </cell>
          <cell r="DE952">
            <v>0</v>
          </cell>
          <cell r="DF952">
            <v>0</v>
          </cell>
          <cell r="DG952">
            <v>0</v>
          </cell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T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>
            <v>0</v>
          </cell>
          <cell r="BM953">
            <v>0</v>
          </cell>
          <cell r="BN953">
            <v>0</v>
          </cell>
          <cell r="BO953">
            <v>0</v>
          </cell>
          <cell r="BP953">
            <v>0</v>
          </cell>
          <cell r="BQ953">
            <v>0</v>
          </cell>
          <cell r="BR953">
            <v>0</v>
          </cell>
          <cell r="BS953">
            <v>0</v>
          </cell>
          <cell r="BT953">
            <v>0</v>
          </cell>
          <cell r="BU953">
            <v>0</v>
          </cell>
          <cell r="BV953">
            <v>0</v>
          </cell>
          <cell r="BW953">
            <v>0</v>
          </cell>
          <cell r="BX953">
            <v>0</v>
          </cell>
          <cell r="BY953">
            <v>0</v>
          </cell>
          <cell r="BZ953">
            <v>0</v>
          </cell>
          <cell r="CA953">
            <v>0</v>
          </cell>
          <cell r="CB953">
            <v>0</v>
          </cell>
          <cell r="CC953">
            <v>0</v>
          </cell>
          <cell r="CD953">
            <v>0</v>
          </cell>
          <cell r="CE953">
            <v>0</v>
          </cell>
          <cell r="CF953">
            <v>0</v>
          </cell>
          <cell r="CG953">
            <v>0</v>
          </cell>
          <cell r="CH953">
            <v>0</v>
          </cell>
          <cell r="CI953">
            <v>0</v>
          </cell>
          <cell r="CJ953">
            <v>0</v>
          </cell>
          <cell r="CK953">
            <v>0</v>
          </cell>
          <cell r="CL953">
            <v>0</v>
          </cell>
          <cell r="CM953">
            <v>0</v>
          </cell>
          <cell r="CN953">
            <v>0</v>
          </cell>
          <cell r="CO953">
            <v>0</v>
          </cell>
          <cell r="CP953">
            <v>0</v>
          </cell>
          <cell r="CQ953">
            <v>0</v>
          </cell>
          <cell r="CR953">
            <v>0</v>
          </cell>
          <cell r="CS953">
            <v>0</v>
          </cell>
          <cell r="CT953">
            <v>0</v>
          </cell>
          <cell r="CU953">
            <v>0</v>
          </cell>
          <cell r="CV953">
            <v>0</v>
          </cell>
          <cell r="CW953">
            <v>0</v>
          </cell>
          <cell r="CX953">
            <v>0</v>
          </cell>
          <cell r="CY953">
            <v>0</v>
          </cell>
          <cell r="CZ953">
            <v>0</v>
          </cell>
          <cell r="DA953">
            <v>0</v>
          </cell>
          <cell r="DB953">
            <v>0</v>
          </cell>
          <cell r="DC953">
            <v>0</v>
          </cell>
          <cell r="DD953">
            <v>0</v>
          </cell>
          <cell r="DE953">
            <v>0</v>
          </cell>
          <cell r="DF953">
            <v>0</v>
          </cell>
          <cell r="DG953">
            <v>0</v>
          </cell>
          <cell r="DH953">
            <v>0</v>
          </cell>
          <cell r="DI953">
            <v>0</v>
          </cell>
          <cell r="DJ953">
            <v>0</v>
          </cell>
          <cell r="DK953">
            <v>0</v>
          </cell>
          <cell r="DL953">
            <v>0</v>
          </cell>
          <cell r="DM953">
            <v>0</v>
          </cell>
          <cell r="DN953">
            <v>0</v>
          </cell>
          <cell r="DO953">
            <v>0</v>
          </cell>
          <cell r="DP953">
            <v>0</v>
          </cell>
          <cell r="DQ953">
            <v>0</v>
          </cell>
          <cell r="DR953">
            <v>0</v>
          </cell>
          <cell r="DS953">
            <v>0</v>
          </cell>
          <cell r="DT953">
            <v>0</v>
          </cell>
          <cell r="DU953">
            <v>0</v>
          </cell>
          <cell r="DV953">
            <v>0</v>
          </cell>
          <cell r="DW953">
            <v>0</v>
          </cell>
          <cell r="DX953">
            <v>0</v>
          </cell>
          <cell r="DY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O954">
            <v>0</v>
          </cell>
          <cell r="BP954">
            <v>0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0</v>
          </cell>
          <cell r="CD954">
            <v>0</v>
          </cell>
          <cell r="CE954">
            <v>0</v>
          </cell>
          <cell r="CF954">
            <v>0</v>
          </cell>
          <cell r="CG954">
            <v>0</v>
          </cell>
          <cell r="CH954">
            <v>0</v>
          </cell>
          <cell r="CI954">
            <v>0</v>
          </cell>
          <cell r="CJ954">
            <v>0</v>
          </cell>
          <cell r="CK954">
            <v>0</v>
          </cell>
          <cell r="CL954">
            <v>0</v>
          </cell>
          <cell r="CM954">
            <v>0</v>
          </cell>
          <cell r="CN954">
            <v>0</v>
          </cell>
          <cell r="CO954">
            <v>0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0</v>
          </cell>
          <cell r="CU954">
            <v>0</v>
          </cell>
          <cell r="CV954">
            <v>0</v>
          </cell>
          <cell r="CW954">
            <v>0</v>
          </cell>
          <cell r="CX954">
            <v>0</v>
          </cell>
          <cell r="CY954">
            <v>0</v>
          </cell>
          <cell r="CZ954">
            <v>0</v>
          </cell>
          <cell r="DA954">
            <v>0</v>
          </cell>
          <cell r="DB954">
            <v>0</v>
          </cell>
          <cell r="DC954">
            <v>0</v>
          </cell>
          <cell r="DD954">
            <v>0</v>
          </cell>
          <cell r="DE954">
            <v>0</v>
          </cell>
          <cell r="DF954">
            <v>0</v>
          </cell>
          <cell r="DG954">
            <v>0</v>
          </cell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T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0</v>
          </cell>
          <cell r="CG956">
            <v>0</v>
          </cell>
          <cell r="CH956">
            <v>0</v>
          </cell>
          <cell r="CI956">
            <v>0</v>
          </cell>
          <cell r="CJ956">
            <v>0</v>
          </cell>
          <cell r="CK956">
            <v>0</v>
          </cell>
          <cell r="CL956">
            <v>0</v>
          </cell>
          <cell r="CM956">
            <v>0</v>
          </cell>
          <cell r="CN956">
            <v>0</v>
          </cell>
          <cell r="CO956">
            <v>0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0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  <cell r="DD956">
            <v>0</v>
          </cell>
          <cell r="DE956">
            <v>0</v>
          </cell>
          <cell r="DF956">
            <v>0</v>
          </cell>
          <cell r="DG956">
            <v>0</v>
          </cell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T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  <cell r="CF957">
            <v>0</v>
          </cell>
          <cell r="CG957">
            <v>0</v>
          </cell>
          <cell r="CH957">
            <v>0</v>
          </cell>
          <cell r="CI957">
            <v>0</v>
          </cell>
          <cell r="CJ957">
            <v>0</v>
          </cell>
          <cell r="CK957">
            <v>0</v>
          </cell>
          <cell r="CL957">
            <v>0</v>
          </cell>
          <cell r="CM957">
            <v>0</v>
          </cell>
          <cell r="CN957">
            <v>0</v>
          </cell>
          <cell r="CO957">
            <v>0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  <cell r="DD957">
            <v>0</v>
          </cell>
          <cell r="DE957">
            <v>0</v>
          </cell>
          <cell r="DF957">
            <v>0</v>
          </cell>
          <cell r="DG957">
            <v>0</v>
          </cell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T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</row>
        <row r="958"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F958">
            <v>0</v>
          </cell>
          <cell r="BG958">
            <v>0</v>
          </cell>
          <cell r="BH958">
            <v>0</v>
          </cell>
          <cell r="BI958">
            <v>0</v>
          </cell>
          <cell r="BJ958">
            <v>0</v>
          </cell>
          <cell r="BK958">
            <v>0</v>
          </cell>
          <cell r="BL958">
            <v>0</v>
          </cell>
          <cell r="BM958">
            <v>0</v>
          </cell>
          <cell r="BN958">
            <v>0</v>
          </cell>
          <cell r="BO958">
            <v>0</v>
          </cell>
          <cell r="BP958">
            <v>0</v>
          </cell>
          <cell r="BQ958">
            <v>0</v>
          </cell>
          <cell r="BR958">
            <v>0</v>
          </cell>
          <cell r="BS958">
            <v>0</v>
          </cell>
          <cell r="BT958">
            <v>0</v>
          </cell>
          <cell r="BU958">
            <v>0</v>
          </cell>
          <cell r="BV958">
            <v>0</v>
          </cell>
          <cell r="BW958">
            <v>0</v>
          </cell>
          <cell r="BX958">
            <v>0</v>
          </cell>
          <cell r="BY958">
            <v>0</v>
          </cell>
          <cell r="BZ958">
            <v>0</v>
          </cell>
          <cell r="CA958">
            <v>0</v>
          </cell>
          <cell r="CB958">
            <v>0</v>
          </cell>
          <cell r="CC958">
            <v>0</v>
          </cell>
          <cell r="CD958">
            <v>0</v>
          </cell>
          <cell r="CE958">
            <v>0</v>
          </cell>
          <cell r="CF958">
            <v>0</v>
          </cell>
          <cell r="CG958">
            <v>0</v>
          </cell>
          <cell r="CH958">
            <v>0</v>
          </cell>
          <cell r="CI958">
            <v>0</v>
          </cell>
          <cell r="CJ958">
            <v>0</v>
          </cell>
          <cell r="CK958">
            <v>0</v>
          </cell>
          <cell r="CL958">
            <v>0</v>
          </cell>
          <cell r="CM958">
            <v>0</v>
          </cell>
          <cell r="CN958">
            <v>0</v>
          </cell>
          <cell r="CO958">
            <v>0</v>
          </cell>
          <cell r="CP958">
            <v>0</v>
          </cell>
          <cell r="CQ958">
            <v>0</v>
          </cell>
          <cell r="CR958">
            <v>0</v>
          </cell>
          <cell r="CS958">
            <v>0</v>
          </cell>
          <cell r="CT958">
            <v>0</v>
          </cell>
          <cell r="CU958">
            <v>0</v>
          </cell>
          <cell r="CV958">
            <v>0</v>
          </cell>
          <cell r="CW958">
            <v>0</v>
          </cell>
          <cell r="CX958">
            <v>0</v>
          </cell>
          <cell r="CY958">
            <v>0</v>
          </cell>
          <cell r="CZ958">
            <v>0</v>
          </cell>
          <cell r="DA958">
            <v>0</v>
          </cell>
          <cell r="DB958">
            <v>0</v>
          </cell>
          <cell r="DC958">
            <v>0</v>
          </cell>
          <cell r="DD958">
            <v>0</v>
          </cell>
          <cell r="DE958">
            <v>0</v>
          </cell>
          <cell r="DF958">
            <v>0</v>
          </cell>
          <cell r="DG958">
            <v>0</v>
          </cell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T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H959">
            <v>0</v>
          </cell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  <cell r="BO959">
            <v>0</v>
          </cell>
          <cell r="BP959">
            <v>0</v>
          </cell>
          <cell r="BQ959">
            <v>0</v>
          </cell>
          <cell r="BR959">
            <v>0</v>
          </cell>
          <cell r="BS959">
            <v>0</v>
          </cell>
          <cell r="BT959">
            <v>0</v>
          </cell>
          <cell r="BU959">
            <v>0</v>
          </cell>
          <cell r="BV959">
            <v>0</v>
          </cell>
          <cell r="BW959">
            <v>0</v>
          </cell>
          <cell r="BX959">
            <v>0</v>
          </cell>
          <cell r="BY959">
            <v>0</v>
          </cell>
          <cell r="BZ959">
            <v>0</v>
          </cell>
          <cell r="CA959">
            <v>0</v>
          </cell>
          <cell r="CB959">
            <v>0</v>
          </cell>
          <cell r="CC959">
            <v>0</v>
          </cell>
          <cell r="CD959">
            <v>0</v>
          </cell>
          <cell r="CE959">
            <v>0</v>
          </cell>
          <cell r="CF959">
            <v>0</v>
          </cell>
          <cell r="CG959">
            <v>0</v>
          </cell>
          <cell r="CH959">
            <v>0</v>
          </cell>
          <cell r="CI959">
            <v>0</v>
          </cell>
          <cell r="CJ959">
            <v>0</v>
          </cell>
          <cell r="CK959">
            <v>0</v>
          </cell>
          <cell r="CL959">
            <v>0</v>
          </cell>
          <cell r="CM959">
            <v>0</v>
          </cell>
          <cell r="CN959">
            <v>0</v>
          </cell>
          <cell r="CO959">
            <v>0</v>
          </cell>
          <cell r="CP959">
            <v>0</v>
          </cell>
          <cell r="CQ959">
            <v>0</v>
          </cell>
          <cell r="CR959">
            <v>0</v>
          </cell>
          <cell r="CS959">
            <v>0</v>
          </cell>
          <cell r="CT959">
            <v>0</v>
          </cell>
          <cell r="CU959">
            <v>0</v>
          </cell>
          <cell r="CV959">
            <v>0</v>
          </cell>
          <cell r="CW959">
            <v>0</v>
          </cell>
          <cell r="CX959">
            <v>0</v>
          </cell>
          <cell r="CY959">
            <v>0</v>
          </cell>
          <cell r="CZ959">
            <v>0</v>
          </cell>
          <cell r="DA959">
            <v>0</v>
          </cell>
          <cell r="DB959">
            <v>0</v>
          </cell>
          <cell r="DC959">
            <v>0</v>
          </cell>
          <cell r="DD959">
            <v>0</v>
          </cell>
          <cell r="DE959">
            <v>0</v>
          </cell>
          <cell r="DF959">
            <v>0</v>
          </cell>
          <cell r="DG959">
            <v>0</v>
          </cell>
          <cell r="DH959">
            <v>0</v>
          </cell>
          <cell r="DI959">
            <v>0</v>
          </cell>
          <cell r="DJ959">
            <v>0</v>
          </cell>
          <cell r="DK959">
            <v>0</v>
          </cell>
          <cell r="DL959">
            <v>0</v>
          </cell>
          <cell r="DM959">
            <v>0</v>
          </cell>
          <cell r="DN959">
            <v>0</v>
          </cell>
          <cell r="DO959">
            <v>0</v>
          </cell>
          <cell r="DP959">
            <v>0</v>
          </cell>
          <cell r="DQ959">
            <v>0</v>
          </cell>
          <cell r="DR959">
            <v>0</v>
          </cell>
          <cell r="DS959">
            <v>0</v>
          </cell>
          <cell r="DT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0</v>
          </cell>
          <cell r="EB959">
            <v>0</v>
          </cell>
          <cell r="EC959">
            <v>0</v>
          </cell>
          <cell r="ED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  <cell r="BO960">
            <v>0</v>
          </cell>
          <cell r="BP960">
            <v>0</v>
          </cell>
          <cell r="BQ960">
            <v>0</v>
          </cell>
          <cell r="BR960">
            <v>0</v>
          </cell>
          <cell r="BS960">
            <v>0</v>
          </cell>
          <cell r="BT960">
            <v>0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0</v>
          </cell>
          <cell r="CG960">
            <v>0</v>
          </cell>
          <cell r="CH960">
            <v>0</v>
          </cell>
          <cell r="CI960">
            <v>0</v>
          </cell>
          <cell r="CJ960">
            <v>0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  <cell r="DD960">
            <v>0</v>
          </cell>
          <cell r="DE960">
            <v>0</v>
          </cell>
          <cell r="DF960">
            <v>0</v>
          </cell>
          <cell r="DG960">
            <v>0</v>
          </cell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T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  <cell r="CF961">
            <v>0</v>
          </cell>
          <cell r="CG961">
            <v>0</v>
          </cell>
          <cell r="CH961">
            <v>0</v>
          </cell>
          <cell r="CI961">
            <v>0</v>
          </cell>
          <cell r="CJ961">
            <v>0</v>
          </cell>
          <cell r="CK961">
            <v>0</v>
          </cell>
          <cell r="CL961">
            <v>0</v>
          </cell>
          <cell r="CM961">
            <v>0</v>
          </cell>
          <cell r="CN961">
            <v>0</v>
          </cell>
          <cell r="CO961">
            <v>0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0</v>
          </cell>
          <cell r="CU961">
            <v>0</v>
          </cell>
          <cell r="CV961">
            <v>0</v>
          </cell>
          <cell r="CW961">
            <v>0</v>
          </cell>
          <cell r="CX961">
            <v>0</v>
          </cell>
          <cell r="CY961">
            <v>0</v>
          </cell>
          <cell r="CZ961">
            <v>0</v>
          </cell>
          <cell r="DA961">
            <v>0</v>
          </cell>
          <cell r="DB961">
            <v>0</v>
          </cell>
          <cell r="DC961">
            <v>0</v>
          </cell>
          <cell r="DD961">
            <v>0</v>
          </cell>
          <cell r="DE961">
            <v>0</v>
          </cell>
          <cell r="DF961">
            <v>0</v>
          </cell>
          <cell r="DG961">
            <v>0</v>
          </cell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T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0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  <cell r="CF962">
            <v>0</v>
          </cell>
          <cell r="CG962">
            <v>0</v>
          </cell>
          <cell r="CH962">
            <v>0</v>
          </cell>
          <cell r="CI962">
            <v>0</v>
          </cell>
          <cell r="CJ962">
            <v>0</v>
          </cell>
          <cell r="CK962">
            <v>0</v>
          </cell>
          <cell r="CL962">
            <v>0</v>
          </cell>
          <cell r="CM962">
            <v>0</v>
          </cell>
          <cell r="CN962">
            <v>0</v>
          </cell>
          <cell r="CO962">
            <v>0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0</v>
          </cell>
          <cell r="CU962">
            <v>0</v>
          </cell>
          <cell r="CV962">
            <v>0</v>
          </cell>
          <cell r="CW962">
            <v>0</v>
          </cell>
          <cell r="CX962">
            <v>0</v>
          </cell>
          <cell r="CY962">
            <v>0</v>
          </cell>
          <cell r="CZ962">
            <v>0</v>
          </cell>
          <cell r="DA962">
            <v>0</v>
          </cell>
          <cell r="DB962">
            <v>0</v>
          </cell>
          <cell r="DC962">
            <v>0</v>
          </cell>
          <cell r="DD962">
            <v>0</v>
          </cell>
          <cell r="DE962">
            <v>0</v>
          </cell>
          <cell r="DF962">
            <v>0</v>
          </cell>
          <cell r="DG962">
            <v>0</v>
          </cell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T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  <cell r="BO964">
            <v>0</v>
          </cell>
          <cell r="BP964">
            <v>0</v>
          </cell>
          <cell r="BQ964">
            <v>0</v>
          </cell>
          <cell r="BR964">
            <v>0</v>
          </cell>
          <cell r="BS964">
            <v>0</v>
          </cell>
          <cell r="BT964">
            <v>0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  <cell r="CF964">
            <v>0</v>
          </cell>
          <cell r="CG964">
            <v>0</v>
          </cell>
          <cell r="CH964">
            <v>0</v>
          </cell>
          <cell r="CI964">
            <v>0</v>
          </cell>
          <cell r="CJ964">
            <v>0</v>
          </cell>
          <cell r="CK964">
            <v>0</v>
          </cell>
          <cell r="CL964">
            <v>0</v>
          </cell>
          <cell r="CM964">
            <v>0</v>
          </cell>
          <cell r="CN964">
            <v>0</v>
          </cell>
          <cell r="CO964">
            <v>0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0</v>
          </cell>
          <cell r="CU964">
            <v>0</v>
          </cell>
          <cell r="CV964">
            <v>0</v>
          </cell>
          <cell r="CW964">
            <v>0</v>
          </cell>
          <cell r="CX964">
            <v>0</v>
          </cell>
          <cell r="CY964">
            <v>0</v>
          </cell>
          <cell r="CZ964">
            <v>0</v>
          </cell>
          <cell r="DA964">
            <v>0</v>
          </cell>
          <cell r="DB964">
            <v>0</v>
          </cell>
          <cell r="DC964">
            <v>0</v>
          </cell>
          <cell r="DD964">
            <v>0</v>
          </cell>
          <cell r="DE964">
            <v>0</v>
          </cell>
          <cell r="DF964">
            <v>0</v>
          </cell>
          <cell r="DG964">
            <v>0</v>
          </cell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T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0</v>
          </cell>
          <cell r="BQ965">
            <v>0</v>
          </cell>
          <cell r="BR965">
            <v>0</v>
          </cell>
          <cell r="BS965">
            <v>0</v>
          </cell>
          <cell r="BT965">
            <v>0</v>
          </cell>
          <cell r="BU965">
            <v>0</v>
          </cell>
          <cell r="BV965">
            <v>0</v>
          </cell>
          <cell r="BW965">
            <v>0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0</v>
          </cell>
          <cell r="CH965">
            <v>0</v>
          </cell>
          <cell r="CI965">
            <v>0</v>
          </cell>
          <cell r="CJ965">
            <v>0</v>
          </cell>
          <cell r="CK965">
            <v>0</v>
          </cell>
          <cell r="CL965">
            <v>0</v>
          </cell>
          <cell r="CM965">
            <v>0</v>
          </cell>
          <cell r="CN965">
            <v>0</v>
          </cell>
          <cell r="CO965">
            <v>0</v>
          </cell>
          <cell r="CP965">
            <v>0</v>
          </cell>
          <cell r="CQ965">
            <v>0</v>
          </cell>
          <cell r="CR965">
            <v>0</v>
          </cell>
          <cell r="CS965">
            <v>0</v>
          </cell>
          <cell r="CT965">
            <v>0</v>
          </cell>
          <cell r="CU965">
            <v>0</v>
          </cell>
          <cell r="CV965">
            <v>0</v>
          </cell>
          <cell r="CW965">
            <v>0</v>
          </cell>
          <cell r="CX965">
            <v>0</v>
          </cell>
          <cell r="CY965">
            <v>0</v>
          </cell>
          <cell r="CZ965">
            <v>0</v>
          </cell>
          <cell r="DA965">
            <v>0</v>
          </cell>
          <cell r="DB965">
            <v>0</v>
          </cell>
          <cell r="DC965">
            <v>0</v>
          </cell>
          <cell r="DD965">
            <v>0</v>
          </cell>
          <cell r="DE965">
            <v>0</v>
          </cell>
          <cell r="DF965">
            <v>0</v>
          </cell>
          <cell r="DG965">
            <v>0</v>
          </cell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T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0</v>
          </cell>
          <cell r="CH966">
            <v>0</v>
          </cell>
          <cell r="CI966">
            <v>0</v>
          </cell>
          <cell r="CJ966">
            <v>0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  <cell r="DD966">
            <v>0</v>
          </cell>
          <cell r="DE966">
            <v>0</v>
          </cell>
          <cell r="DF966">
            <v>0</v>
          </cell>
          <cell r="DG966">
            <v>0</v>
          </cell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T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0</v>
          </cell>
          <cell r="BR967">
            <v>0</v>
          </cell>
          <cell r="BS967">
            <v>0</v>
          </cell>
          <cell r="BT967">
            <v>0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0</v>
          </cell>
          <cell r="CH967">
            <v>0</v>
          </cell>
          <cell r="CI967">
            <v>0</v>
          </cell>
          <cell r="CJ967">
            <v>0</v>
          </cell>
          <cell r="CK967">
            <v>0</v>
          </cell>
          <cell r="CL967">
            <v>0</v>
          </cell>
          <cell r="CM967">
            <v>0</v>
          </cell>
          <cell r="CN967">
            <v>0</v>
          </cell>
          <cell r="CO967">
            <v>0</v>
          </cell>
          <cell r="CP967">
            <v>0</v>
          </cell>
          <cell r="CQ967">
            <v>0</v>
          </cell>
          <cell r="CR967">
            <v>0</v>
          </cell>
          <cell r="CS967">
            <v>0</v>
          </cell>
          <cell r="CT967">
            <v>0</v>
          </cell>
          <cell r="CU967">
            <v>0</v>
          </cell>
          <cell r="CV967">
            <v>0</v>
          </cell>
          <cell r="CW967">
            <v>0</v>
          </cell>
          <cell r="CX967">
            <v>0</v>
          </cell>
          <cell r="CY967">
            <v>0</v>
          </cell>
          <cell r="CZ967">
            <v>0</v>
          </cell>
          <cell r="DA967">
            <v>0</v>
          </cell>
          <cell r="DB967">
            <v>0</v>
          </cell>
          <cell r="DC967">
            <v>0</v>
          </cell>
          <cell r="DD967">
            <v>0</v>
          </cell>
          <cell r="DE967">
            <v>0</v>
          </cell>
          <cell r="DF967">
            <v>0</v>
          </cell>
          <cell r="DG967">
            <v>0</v>
          </cell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T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H968">
            <v>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0</v>
          </cell>
          <cell r="BP968">
            <v>0</v>
          </cell>
          <cell r="BQ968">
            <v>0</v>
          </cell>
          <cell r="BR968">
            <v>0</v>
          </cell>
          <cell r="BS968">
            <v>0</v>
          </cell>
          <cell r="BT968">
            <v>0</v>
          </cell>
          <cell r="BU968">
            <v>0</v>
          </cell>
          <cell r="BV968">
            <v>0</v>
          </cell>
          <cell r="BW968">
            <v>0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0</v>
          </cell>
          <cell r="CH968">
            <v>0</v>
          </cell>
          <cell r="CI968">
            <v>0</v>
          </cell>
          <cell r="CJ968">
            <v>0</v>
          </cell>
          <cell r="CK968">
            <v>0</v>
          </cell>
          <cell r="CL968">
            <v>0</v>
          </cell>
          <cell r="CM968">
            <v>0</v>
          </cell>
          <cell r="CN968">
            <v>0</v>
          </cell>
          <cell r="CO968">
            <v>0</v>
          </cell>
          <cell r="CP968">
            <v>0</v>
          </cell>
          <cell r="CQ968">
            <v>0</v>
          </cell>
          <cell r="CR968">
            <v>0</v>
          </cell>
          <cell r="CS968">
            <v>0</v>
          </cell>
          <cell r="CT968">
            <v>0</v>
          </cell>
          <cell r="CU968">
            <v>0</v>
          </cell>
          <cell r="CV968">
            <v>0</v>
          </cell>
          <cell r="CW968">
            <v>0</v>
          </cell>
          <cell r="CX968">
            <v>0</v>
          </cell>
          <cell r="CY968">
            <v>0</v>
          </cell>
          <cell r="CZ968">
            <v>0</v>
          </cell>
          <cell r="DA968">
            <v>0</v>
          </cell>
          <cell r="DB968">
            <v>0</v>
          </cell>
          <cell r="DC968">
            <v>0</v>
          </cell>
          <cell r="DD968">
            <v>0</v>
          </cell>
          <cell r="DE968">
            <v>0</v>
          </cell>
          <cell r="DF968">
            <v>0</v>
          </cell>
          <cell r="DG968">
            <v>0</v>
          </cell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T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0</v>
          </cell>
          <cell r="CH969">
            <v>0</v>
          </cell>
          <cell r="CI969">
            <v>0</v>
          </cell>
          <cell r="CJ969">
            <v>0</v>
          </cell>
          <cell r="CK969">
            <v>0</v>
          </cell>
          <cell r="CL969">
            <v>0</v>
          </cell>
          <cell r="CM969">
            <v>0</v>
          </cell>
          <cell r="CN969">
            <v>0</v>
          </cell>
          <cell r="CO969">
            <v>0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0</v>
          </cell>
          <cell r="CU969">
            <v>0</v>
          </cell>
          <cell r="CV969">
            <v>0</v>
          </cell>
          <cell r="CW969">
            <v>0</v>
          </cell>
          <cell r="CX969">
            <v>0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  <cell r="DD969">
            <v>0</v>
          </cell>
          <cell r="DE969">
            <v>0</v>
          </cell>
          <cell r="DF969">
            <v>0</v>
          </cell>
          <cell r="DG969">
            <v>0</v>
          </cell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T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H970">
            <v>0</v>
          </cell>
          <cell r="BI970">
            <v>0</v>
          </cell>
          <cell r="BJ970">
            <v>0</v>
          </cell>
          <cell r="BK970">
            <v>0</v>
          </cell>
          <cell r="BL970">
            <v>0</v>
          </cell>
          <cell r="BM970">
            <v>0</v>
          </cell>
          <cell r="BN970">
            <v>0</v>
          </cell>
          <cell r="BO970">
            <v>0</v>
          </cell>
          <cell r="BP970">
            <v>0</v>
          </cell>
          <cell r="BQ970">
            <v>0</v>
          </cell>
          <cell r="BR970">
            <v>0</v>
          </cell>
          <cell r="BS970">
            <v>0</v>
          </cell>
          <cell r="BT970">
            <v>0</v>
          </cell>
          <cell r="BU970">
            <v>0</v>
          </cell>
          <cell r="BV970">
            <v>0</v>
          </cell>
          <cell r="BW970">
            <v>0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0</v>
          </cell>
          <cell r="CH970">
            <v>0</v>
          </cell>
          <cell r="CI970">
            <v>0</v>
          </cell>
          <cell r="CJ970">
            <v>0</v>
          </cell>
          <cell r="CK970">
            <v>0</v>
          </cell>
          <cell r="CL970">
            <v>0</v>
          </cell>
          <cell r="CM970">
            <v>0</v>
          </cell>
          <cell r="CN970">
            <v>0</v>
          </cell>
          <cell r="CO970">
            <v>0</v>
          </cell>
          <cell r="CP970">
            <v>0</v>
          </cell>
          <cell r="CQ970">
            <v>0</v>
          </cell>
          <cell r="CR970">
            <v>0</v>
          </cell>
          <cell r="CS970">
            <v>0</v>
          </cell>
          <cell r="CT970">
            <v>0</v>
          </cell>
          <cell r="CU970">
            <v>0</v>
          </cell>
          <cell r="CV970">
            <v>0</v>
          </cell>
          <cell r="CW970">
            <v>0</v>
          </cell>
          <cell r="CX970">
            <v>0</v>
          </cell>
          <cell r="CY970">
            <v>0</v>
          </cell>
          <cell r="CZ970">
            <v>0</v>
          </cell>
          <cell r="DA970">
            <v>0</v>
          </cell>
          <cell r="DB970">
            <v>0</v>
          </cell>
          <cell r="DC970">
            <v>0</v>
          </cell>
          <cell r="DD970">
            <v>0</v>
          </cell>
          <cell r="DE970">
            <v>0</v>
          </cell>
          <cell r="DF970">
            <v>0</v>
          </cell>
          <cell r="DG970">
            <v>0</v>
          </cell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T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0</v>
          </cell>
          <cell r="BJ975">
            <v>0</v>
          </cell>
          <cell r="BK975">
            <v>0</v>
          </cell>
          <cell r="BL975">
            <v>0</v>
          </cell>
          <cell r="BM975">
            <v>0</v>
          </cell>
          <cell r="BN975">
            <v>0</v>
          </cell>
          <cell r="BO975">
            <v>0</v>
          </cell>
          <cell r="BP975">
            <v>0</v>
          </cell>
          <cell r="BQ975">
            <v>0</v>
          </cell>
          <cell r="BR975">
            <v>0</v>
          </cell>
          <cell r="BS975">
            <v>0</v>
          </cell>
          <cell r="BT975">
            <v>0</v>
          </cell>
          <cell r="BU975">
            <v>0</v>
          </cell>
          <cell r="BV975">
            <v>0</v>
          </cell>
          <cell r="BW975">
            <v>0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0</v>
          </cell>
          <cell r="CH975">
            <v>0</v>
          </cell>
          <cell r="CI975">
            <v>0</v>
          </cell>
          <cell r="CJ975">
            <v>0</v>
          </cell>
          <cell r="CK975">
            <v>0</v>
          </cell>
          <cell r="CL975">
            <v>0</v>
          </cell>
          <cell r="CM975">
            <v>0</v>
          </cell>
          <cell r="CN975">
            <v>0</v>
          </cell>
          <cell r="CO975">
            <v>0</v>
          </cell>
          <cell r="CP975">
            <v>0</v>
          </cell>
          <cell r="CQ975">
            <v>0</v>
          </cell>
          <cell r="CR975">
            <v>0</v>
          </cell>
          <cell r="CS975">
            <v>0</v>
          </cell>
          <cell r="CT975">
            <v>0</v>
          </cell>
          <cell r="CU975">
            <v>0</v>
          </cell>
          <cell r="CV975">
            <v>0</v>
          </cell>
          <cell r="CW975">
            <v>0</v>
          </cell>
          <cell r="CX975">
            <v>0</v>
          </cell>
          <cell r="CY975">
            <v>0</v>
          </cell>
          <cell r="CZ975">
            <v>0</v>
          </cell>
          <cell r="DA975">
            <v>0</v>
          </cell>
          <cell r="DB975">
            <v>0</v>
          </cell>
          <cell r="DC975">
            <v>0</v>
          </cell>
          <cell r="DD975">
            <v>0</v>
          </cell>
          <cell r="DE975">
            <v>0</v>
          </cell>
          <cell r="DF975">
            <v>0</v>
          </cell>
          <cell r="DG975">
            <v>0</v>
          </cell>
          <cell r="DH975">
            <v>0</v>
          </cell>
          <cell r="DI975">
            <v>0</v>
          </cell>
          <cell r="DJ975">
            <v>0</v>
          </cell>
          <cell r="DK975">
            <v>0</v>
          </cell>
          <cell r="DL975">
            <v>0</v>
          </cell>
          <cell r="DM975">
            <v>0</v>
          </cell>
          <cell r="DN975">
            <v>0</v>
          </cell>
          <cell r="DO975">
            <v>0</v>
          </cell>
          <cell r="DP975">
            <v>0</v>
          </cell>
          <cell r="DQ975">
            <v>0</v>
          </cell>
          <cell r="DR975">
            <v>0</v>
          </cell>
          <cell r="DS975">
            <v>0</v>
          </cell>
          <cell r="DT975">
            <v>0</v>
          </cell>
          <cell r="DU975">
            <v>0</v>
          </cell>
          <cell r="DV975">
            <v>0</v>
          </cell>
          <cell r="DW975">
            <v>0</v>
          </cell>
          <cell r="DX975">
            <v>0</v>
          </cell>
          <cell r="DY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0</v>
          </cell>
          <cell r="BJ976">
            <v>0</v>
          </cell>
          <cell r="BK976">
            <v>0</v>
          </cell>
          <cell r="BL976">
            <v>0</v>
          </cell>
          <cell r="BM976">
            <v>0</v>
          </cell>
          <cell r="BN976">
            <v>0</v>
          </cell>
          <cell r="BO976">
            <v>0</v>
          </cell>
          <cell r="BP976">
            <v>0</v>
          </cell>
          <cell r="BQ976">
            <v>0</v>
          </cell>
          <cell r="BR976">
            <v>0</v>
          </cell>
          <cell r="BS976">
            <v>0</v>
          </cell>
          <cell r="BT976">
            <v>0</v>
          </cell>
          <cell r="BU976">
            <v>0</v>
          </cell>
          <cell r="BV976">
            <v>0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  <cell r="DD976">
            <v>0</v>
          </cell>
          <cell r="DE976">
            <v>0</v>
          </cell>
          <cell r="DF976">
            <v>0</v>
          </cell>
          <cell r="DG976">
            <v>0</v>
          </cell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T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0</v>
          </cell>
          <cell r="BI977">
            <v>0</v>
          </cell>
          <cell r="BJ977">
            <v>0</v>
          </cell>
          <cell r="BK977">
            <v>0</v>
          </cell>
          <cell r="BL977">
            <v>0</v>
          </cell>
          <cell r="BM977">
            <v>0</v>
          </cell>
          <cell r="BN977">
            <v>0</v>
          </cell>
          <cell r="BO977">
            <v>0</v>
          </cell>
          <cell r="BP977">
            <v>0</v>
          </cell>
          <cell r="BQ977">
            <v>0</v>
          </cell>
          <cell r="BR977">
            <v>0</v>
          </cell>
          <cell r="BS977">
            <v>0</v>
          </cell>
          <cell r="BT977">
            <v>0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0</v>
          </cell>
          <cell r="CH977">
            <v>0</v>
          </cell>
          <cell r="CI977">
            <v>0</v>
          </cell>
          <cell r="CJ977">
            <v>0</v>
          </cell>
          <cell r="CK977">
            <v>0</v>
          </cell>
          <cell r="CL977">
            <v>0</v>
          </cell>
          <cell r="CM977">
            <v>0</v>
          </cell>
          <cell r="CN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0</v>
          </cell>
          <cell r="CU977">
            <v>0</v>
          </cell>
          <cell r="CV977">
            <v>0</v>
          </cell>
          <cell r="CW977">
            <v>0</v>
          </cell>
          <cell r="CX977">
            <v>0</v>
          </cell>
          <cell r="CY977">
            <v>0</v>
          </cell>
          <cell r="CZ977">
            <v>0</v>
          </cell>
          <cell r="DA977">
            <v>0</v>
          </cell>
          <cell r="DB977">
            <v>0</v>
          </cell>
          <cell r="DC977">
            <v>0</v>
          </cell>
          <cell r="DD977">
            <v>0</v>
          </cell>
          <cell r="DE977">
            <v>0</v>
          </cell>
          <cell r="DF977">
            <v>0</v>
          </cell>
          <cell r="DG977">
            <v>0</v>
          </cell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T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  <cell r="DE978">
            <v>0</v>
          </cell>
          <cell r="DF978">
            <v>0</v>
          </cell>
          <cell r="DG978">
            <v>0</v>
          </cell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T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0</v>
          </cell>
          <cell r="BP979">
            <v>0</v>
          </cell>
          <cell r="BQ979">
            <v>0</v>
          </cell>
          <cell r="BR979">
            <v>0</v>
          </cell>
          <cell r="BS979">
            <v>0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  <cell r="DD979">
            <v>0</v>
          </cell>
          <cell r="DE979">
            <v>0</v>
          </cell>
          <cell r="DF979">
            <v>0</v>
          </cell>
          <cell r="DG979">
            <v>0</v>
          </cell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0</v>
          </cell>
          <cell r="BR980">
            <v>0</v>
          </cell>
          <cell r="BS980">
            <v>0</v>
          </cell>
          <cell r="BT980">
            <v>0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  <cell r="CF980">
            <v>0</v>
          </cell>
          <cell r="CG980">
            <v>0</v>
          </cell>
          <cell r="CH980">
            <v>0</v>
          </cell>
          <cell r="CI980">
            <v>0</v>
          </cell>
          <cell r="CJ980">
            <v>0</v>
          </cell>
          <cell r="CK980">
            <v>0</v>
          </cell>
          <cell r="CL980">
            <v>0</v>
          </cell>
          <cell r="CM980">
            <v>0</v>
          </cell>
          <cell r="CN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0</v>
          </cell>
          <cell r="CU980">
            <v>0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  <cell r="DD980">
            <v>0</v>
          </cell>
          <cell r="DE980">
            <v>0</v>
          </cell>
          <cell r="DF980">
            <v>0</v>
          </cell>
          <cell r="DG980">
            <v>0</v>
          </cell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T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0</v>
          </cell>
          <cell r="BJ982">
            <v>0</v>
          </cell>
          <cell r="BK982">
            <v>0</v>
          </cell>
          <cell r="BL982">
            <v>0</v>
          </cell>
          <cell r="BM982">
            <v>0</v>
          </cell>
          <cell r="BN982">
            <v>0</v>
          </cell>
          <cell r="BO982">
            <v>0</v>
          </cell>
          <cell r="BP982">
            <v>0</v>
          </cell>
          <cell r="BQ982">
            <v>0</v>
          </cell>
          <cell r="BR982">
            <v>0</v>
          </cell>
          <cell r="BS982">
            <v>0</v>
          </cell>
          <cell r="BT982">
            <v>0</v>
          </cell>
          <cell r="BU982">
            <v>0</v>
          </cell>
          <cell r="BV982">
            <v>0</v>
          </cell>
          <cell r="BW982">
            <v>0</v>
          </cell>
          <cell r="BX982">
            <v>0</v>
          </cell>
          <cell r="BY982">
            <v>0</v>
          </cell>
          <cell r="BZ982">
            <v>0</v>
          </cell>
          <cell r="CA982">
            <v>0</v>
          </cell>
          <cell r="CB982">
            <v>0</v>
          </cell>
          <cell r="CC982">
            <v>0</v>
          </cell>
          <cell r="CD982">
            <v>0</v>
          </cell>
          <cell r="CE982">
            <v>0</v>
          </cell>
          <cell r="CF982">
            <v>0</v>
          </cell>
          <cell r="CG982">
            <v>0</v>
          </cell>
          <cell r="CH982">
            <v>0</v>
          </cell>
          <cell r="CI982">
            <v>0</v>
          </cell>
          <cell r="CJ982">
            <v>0</v>
          </cell>
          <cell r="CK982">
            <v>0</v>
          </cell>
          <cell r="CL982">
            <v>0</v>
          </cell>
          <cell r="CM982">
            <v>0</v>
          </cell>
          <cell r="CN982">
            <v>0</v>
          </cell>
          <cell r="CO982">
            <v>0</v>
          </cell>
          <cell r="CP982">
            <v>0</v>
          </cell>
          <cell r="CQ982">
            <v>0</v>
          </cell>
          <cell r="CR982">
            <v>0</v>
          </cell>
          <cell r="CS982">
            <v>0</v>
          </cell>
          <cell r="CT982">
            <v>0</v>
          </cell>
          <cell r="CU982">
            <v>0</v>
          </cell>
          <cell r="CV982">
            <v>0</v>
          </cell>
          <cell r="CW982">
            <v>0</v>
          </cell>
          <cell r="CX982">
            <v>0</v>
          </cell>
          <cell r="CY982">
            <v>0</v>
          </cell>
          <cell r="CZ982">
            <v>0</v>
          </cell>
          <cell r="DA982">
            <v>0</v>
          </cell>
          <cell r="DB982">
            <v>0</v>
          </cell>
          <cell r="DC982">
            <v>0</v>
          </cell>
          <cell r="DD982">
            <v>0</v>
          </cell>
          <cell r="DE982">
            <v>0</v>
          </cell>
          <cell r="DF982">
            <v>0</v>
          </cell>
          <cell r="DG982">
            <v>0</v>
          </cell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T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</row>
        <row r="983"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O983">
            <v>0</v>
          </cell>
          <cell r="AP983">
            <v>0</v>
          </cell>
          <cell r="AQ983">
            <v>0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0</v>
          </cell>
          <cell r="BD983">
            <v>0</v>
          </cell>
          <cell r="BE983">
            <v>0</v>
          </cell>
          <cell r="BF983">
            <v>0</v>
          </cell>
          <cell r="BG983">
            <v>0</v>
          </cell>
          <cell r="BH983">
            <v>0</v>
          </cell>
          <cell r="BI983">
            <v>0</v>
          </cell>
          <cell r="BJ983">
            <v>0</v>
          </cell>
          <cell r="BK983">
            <v>0</v>
          </cell>
          <cell r="BL983">
            <v>0</v>
          </cell>
          <cell r="BM983">
            <v>0</v>
          </cell>
          <cell r="BN983">
            <v>0</v>
          </cell>
          <cell r="BO983">
            <v>0</v>
          </cell>
          <cell r="BP983">
            <v>0</v>
          </cell>
          <cell r="BQ983">
            <v>0</v>
          </cell>
          <cell r="BR983">
            <v>0</v>
          </cell>
          <cell r="BS983">
            <v>0</v>
          </cell>
          <cell r="BT983">
            <v>0</v>
          </cell>
          <cell r="BU983">
            <v>0</v>
          </cell>
          <cell r="BV983">
            <v>0</v>
          </cell>
          <cell r="BW983">
            <v>0</v>
          </cell>
          <cell r="BX983">
            <v>0</v>
          </cell>
          <cell r="BY983">
            <v>0</v>
          </cell>
          <cell r="BZ983">
            <v>0</v>
          </cell>
          <cell r="CA983">
            <v>0</v>
          </cell>
          <cell r="CB983">
            <v>0</v>
          </cell>
          <cell r="CC983">
            <v>0</v>
          </cell>
          <cell r="CD983">
            <v>0</v>
          </cell>
          <cell r="CE983">
            <v>0</v>
          </cell>
          <cell r="CF983">
            <v>0</v>
          </cell>
          <cell r="CG983">
            <v>0</v>
          </cell>
          <cell r="CH983">
            <v>0</v>
          </cell>
          <cell r="CI983">
            <v>0</v>
          </cell>
          <cell r="CJ983">
            <v>0</v>
          </cell>
          <cell r="CK983">
            <v>0</v>
          </cell>
          <cell r="CL983">
            <v>0</v>
          </cell>
          <cell r="CM983">
            <v>0</v>
          </cell>
          <cell r="CN983">
            <v>0</v>
          </cell>
          <cell r="CO983">
            <v>0</v>
          </cell>
          <cell r="CP983">
            <v>0</v>
          </cell>
          <cell r="CQ983">
            <v>0</v>
          </cell>
          <cell r="CR983">
            <v>0</v>
          </cell>
          <cell r="CS983">
            <v>0</v>
          </cell>
          <cell r="CT983">
            <v>0</v>
          </cell>
          <cell r="CU983">
            <v>0</v>
          </cell>
          <cell r="CV983">
            <v>0</v>
          </cell>
          <cell r="CW983">
            <v>0</v>
          </cell>
          <cell r="CX983">
            <v>0</v>
          </cell>
          <cell r="CY983">
            <v>0</v>
          </cell>
          <cell r="CZ983">
            <v>0</v>
          </cell>
          <cell r="DA983">
            <v>0</v>
          </cell>
          <cell r="DB983">
            <v>0</v>
          </cell>
          <cell r="DC983">
            <v>0</v>
          </cell>
          <cell r="DD983">
            <v>0</v>
          </cell>
          <cell r="DE983">
            <v>0</v>
          </cell>
          <cell r="DF983">
            <v>0</v>
          </cell>
          <cell r="DG983">
            <v>0</v>
          </cell>
          <cell r="DH983">
            <v>0</v>
          </cell>
          <cell r="DI983">
            <v>0</v>
          </cell>
          <cell r="DJ983">
            <v>0</v>
          </cell>
          <cell r="DK983">
            <v>0</v>
          </cell>
          <cell r="DL983">
            <v>0</v>
          </cell>
          <cell r="DM983">
            <v>0</v>
          </cell>
          <cell r="DN983">
            <v>0</v>
          </cell>
          <cell r="DO983">
            <v>0</v>
          </cell>
          <cell r="DP983">
            <v>0</v>
          </cell>
          <cell r="DQ983">
            <v>0</v>
          </cell>
          <cell r="DR983">
            <v>0</v>
          </cell>
          <cell r="DS983">
            <v>0</v>
          </cell>
          <cell r="DT983">
            <v>0</v>
          </cell>
          <cell r="DU983">
            <v>0</v>
          </cell>
          <cell r="DV983">
            <v>0</v>
          </cell>
          <cell r="DW983">
            <v>0</v>
          </cell>
          <cell r="DX983">
            <v>0</v>
          </cell>
          <cell r="DY983">
            <v>0</v>
          </cell>
          <cell r="DZ983">
            <v>0</v>
          </cell>
          <cell r="EA983">
            <v>0</v>
          </cell>
          <cell r="EB983">
            <v>0</v>
          </cell>
          <cell r="EC983">
            <v>0</v>
          </cell>
          <cell r="ED983">
            <v>0</v>
          </cell>
        </row>
        <row r="984"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  <cell r="CF984">
            <v>0</v>
          </cell>
          <cell r="CG984">
            <v>0</v>
          </cell>
          <cell r="CH984">
            <v>0</v>
          </cell>
          <cell r="CI984">
            <v>0</v>
          </cell>
          <cell r="CJ984">
            <v>0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0</v>
          </cell>
          <cell r="CU984">
            <v>0</v>
          </cell>
          <cell r="CV984">
            <v>0</v>
          </cell>
          <cell r="CW984">
            <v>0</v>
          </cell>
          <cell r="CX984">
            <v>0</v>
          </cell>
          <cell r="CY984">
            <v>0</v>
          </cell>
          <cell r="CZ984">
            <v>0</v>
          </cell>
          <cell r="DA984">
            <v>0</v>
          </cell>
          <cell r="DB984">
            <v>0</v>
          </cell>
          <cell r="DC984">
            <v>0</v>
          </cell>
          <cell r="DD984">
            <v>0</v>
          </cell>
          <cell r="DE984">
            <v>0</v>
          </cell>
          <cell r="DF984">
            <v>0</v>
          </cell>
          <cell r="DG984">
            <v>0</v>
          </cell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T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  <cell r="CF985">
            <v>0</v>
          </cell>
          <cell r="CG985">
            <v>0</v>
          </cell>
          <cell r="CH985">
            <v>0</v>
          </cell>
          <cell r="CI985">
            <v>0</v>
          </cell>
          <cell r="CJ985">
            <v>0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0</v>
          </cell>
          <cell r="CU985">
            <v>0</v>
          </cell>
          <cell r="CV985">
            <v>0</v>
          </cell>
          <cell r="CW985">
            <v>0</v>
          </cell>
          <cell r="CX985">
            <v>0</v>
          </cell>
          <cell r="CY985">
            <v>0</v>
          </cell>
          <cell r="CZ985">
            <v>0</v>
          </cell>
          <cell r="DA985">
            <v>0</v>
          </cell>
          <cell r="DB985">
            <v>0</v>
          </cell>
          <cell r="DC985">
            <v>0</v>
          </cell>
          <cell r="DD985">
            <v>0</v>
          </cell>
          <cell r="DE985">
            <v>0</v>
          </cell>
          <cell r="DF985">
            <v>0</v>
          </cell>
          <cell r="DG985">
            <v>0</v>
          </cell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T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  <cell r="BO986">
            <v>0</v>
          </cell>
          <cell r="BP986">
            <v>0</v>
          </cell>
          <cell r="BQ986">
            <v>0</v>
          </cell>
          <cell r="BR986">
            <v>0</v>
          </cell>
          <cell r="BS986">
            <v>0</v>
          </cell>
          <cell r="BT986">
            <v>0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  <cell r="CF986">
            <v>0</v>
          </cell>
          <cell r="CG986">
            <v>0</v>
          </cell>
          <cell r="CH986">
            <v>0</v>
          </cell>
          <cell r="CI986">
            <v>0</v>
          </cell>
          <cell r="CJ986">
            <v>0</v>
          </cell>
          <cell r="CK986">
            <v>0</v>
          </cell>
          <cell r="CL986">
            <v>0</v>
          </cell>
          <cell r="CM986">
            <v>0</v>
          </cell>
          <cell r="CN986">
            <v>0</v>
          </cell>
          <cell r="CO986">
            <v>0</v>
          </cell>
          <cell r="CP986">
            <v>0</v>
          </cell>
          <cell r="CQ986">
            <v>0</v>
          </cell>
          <cell r="CR986">
            <v>0</v>
          </cell>
          <cell r="CS986">
            <v>0</v>
          </cell>
          <cell r="CT986">
            <v>0</v>
          </cell>
          <cell r="CU986">
            <v>0</v>
          </cell>
          <cell r="CV986">
            <v>0</v>
          </cell>
          <cell r="CW986">
            <v>0</v>
          </cell>
          <cell r="CX986">
            <v>0</v>
          </cell>
          <cell r="CY986">
            <v>0</v>
          </cell>
          <cell r="CZ986">
            <v>0</v>
          </cell>
          <cell r="DA986">
            <v>0</v>
          </cell>
          <cell r="DB986">
            <v>0</v>
          </cell>
          <cell r="DC986">
            <v>0</v>
          </cell>
          <cell r="DD986">
            <v>0</v>
          </cell>
          <cell r="DE986">
            <v>0</v>
          </cell>
          <cell r="DF986">
            <v>0</v>
          </cell>
          <cell r="DG986">
            <v>0</v>
          </cell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T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0</v>
          </cell>
          <cell r="BJ987">
            <v>0</v>
          </cell>
          <cell r="BK987">
            <v>0</v>
          </cell>
          <cell r="BL987">
            <v>0</v>
          </cell>
          <cell r="BM987">
            <v>0</v>
          </cell>
          <cell r="BN987">
            <v>0</v>
          </cell>
          <cell r="BO987">
            <v>0</v>
          </cell>
          <cell r="BP987">
            <v>0</v>
          </cell>
          <cell r="BQ987">
            <v>0</v>
          </cell>
          <cell r="BR987">
            <v>0</v>
          </cell>
          <cell r="BS987">
            <v>0</v>
          </cell>
          <cell r="BT987">
            <v>0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G987">
            <v>0</v>
          </cell>
          <cell r="CH987">
            <v>0</v>
          </cell>
          <cell r="CI987">
            <v>0</v>
          </cell>
          <cell r="CJ987">
            <v>0</v>
          </cell>
          <cell r="CK987">
            <v>0</v>
          </cell>
          <cell r="CL987">
            <v>0</v>
          </cell>
          <cell r="CM987">
            <v>0</v>
          </cell>
          <cell r="CN987">
            <v>0</v>
          </cell>
          <cell r="CO987">
            <v>0</v>
          </cell>
          <cell r="CP987">
            <v>0</v>
          </cell>
          <cell r="CQ987">
            <v>0</v>
          </cell>
          <cell r="CR987">
            <v>0</v>
          </cell>
          <cell r="CS987">
            <v>0</v>
          </cell>
          <cell r="CT987">
            <v>0</v>
          </cell>
          <cell r="CU987">
            <v>0</v>
          </cell>
          <cell r="CV987">
            <v>0</v>
          </cell>
          <cell r="CW987">
            <v>0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  <cell r="DD987">
            <v>0</v>
          </cell>
          <cell r="DE987">
            <v>0</v>
          </cell>
          <cell r="DF987">
            <v>0</v>
          </cell>
          <cell r="DG987">
            <v>0</v>
          </cell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T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0</v>
          </cell>
          <cell r="BJ988">
            <v>0</v>
          </cell>
          <cell r="BK988">
            <v>0</v>
          </cell>
          <cell r="BL988">
            <v>0</v>
          </cell>
          <cell r="BM988">
            <v>0</v>
          </cell>
          <cell r="BN988">
            <v>0</v>
          </cell>
          <cell r="BO988">
            <v>0</v>
          </cell>
          <cell r="BP988">
            <v>0</v>
          </cell>
          <cell r="BQ988">
            <v>0</v>
          </cell>
          <cell r="BR988">
            <v>0</v>
          </cell>
          <cell r="BS988">
            <v>0</v>
          </cell>
          <cell r="BT988">
            <v>0</v>
          </cell>
          <cell r="BU988">
            <v>0</v>
          </cell>
          <cell r="BV988">
            <v>0</v>
          </cell>
          <cell r="BW988">
            <v>0</v>
          </cell>
          <cell r="BX988">
            <v>0</v>
          </cell>
          <cell r="BY988">
            <v>0</v>
          </cell>
          <cell r="BZ988">
            <v>0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  <cell r="CF988">
            <v>0</v>
          </cell>
          <cell r="CG988">
            <v>0</v>
          </cell>
          <cell r="CH988">
            <v>0</v>
          </cell>
          <cell r="CI988">
            <v>0</v>
          </cell>
          <cell r="CJ988">
            <v>0</v>
          </cell>
          <cell r="CK988">
            <v>0</v>
          </cell>
          <cell r="CL988">
            <v>0</v>
          </cell>
          <cell r="CM988">
            <v>0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0</v>
          </cell>
          <cell r="CX988">
            <v>0</v>
          </cell>
          <cell r="CY988">
            <v>0</v>
          </cell>
          <cell r="CZ988">
            <v>0</v>
          </cell>
          <cell r="DA988">
            <v>0</v>
          </cell>
          <cell r="DB988">
            <v>0</v>
          </cell>
          <cell r="DC988">
            <v>0</v>
          </cell>
          <cell r="DD988">
            <v>0</v>
          </cell>
          <cell r="DE988">
            <v>0</v>
          </cell>
          <cell r="DF988">
            <v>0</v>
          </cell>
          <cell r="DG988">
            <v>0</v>
          </cell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T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  <cell r="DD990">
            <v>0</v>
          </cell>
          <cell r="DE990">
            <v>0</v>
          </cell>
          <cell r="DF990">
            <v>0</v>
          </cell>
          <cell r="DG990">
            <v>0</v>
          </cell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T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  <cell r="DD991">
            <v>0</v>
          </cell>
          <cell r="DE991">
            <v>0</v>
          </cell>
          <cell r="DF991">
            <v>0</v>
          </cell>
          <cell r="DG991">
            <v>0</v>
          </cell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T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0</v>
          </cell>
          <cell r="BT992">
            <v>0</v>
          </cell>
          <cell r="BU992">
            <v>0</v>
          </cell>
          <cell r="BV992">
            <v>0</v>
          </cell>
          <cell r="BW992">
            <v>0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0</v>
          </cell>
          <cell r="CH992">
            <v>0</v>
          </cell>
          <cell r="CI992">
            <v>0</v>
          </cell>
          <cell r="CJ992">
            <v>0</v>
          </cell>
          <cell r="CK992">
            <v>0</v>
          </cell>
          <cell r="CL992">
            <v>0</v>
          </cell>
          <cell r="CM992">
            <v>0</v>
          </cell>
          <cell r="CN992">
            <v>0</v>
          </cell>
          <cell r="CO992">
            <v>0</v>
          </cell>
          <cell r="CP992">
            <v>0</v>
          </cell>
          <cell r="CQ992">
            <v>0</v>
          </cell>
          <cell r="CR992">
            <v>0</v>
          </cell>
          <cell r="CS992">
            <v>0</v>
          </cell>
          <cell r="CT992">
            <v>0</v>
          </cell>
          <cell r="CU992">
            <v>0</v>
          </cell>
          <cell r="CV992">
            <v>0</v>
          </cell>
          <cell r="CW992">
            <v>0</v>
          </cell>
          <cell r="CX992">
            <v>0</v>
          </cell>
          <cell r="CY992">
            <v>0</v>
          </cell>
          <cell r="CZ992">
            <v>0</v>
          </cell>
          <cell r="DA992">
            <v>0</v>
          </cell>
          <cell r="DB992">
            <v>0</v>
          </cell>
          <cell r="DC992">
            <v>0</v>
          </cell>
          <cell r="DD992">
            <v>0</v>
          </cell>
          <cell r="DE992">
            <v>0</v>
          </cell>
          <cell r="DF992">
            <v>0</v>
          </cell>
          <cell r="DG992">
            <v>0</v>
          </cell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T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0</v>
          </cell>
          <cell r="BQ993">
            <v>0</v>
          </cell>
          <cell r="BR993">
            <v>0</v>
          </cell>
          <cell r="BS993">
            <v>0</v>
          </cell>
          <cell r="BT993">
            <v>0</v>
          </cell>
          <cell r="BU993">
            <v>0</v>
          </cell>
          <cell r="BV993">
            <v>0</v>
          </cell>
          <cell r="BW993">
            <v>0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  <cell r="DD993">
            <v>0</v>
          </cell>
          <cell r="DE993">
            <v>0</v>
          </cell>
          <cell r="DF993">
            <v>0</v>
          </cell>
          <cell r="DG993">
            <v>0</v>
          </cell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T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0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0</v>
          </cell>
          <cell r="BQ994">
            <v>0</v>
          </cell>
          <cell r="BR994">
            <v>0</v>
          </cell>
          <cell r="BS994">
            <v>0</v>
          </cell>
          <cell r="BT994">
            <v>0</v>
          </cell>
          <cell r="BU994">
            <v>0</v>
          </cell>
          <cell r="BV994">
            <v>0</v>
          </cell>
          <cell r="BW994">
            <v>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0</v>
          </cell>
          <cell r="CH994">
            <v>0</v>
          </cell>
          <cell r="CI994">
            <v>0</v>
          </cell>
          <cell r="CJ994">
            <v>0</v>
          </cell>
          <cell r="CK994">
            <v>0</v>
          </cell>
          <cell r="CL994">
            <v>0</v>
          </cell>
          <cell r="CM994">
            <v>0</v>
          </cell>
          <cell r="CN994">
            <v>0</v>
          </cell>
          <cell r="CO994">
            <v>0</v>
          </cell>
          <cell r="CP994">
            <v>0</v>
          </cell>
          <cell r="CQ994">
            <v>0</v>
          </cell>
          <cell r="CR994">
            <v>0</v>
          </cell>
          <cell r="CS994">
            <v>0</v>
          </cell>
          <cell r="CT994">
            <v>0</v>
          </cell>
          <cell r="CU994">
            <v>0</v>
          </cell>
          <cell r="CV994">
            <v>0</v>
          </cell>
          <cell r="CW994">
            <v>0</v>
          </cell>
          <cell r="CX994">
            <v>0</v>
          </cell>
          <cell r="CY994">
            <v>0</v>
          </cell>
          <cell r="CZ994">
            <v>0</v>
          </cell>
          <cell r="DA994">
            <v>0</v>
          </cell>
          <cell r="DB994">
            <v>0</v>
          </cell>
          <cell r="DC994">
            <v>0</v>
          </cell>
          <cell r="DD994">
            <v>0</v>
          </cell>
          <cell r="DE994">
            <v>0</v>
          </cell>
          <cell r="DF994">
            <v>0</v>
          </cell>
          <cell r="DG994">
            <v>0</v>
          </cell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T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  <cell r="BD995">
            <v>0</v>
          </cell>
          <cell r="BE995">
            <v>0</v>
          </cell>
          <cell r="BF995">
            <v>0</v>
          </cell>
          <cell r="BG995">
            <v>0</v>
          </cell>
          <cell r="BH995">
            <v>0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0</v>
          </cell>
          <cell r="BN995">
            <v>0</v>
          </cell>
          <cell r="BO995">
            <v>0</v>
          </cell>
          <cell r="BP995">
            <v>0</v>
          </cell>
          <cell r="BQ995">
            <v>0</v>
          </cell>
          <cell r="BR995">
            <v>0</v>
          </cell>
          <cell r="BS995">
            <v>0</v>
          </cell>
          <cell r="BT995">
            <v>0</v>
          </cell>
          <cell r="BU995">
            <v>0</v>
          </cell>
          <cell r="BV995">
            <v>0</v>
          </cell>
          <cell r="BW995">
            <v>0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0</v>
          </cell>
          <cell r="CH995">
            <v>0</v>
          </cell>
          <cell r="CI995">
            <v>0</v>
          </cell>
          <cell r="CJ995">
            <v>0</v>
          </cell>
          <cell r="CK995">
            <v>0</v>
          </cell>
          <cell r="CL995">
            <v>0</v>
          </cell>
          <cell r="CM995">
            <v>0</v>
          </cell>
          <cell r="CN995">
            <v>0</v>
          </cell>
          <cell r="CO995">
            <v>0</v>
          </cell>
          <cell r="CP995">
            <v>0</v>
          </cell>
          <cell r="CQ995">
            <v>0</v>
          </cell>
          <cell r="CR995">
            <v>0</v>
          </cell>
          <cell r="CS995">
            <v>0</v>
          </cell>
          <cell r="CT995">
            <v>0</v>
          </cell>
          <cell r="CU995">
            <v>0</v>
          </cell>
          <cell r="CV995">
            <v>0</v>
          </cell>
          <cell r="CW995">
            <v>0</v>
          </cell>
          <cell r="CX995">
            <v>0</v>
          </cell>
          <cell r="CY995">
            <v>0</v>
          </cell>
          <cell r="CZ995">
            <v>0</v>
          </cell>
          <cell r="DA995">
            <v>0</v>
          </cell>
          <cell r="DB995">
            <v>0</v>
          </cell>
          <cell r="DC995">
            <v>0</v>
          </cell>
          <cell r="DD995">
            <v>0</v>
          </cell>
          <cell r="DE995">
            <v>0</v>
          </cell>
          <cell r="DF995">
            <v>0</v>
          </cell>
          <cell r="DG995">
            <v>0</v>
          </cell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T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  <cell r="DD996">
            <v>0</v>
          </cell>
          <cell r="DE996">
            <v>0</v>
          </cell>
          <cell r="DF996">
            <v>0</v>
          </cell>
          <cell r="DG996">
            <v>0</v>
          </cell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T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0</v>
          </cell>
          <cell r="BJ997">
            <v>0</v>
          </cell>
          <cell r="BK997">
            <v>0</v>
          </cell>
          <cell r="BL997">
            <v>0</v>
          </cell>
          <cell r="BM997">
            <v>0</v>
          </cell>
          <cell r="BN997">
            <v>0</v>
          </cell>
          <cell r="BO997">
            <v>0</v>
          </cell>
          <cell r="BP997">
            <v>0</v>
          </cell>
          <cell r="BQ997">
            <v>0</v>
          </cell>
          <cell r="BR997">
            <v>0</v>
          </cell>
          <cell r="BS997">
            <v>0</v>
          </cell>
          <cell r="BT997">
            <v>0</v>
          </cell>
          <cell r="BU997">
            <v>0</v>
          </cell>
          <cell r="BV997">
            <v>0</v>
          </cell>
          <cell r="BW997">
            <v>0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0</v>
          </cell>
          <cell r="CH997">
            <v>0</v>
          </cell>
          <cell r="CI997">
            <v>0</v>
          </cell>
          <cell r="CJ997">
            <v>0</v>
          </cell>
          <cell r="CK997">
            <v>0</v>
          </cell>
          <cell r="CL997">
            <v>0</v>
          </cell>
          <cell r="CM997">
            <v>0</v>
          </cell>
          <cell r="CN997">
            <v>0</v>
          </cell>
          <cell r="CO997">
            <v>0</v>
          </cell>
          <cell r="CP997">
            <v>0</v>
          </cell>
          <cell r="CQ997">
            <v>0</v>
          </cell>
          <cell r="CR997">
            <v>0</v>
          </cell>
          <cell r="CS997">
            <v>0</v>
          </cell>
          <cell r="CT997">
            <v>0</v>
          </cell>
          <cell r="CU997">
            <v>0</v>
          </cell>
          <cell r="CV997">
            <v>0</v>
          </cell>
          <cell r="CW997">
            <v>0</v>
          </cell>
          <cell r="CX997">
            <v>0</v>
          </cell>
          <cell r="CY997">
            <v>0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  <cell r="DD997">
            <v>0</v>
          </cell>
          <cell r="DE997">
            <v>0</v>
          </cell>
          <cell r="DF997">
            <v>0</v>
          </cell>
          <cell r="DG997">
            <v>0</v>
          </cell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T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</row>
      </sheetData>
      <sheetData sheetId="8">
        <row r="3">
          <cell r="F3">
            <v>43466</v>
          </cell>
        </row>
        <row r="84">
          <cell r="EI84" t="str">
            <v>QF - 434 - UT - Gas</v>
          </cell>
          <cell r="EK84" t="str">
            <v>Not Used</v>
          </cell>
          <cell r="EM84" t="str">
            <v>Not Used</v>
          </cell>
          <cell r="EO84" t="str">
            <v>Not Used</v>
          </cell>
          <cell r="EQ84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Z86"/>
  <sheetViews>
    <sheetView tabSelected="1" topLeftCell="A5" zoomScale="80" zoomScaleNormal="80" workbookViewId="0">
      <selection activeCell="E11" sqref="E11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3.8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6">
        <v>0</v>
      </c>
      <c r="CY3" t="s">
        <v>109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f>MATCH('Table 5'!K6,'Table 5'!$B$12:$B$264,FALSE)+ROW('Table 5'!B11)</f>
        <v>24</v>
      </c>
      <c r="P4" s="183" t="s">
        <v>60</v>
      </c>
      <c r="Q4" s="183"/>
      <c r="CX4">
        <v>750</v>
      </c>
      <c r="CY4" t="s">
        <v>110</v>
      </c>
    </row>
    <row r="5" spans="2:103" customFormat="1" ht="15.75">
      <c r="B5" s="4" t="str">
        <f ca="1">'Table 5'!M4&amp; " - "&amp;TEXT(Study_MW,"#.0")&amp;" MW and "&amp;TEXT(Study_CF,"#.0%")&amp;" CF"</f>
        <v>Kennecott Refinery Non Firm - 6.2 MW and 85.0% CF</v>
      </c>
      <c r="C5" s="4"/>
      <c r="D5" s="4"/>
      <c r="E5" s="4"/>
      <c r="F5" s="4"/>
      <c r="G5" s="1"/>
      <c r="H5" s="36"/>
      <c r="I5" s="5"/>
      <c r="P5" s="184">
        <v>0.158</v>
      </c>
      <c r="Q5" s="184">
        <v>0.158</v>
      </c>
      <c r="R5" s="184">
        <v>0.158</v>
      </c>
      <c r="S5" s="184">
        <v>0.158</v>
      </c>
      <c r="T5" s="184">
        <v>0.158</v>
      </c>
      <c r="U5" s="184">
        <v>0.11776428835036618</v>
      </c>
      <c r="V5" s="184">
        <v>0.11776428835036618</v>
      </c>
      <c r="W5" s="184">
        <v>0.11776428835036618</v>
      </c>
      <c r="X5" s="184">
        <v>0.158</v>
      </c>
      <c r="Y5" s="184">
        <v>0.158</v>
      </c>
      <c r="Z5" s="184">
        <v>0.53861399146353772</v>
      </c>
      <c r="AA5" s="184">
        <v>0.53861399146353772</v>
      </c>
      <c r="AB5" s="184">
        <v>0.53861399146353772</v>
      </c>
      <c r="AC5" s="184">
        <v>0.59672377662708742</v>
      </c>
      <c r="AD5" s="184">
        <v>0.59672377662708742</v>
      </c>
      <c r="AE5" s="184">
        <v>0.37912293315598289</v>
      </c>
      <c r="AF5" s="184">
        <v>0.64803174039612643</v>
      </c>
      <c r="AG5" s="184">
        <v>0.64803174039612643</v>
      </c>
      <c r="AH5" s="184">
        <v>0.64803174039612643</v>
      </c>
      <c r="AI5" s="184">
        <v>0.64803174039612643</v>
      </c>
      <c r="AJ5" s="184"/>
      <c r="CX5" s="194">
        <f>$CX$3*$CX$4</f>
        <v>0</v>
      </c>
      <c r="CY5" t="s">
        <v>105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41" customFormat="1" ht="40.5" customHeight="1">
      <c r="B8" s="229"/>
      <c r="C8" s="229"/>
      <c r="D8" s="229"/>
      <c r="E8" s="231"/>
      <c r="F8" s="232"/>
      <c r="G8" s="230" t="s">
        <v>14</v>
      </c>
      <c r="H8" s="234"/>
      <c r="I8" s="244"/>
      <c r="K8" s="245" t="s">
        <v>60</v>
      </c>
      <c r="L8" s="245"/>
      <c r="P8" s="246" t="s">
        <v>91</v>
      </c>
      <c r="Q8" s="246"/>
      <c r="S8" s="248" t="s">
        <v>167</v>
      </c>
      <c r="T8" s="248" t="s">
        <v>168</v>
      </c>
      <c r="X8" s="248" t="s">
        <v>165</v>
      </c>
      <c r="Y8" s="248" t="s">
        <v>166</v>
      </c>
      <c r="Z8" s="241" t="s">
        <v>158</v>
      </c>
      <c r="AA8" s="241" t="s">
        <v>149</v>
      </c>
      <c r="AB8" s="241" t="s">
        <v>150</v>
      </c>
      <c r="AC8" s="241" t="s">
        <v>151</v>
      </c>
      <c r="AD8" s="241" t="s">
        <v>152</v>
      </c>
      <c r="AE8" s="241" t="s">
        <v>153</v>
      </c>
      <c r="AF8" s="241" t="s">
        <v>161</v>
      </c>
      <c r="AG8" s="241" t="s">
        <v>155</v>
      </c>
      <c r="AH8" s="241" t="s">
        <v>156</v>
      </c>
      <c r="AI8" s="241" t="s">
        <v>157</v>
      </c>
      <c r="AK8" s="246" t="s">
        <v>92</v>
      </c>
      <c r="AL8" s="246"/>
      <c r="AN8" s="248" t="s">
        <v>167</v>
      </c>
      <c r="AO8" s="248" t="s">
        <v>168</v>
      </c>
      <c r="AS8" s="248" t="s">
        <v>165</v>
      </c>
      <c r="AT8" s="248" t="s">
        <v>166</v>
      </c>
      <c r="AU8" s="241" t="str">
        <f t="shared" ref="AU8:BD9" si="0">Z8</f>
        <v>IRP17 Yakima Solar2030</v>
      </c>
      <c r="AV8" s="241" t="str">
        <f t="shared" si="0"/>
        <v>IRP17 Yakima Solar2032</v>
      </c>
      <c r="AW8" s="241" t="str">
        <f t="shared" si="0"/>
        <v>IRP17 Yakima Solar2033</v>
      </c>
      <c r="AX8" s="241" t="str">
        <f t="shared" si="0"/>
        <v>IRP17 Utah South Solar T2033</v>
      </c>
      <c r="AY8" s="241" t="str">
        <f t="shared" si="0"/>
        <v>IRP17 Utah South Solar T2035</v>
      </c>
      <c r="AZ8" s="241" t="str">
        <f t="shared" si="0"/>
        <v>IRP17 Utah South Solar F2035</v>
      </c>
      <c r="BA8" s="241" t="str">
        <f t="shared" si="0"/>
        <v>IRP17 SOregonCal Solar2030</v>
      </c>
      <c r="BB8" s="241" t="str">
        <f t="shared" si="0"/>
        <v>IRP17 SOregonCal Solar2031</v>
      </c>
      <c r="BC8" s="241" t="str">
        <f t="shared" si="0"/>
        <v>IRP17 SOregonCal Solar2032</v>
      </c>
      <c r="BD8" s="241" t="str">
        <f t="shared" si="0"/>
        <v>IRP17 SOregonCal Solar2033</v>
      </c>
      <c r="BF8" s="246" t="s">
        <v>93</v>
      </c>
      <c r="BG8" s="246"/>
      <c r="BJ8" s="248"/>
      <c r="BO8" s="248"/>
      <c r="CA8" s="246" t="s">
        <v>94</v>
      </c>
      <c r="CB8" s="246"/>
      <c r="CE8" s="251"/>
      <c r="CJ8" s="251"/>
      <c r="CX8" s="209" t="s">
        <v>93</v>
      </c>
      <c r="CY8" s="210" t="s">
        <v>94</v>
      </c>
    </row>
    <row r="9" spans="2:103" s="220" customFormat="1" ht="76.5" customHeight="1">
      <c r="B9" s="229"/>
      <c r="C9" s="230" t="s">
        <v>6</v>
      </c>
      <c r="D9" s="230"/>
      <c r="E9" s="231" t="s">
        <v>19</v>
      </c>
      <c r="F9" s="232"/>
      <c r="G9" s="233">
        <f ca="1">Study_CF</f>
        <v>0.84999999999999987</v>
      </c>
      <c r="H9" s="234"/>
      <c r="I9" s="235"/>
      <c r="K9" s="236" t="s">
        <v>61</v>
      </c>
      <c r="L9" s="236" t="s">
        <v>54</v>
      </c>
      <c r="M9" s="237" t="s">
        <v>95</v>
      </c>
      <c r="P9" s="220" t="s">
        <v>90</v>
      </c>
      <c r="Q9" s="220" t="s">
        <v>139</v>
      </c>
      <c r="R9" s="220" t="s">
        <v>86</v>
      </c>
      <c r="S9" s="220" t="s">
        <v>87</v>
      </c>
      <c r="T9" s="248" t="s">
        <v>87</v>
      </c>
      <c r="U9" s="220" t="s">
        <v>142</v>
      </c>
      <c r="V9" s="220" t="s">
        <v>143</v>
      </c>
      <c r="W9" s="220" t="s">
        <v>144</v>
      </c>
      <c r="X9" s="220" t="s">
        <v>141</v>
      </c>
      <c r="Y9" s="248" t="s">
        <v>141</v>
      </c>
      <c r="Z9" s="220" t="s">
        <v>89</v>
      </c>
      <c r="AA9" s="241" t="s">
        <v>89</v>
      </c>
      <c r="AB9" s="241" t="s">
        <v>89</v>
      </c>
      <c r="AC9" s="220" t="s">
        <v>146</v>
      </c>
      <c r="AD9" s="241" t="s">
        <v>146</v>
      </c>
      <c r="AE9" s="241" t="s">
        <v>160</v>
      </c>
      <c r="AF9" s="241" t="s">
        <v>140</v>
      </c>
      <c r="AG9" s="241" t="s">
        <v>140</v>
      </c>
      <c r="AH9" s="241" t="s">
        <v>140</v>
      </c>
      <c r="AI9" s="220" t="s">
        <v>140</v>
      </c>
      <c r="AJ9" s="239"/>
      <c r="AK9" s="220" t="str">
        <f t="shared" ref="AK9:AT9" si="1">P9</f>
        <v>IRP17 Aeolus Wind</v>
      </c>
      <c r="AL9" s="220" t="str">
        <f t="shared" si="1"/>
        <v>IRP17 WYAE WindCDR2021</v>
      </c>
      <c r="AM9" s="220" t="str">
        <f t="shared" si="1"/>
        <v>IRP17 Dave Johnston Wind</v>
      </c>
      <c r="AN9" s="220" t="str">
        <f t="shared" si="1"/>
        <v>IRP17 Goshen Wind 2</v>
      </c>
      <c r="AO9" s="248" t="str">
        <f t="shared" si="1"/>
        <v>IRP17 Goshen Wind 2</v>
      </c>
      <c r="AP9" s="220" t="str">
        <f t="shared" si="1"/>
        <v>IRP17 WallaW Wind</v>
      </c>
      <c r="AQ9" s="220" t="str">
        <f t="shared" si="1"/>
        <v>IRP17 Yakima Wind</v>
      </c>
      <c r="AR9" s="220" t="str">
        <f t="shared" si="1"/>
        <v>IRP17 S Oregon Wind</v>
      </c>
      <c r="AS9" s="220" t="str">
        <f t="shared" si="1"/>
        <v>IRP17 UT Wind</v>
      </c>
      <c r="AT9" s="248" t="str">
        <f t="shared" si="1"/>
        <v>IRP17 UT Wind</v>
      </c>
      <c r="AU9" s="220" t="str">
        <f t="shared" si="0"/>
        <v>IRP17 Yakima Solar</v>
      </c>
      <c r="AV9" s="241" t="str">
        <f t="shared" si="0"/>
        <v>IRP17 Yakima Solar</v>
      </c>
      <c r="AW9" s="241" t="str">
        <f t="shared" si="0"/>
        <v>IRP17 Yakima Solar</v>
      </c>
      <c r="AX9" s="241" t="str">
        <f t="shared" si="0"/>
        <v>IRP17 Utah South Solar T</v>
      </c>
      <c r="AY9" s="241" t="str">
        <f t="shared" si="0"/>
        <v>IRP17 Utah South Solar T</v>
      </c>
      <c r="AZ9" s="241" t="str">
        <f t="shared" si="0"/>
        <v>IRP17 Utah South Solar F</v>
      </c>
      <c r="BA9" s="241" t="str">
        <f t="shared" si="0"/>
        <v>IRP17 SOregonCal Solar</v>
      </c>
      <c r="BB9" s="241" t="str">
        <f t="shared" si="0"/>
        <v>IRP17 SOregonCal Solar</v>
      </c>
      <c r="BC9" s="241" t="str">
        <f t="shared" si="0"/>
        <v>IRP17 SOregonCal Solar</v>
      </c>
      <c r="BD9" s="241" t="str">
        <f t="shared" si="0"/>
        <v>IRP17 SOregonCal Solar</v>
      </c>
      <c r="BF9" s="220" t="str">
        <f>P9</f>
        <v>IRP17 Aeolus Wind</v>
      </c>
      <c r="BG9" s="220" t="str">
        <f>Q9</f>
        <v>IRP17 WYAE WindCDR2021</v>
      </c>
      <c r="BH9" s="220" t="str">
        <f>R9</f>
        <v>IRP17 Dave Johnston Wind</v>
      </c>
      <c r="BI9" s="249" t="str">
        <f>S8</f>
        <v>IRP17 Goshen Wind 2 2030</v>
      </c>
      <c r="BJ9" s="249" t="str">
        <f>T8</f>
        <v>IRP17 Goshen Wind 2 2033</v>
      </c>
      <c r="BK9" s="220" t="str">
        <f>U9</f>
        <v>IRP17 WallaW Wind</v>
      </c>
      <c r="BL9" s="220" t="str">
        <f>V9</f>
        <v>IRP17 Yakima Wind</v>
      </c>
      <c r="BM9" s="220" t="str">
        <f>W9</f>
        <v>IRP17 S Oregon Wind</v>
      </c>
      <c r="BN9" s="249" t="str">
        <f>X8</f>
        <v>IRP17 UT Wind 2030</v>
      </c>
      <c r="BO9" s="249" t="str">
        <f>Y8</f>
        <v>IRP17 UT Wind 2036</v>
      </c>
      <c r="BP9" s="243" t="s">
        <v>148</v>
      </c>
      <c r="BQ9" s="243" t="s">
        <v>149</v>
      </c>
      <c r="BR9" s="243" t="s">
        <v>150</v>
      </c>
      <c r="BS9" s="243" t="s">
        <v>151</v>
      </c>
      <c r="BT9" s="243" t="s">
        <v>152</v>
      </c>
      <c r="BU9" s="243" t="s">
        <v>153</v>
      </c>
      <c r="BV9" s="243" t="s">
        <v>154</v>
      </c>
      <c r="BW9" s="243" t="s">
        <v>155</v>
      </c>
      <c r="BX9" s="243" t="s">
        <v>156</v>
      </c>
      <c r="BY9" s="243" t="s">
        <v>157</v>
      </c>
      <c r="CA9" s="220" t="str">
        <f t="shared" ref="CA9:CT9" si="2">BF9</f>
        <v>IRP17 Aeolus Wind</v>
      </c>
      <c r="CB9" s="241" t="str">
        <f t="shared" si="2"/>
        <v>IRP17 WYAE WindCDR2021</v>
      </c>
      <c r="CC9" s="241" t="str">
        <f t="shared" si="2"/>
        <v>IRP17 Dave Johnston Wind</v>
      </c>
      <c r="CD9" s="241" t="str">
        <f t="shared" si="2"/>
        <v>IRP17 Goshen Wind 2 2030</v>
      </c>
      <c r="CE9" s="249" t="str">
        <f t="shared" si="2"/>
        <v>IRP17 Goshen Wind 2 2033</v>
      </c>
      <c r="CF9" s="241" t="str">
        <f t="shared" si="2"/>
        <v>IRP17 WallaW Wind</v>
      </c>
      <c r="CG9" s="241" t="str">
        <f t="shared" si="2"/>
        <v>IRP17 Yakima Wind</v>
      </c>
      <c r="CH9" s="241" t="str">
        <f t="shared" si="2"/>
        <v>IRP17 S Oregon Wind</v>
      </c>
      <c r="CI9" s="241" t="str">
        <f t="shared" si="2"/>
        <v>IRP17 UT Wind 2030</v>
      </c>
      <c r="CJ9" s="249" t="str">
        <f t="shared" si="2"/>
        <v>IRP17 UT Wind 2036</v>
      </c>
      <c r="CK9" s="241" t="str">
        <f t="shared" si="2"/>
        <v xml:space="preserve">IRP17 Yakima Solar2030 </v>
      </c>
      <c r="CL9" s="241" t="str">
        <f t="shared" si="2"/>
        <v>IRP17 Yakima Solar2032</v>
      </c>
      <c r="CM9" s="241" t="str">
        <f t="shared" si="2"/>
        <v>IRP17 Yakima Solar2033</v>
      </c>
      <c r="CN9" s="241" t="str">
        <f t="shared" si="2"/>
        <v>IRP17 Utah South Solar T2033</v>
      </c>
      <c r="CO9" s="241" t="str">
        <f t="shared" si="2"/>
        <v>IRP17 Utah South Solar T2035</v>
      </c>
      <c r="CP9" s="241" t="str">
        <f t="shared" si="2"/>
        <v>IRP17 Utah South Solar F2035</v>
      </c>
      <c r="CQ9" s="241" t="str">
        <f t="shared" si="2"/>
        <v>IRP17 SOregonCal Solar2030'</v>
      </c>
      <c r="CR9" s="241" t="str">
        <f t="shared" si="2"/>
        <v>IRP17 SOregonCal Solar2031</v>
      </c>
      <c r="CS9" s="241" t="str">
        <f t="shared" si="2"/>
        <v>IRP17 SOregonCal Solar2032</v>
      </c>
      <c r="CT9" s="241" t="str">
        <f t="shared" si="2"/>
        <v>IRP17 SOregonCal Solar2033</v>
      </c>
      <c r="CU9" s="220" t="s">
        <v>96</v>
      </c>
      <c r="CX9" s="220" t="s">
        <v>106</v>
      </c>
      <c r="CY9" s="220" t="s">
        <v>106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90"/>
      <c r="K10" s="113"/>
      <c r="L10" s="113"/>
      <c r="M10" s="185"/>
    </row>
    <row r="11" spans="2:103" customFormat="1" ht="13.5">
      <c r="B11" s="6"/>
      <c r="C11" s="6" t="s">
        <v>17</v>
      </c>
      <c r="D11" s="6"/>
      <c r="E11" s="85" t="s">
        <v>56</v>
      </c>
      <c r="F11" s="39"/>
      <c r="G11" s="12" t="s">
        <v>33</v>
      </c>
      <c r="H11" s="36"/>
      <c r="I11" s="90"/>
      <c r="K11" s="114" t="s">
        <v>62</v>
      </c>
      <c r="L11" s="115">
        <v>0.158</v>
      </c>
      <c r="M11" s="115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H11" t="s">
        <v>34</v>
      </c>
      <c r="AI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B11" t="s">
        <v>34</v>
      </c>
      <c r="BC11" t="s">
        <v>34</v>
      </c>
      <c r="BD11" t="s">
        <v>34</v>
      </c>
      <c r="BF11" t="s">
        <v>97</v>
      </c>
      <c r="BG11" t="s">
        <v>97</v>
      </c>
      <c r="BH11" t="s">
        <v>97</v>
      </c>
      <c r="BI11" t="s">
        <v>97</v>
      </c>
      <c r="BK11" t="s">
        <v>97</v>
      </c>
      <c r="BL11" t="s">
        <v>97</v>
      </c>
      <c r="BM11" t="s">
        <v>97</v>
      </c>
      <c r="BN11" t="s">
        <v>97</v>
      </c>
      <c r="BP11" t="s">
        <v>97</v>
      </c>
      <c r="BQ11" t="s">
        <v>97</v>
      </c>
      <c r="BR11" t="s">
        <v>97</v>
      </c>
      <c r="BS11" t="s">
        <v>97</v>
      </c>
      <c r="BT11" t="s">
        <v>97</v>
      </c>
      <c r="BU11" t="s">
        <v>97</v>
      </c>
      <c r="BV11" t="s">
        <v>97</v>
      </c>
      <c r="BW11" t="s">
        <v>97</v>
      </c>
      <c r="BX11" t="s">
        <v>97</v>
      </c>
      <c r="BY11" t="s">
        <v>97</v>
      </c>
      <c r="CA11" t="s">
        <v>98</v>
      </c>
      <c r="CB11" t="s">
        <v>98</v>
      </c>
      <c r="CC11" t="s">
        <v>98</v>
      </c>
      <c r="CD11" t="s">
        <v>98</v>
      </c>
      <c r="CE11" t="s">
        <v>98</v>
      </c>
      <c r="CF11" t="s">
        <v>98</v>
      </c>
      <c r="CG11" t="s">
        <v>98</v>
      </c>
      <c r="CH11" t="s">
        <v>98</v>
      </c>
      <c r="CI11" t="s">
        <v>98</v>
      </c>
      <c r="CJ11" t="s">
        <v>98</v>
      </c>
      <c r="CK11" t="s">
        <v>98</v>
      </c>
      <c r="CL11" t="s">
        <v>98</v>
      </c>
      <c r="CM11" t="s">
        <v>98</v>
      </c>
      <c r="CN11" t="s">
        <v>98</v>
      </c>
      <c r="CO11" t="s">
        <v>98</v>
      </c>
      <c r="CP11" t="s">
        <v>98</v>
      </c>
      <c r="CQ11" t="s">
        <v>98</v>
      </c>
      <c r="CR11" t="s">
        <v>98</v>
      </c>
      <c r="CS11" t="s">
        <v>98</v>
      </c>
      <c r="CT11" t="s">
        <v>98</v>
      </c>
      <c r="CU11" t="s">
        <v>98</v>
      </c>
      <c r="CX11" t="s">
        <v>97</v>
      </c>
      <c r="CY11" t="s">
        <v>98</v>
      </c>
    </row>
    <row r="12" spans="2:103" customFormat="1">
      <c r="B12" s="189"/>
      <c r="C12" s="190"/>
      <c r="D12" s="189"/>
      <c r="E12" s="12"/>
      <c r="F12" s="12"/>
      <c r="G12" s="3"/>
      <c r="H12" s="36"/>
      <c r="I12" s="90"/>
      <c r="K12" s="114" t="s">
        <v>35</v>
      </c>
      <c r="L12" s="115">
        <v>0.37912293315598289</v>
      </c>
      <c r="M12" s="115">
        <v>0.53861399146353772</v>
      </c>
    </row>
    <row r="13" spans="2:103" customFormat="1">
      <c r="B13" s="15">
        <f>'Table 5'!J13</f>
        <v>2019</v>
      </c>
      <c r="C13" s="9">
        <f t="shared" ref="C13:C33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17.408537147788831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17.408537147788831</v>
      </c>
      <c r="H13" s="36"/>
      <c r="I13" s="194"/>
      <c r="J13" s="194"/>
      <c r="K13" s="114" t="s">
        <v>63</v>
      </c>
      <c r="L13" s="115">
        <v>0.59672377662708742</v>
      </c>
      <c r="M13" s="115">
        <v>0.64803174039612643</v>
      </c>
      <c r="O13">
        <f t="shared" ref="O13:O32" si="4">B13</f>
        <v>2019</v>
      </c>
      <c r="P13">
        <v>0</v>
      </c>
      <c r="Q13">
        <v>0</v>
      </c>
      <c r="R13">
        <v>0</v>
      </c>
      <c r="S13" s="194">
        <v>0</v>
      </c>
      <c r="T13" s="194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38.090000000000003</v>
      </c>
      <c r="BG13">
        <f>VLOOKUP($O13,'Table 3 EV2020 Wind_2021'!$B$10:$K$36,10,FALSE)</f>
        <v>38.090000000000003</v>
      </c>
      <c r="BH13">
        <f>VLOOKUP($O13,'Table 3 DJ Wind 2030'!$B$10:$J$36,9,FALSE)</f>
        <v>41.7</v>
      </c>
      <c r="BI13">
        <f>VLOOKUP($O13,'Table 3 ID Wind 2030'!$B$10:$J$36,9,FALSE)</f>
        <v>39.28</v>
      </c>
      <c r="BJ13">
        <f>VLOOKUP($O13,'Table 3 ID Wind 2033'!$B$10:$J$36,9,FALSE)</f>
        <v>39.28</v>
      </c>
      <c r="BK13">
        <f>VLOOKUP($O13,'Table 3 WW Wind 2035'!$B$10:$J$36,9,FALSE)</f>
        <v>39.28</v>
      </c>
      <c r="BL13">
        <f>VLOOKUP($O13,'Table 3 YK Wind 2035'!$B$10:$J$36,9,FALSE)</f>
        <v>39.28</v>
      </c>
      <c r="BM13">
        <f>VLOOKUP($O13,'Table 3 OR Wind 2035'!$B$10:$J$36,9,FALSE)</f>
        <v>39.28</v>
      </c>
      <c r="BN13">
        <f>VLOOKUP($O13,'Table 3 UT Wind 2030'!$B$10:$J$36,9,FALSE)</f>
        <v>39.28</v>
      </c>
      <c r="BO13">
        <f>VLOOKUP($O13,'Table 3 UT Wind 2036'!$B$10:$J$36,9,FALSE)</f>
        <v>39.28</v>
      </c>
      <c r="BP13">
        <f>VLOOKUP($O13,'Table 3 YK Solar 2030'!$B$10:$J$36,9,FALSE)</f>
        <v>19.59</v>
      </c>
      <c r="BQ13">
        <f>VLOOKUP($O13,'Table 3 YK Solar 2032'!$B$10:$J$36,9,FALSE)</f>
        <v>19.59</v>
      </c>
      <c r="BR13">
        <f>VLOOKUP($O13,'Table 3 YK Solar 2033'!$B$10:$J$36,9,FALSE)</f>
        <v>19.59</v>
      </c>
      <c r="BS13">
        <f>VLOOKUP($O13,'Table 3 UT Solar 2033 ST'!$B$10:$J$36,9,FALSE)</f>
        <v>20.58</v>
      </c>
      <c r="BT13">
        <f>VLOOKUP($O13,'Table 3 UT Solar 2035 ST'!$B$10:$J$36,9,FALSE)</f>
        <v>20.58</v>
      </c>
      <c r="BU13">
        <f>VLOOKUP($O13,'Table 3 UT Solar 2035 FT'!$B$10:$J$36,9,FALSE)</f>
        <v>19.57</v>
      </c>
      <c r="BV13">
        <f>VLOOKUP($O13,'Table 3 OR Solar 2030'!$B$10:$J$36,9,FALSE)</f>
        <v>20.61</v>
      </c>
      <c r="BW13">
        <f>VLOOKUP($O13,'Table 3 OR Solar 2031'!$B$10:$J$36,9,FALSE)</f>
        <v>20.61</v>
      </c>
      <c r="BX13">
        <f>VLOOKUP($O13,'Table 3 OR Solar 2032'!$B$10:$J$36,9,FALSE)</f>
        <v>20.61</v>
      </c>
      <c r="BY13">
        <f>VLOOKUP($O13,'Table 3 OR Solar 2033'!$B$10:$J$36,9,FALSE)</f>
        <v>20.61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2019</v>
      </c>
      <c r="CX13" s="90">
        <f>IFERROR(VLOOKUP($CW13,'Table 3 TransCost D2 '!$B$10:$E$34,4,FALSE),0)</f>
        <v>0</v>
      </c>
      <c r="CY13" s="194">
        <f>$CX$5*CX13/1000</f>
        <v>0</v>
      </c>
    </row>
    <row r="14" spans="2:103" customFormat="1" ht="12.75" hidden="1" customHeight="1">
      <c r="B14" s="15">
        <f t="shared" ref="B14:B33" si="25">B13+1</f>
        <v>2020</v>
      </c>
      <c r="C14" s="9">
        <f t="shared" si="3"/>
        <v>0</v>
      </c>
      <c r="D14" s="45"/>
      <c r="E14" s="9" t="e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#DIV/0!</v>
      </c>
      <c r="F14" s="37"/>
      <c r="G14" s="14" t="e">
        <f ca="1">SUMIF(INDIRECT("'Table 5'!$J$"&amp;$K$3&amp;":$J$"&amp;$K$4),B14,INDIRECT("'Table 5'!$e$"&amp;$K$3&amp;":$e$"&amp;$K$4))/SUMIF(INDIRECT("'Table 5'!$J$"&amp;$K$3&amp;":$J$"&amp;$K$4),B14,INDIRECT("'Table 5'!$f$"&amp;$K$3&amp;":$f$"&amp;$K$4))</f>
        <v>#DIV/0!</v>
      </c>
      <c r="H14" s="36"/>
      <c r="I14" s="194"/>
      <c r="J14" s="194"/>
      <c r="K14" s="114" t="s">
        <v>64</v>
      </c>
      <c r="L14" s="115">
        <v>1</v>
      </c>
      <c r="M14" s="115">
        <v>1</v>
      </c>
      <c r="O14">
        <f t="shared" si="4"/>
        <v>2020</v>
      </c>
      <c r="P14">
        <v>0</v>
      </c>
      <c r="Q14">
        <v>0</v>
      </c>
      <c r="R14">
        <v>0</v>
      </c>
      <c r="S14" s="194">
        <v>0</v>
      </c>
      <c r="T14" s="19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-0.87</v>
      </c>
      <c r="BG14">
        <f>VLOOKUP($O14,'Table 3 EV2020 Wind_2021'!$B$10:$K$36,10,FALSE)</f>
        <v>39.06</v>
      </c>
      <c r="BH14">
        <f>VLOOKUP($O14,'Table 3 DJ Wind 2030'!$B$10:$J$36,9,FALSE)</f>
        <v>42.76</v>
      </c>
      <c r="BI14">
        <f>VLOOKUP($O14,'Table 3 ID Wind 2030'!$B$10:$J$36,9,FALSE)</f>
        <v>40.26</v>
      </c>
      <c r="BJ14">
        <f>VLOOKUP($O14,'Table 3 ID Wind 2033'!$B$10:$J$36,9,FALSE)</f>
        <v>40.26</v>
      </c>
      <c r="BK14">
        <f>VLOOKUP($O14,'Table 3 WW Wind 2035'!$B$10:$J$36,9,FALSE)</f>
        <v>40.26</v>
      </c>
      <c r="BL14">
        <f>VLOOKUP($O14,'Table 3 YK Wind 2035'!$B$10:$J$36,9,FALSE)</f>
        <v>40.26</v>
      </c>
      <c r="BM14">
        <f>VLOOKUP($O14,'Table 3 OR Wind 2035'!$B$10:$J$36,9,FALSE)</f>
        <v>40.26</v>
      </c>
      <c r="BN14">
        <f>VLOOKUP($O14,'Table 3 UT Wind 2030'!$B$10:$J$36,9,FALSE)</f>
        <v>40.26</v>
      </c>
      <c r="BO14">
        <f>VLOOKUP($O14,'Table 3 UT Wind 2036'!$B$10:$J$36,9,FALSE)</f>
        <v>40.26</v>
      </c>
      <c r="BP14">
        <f>VLOOKUP($O14,'Table 3 YK Solar 2030'!$B$10:$J$36,9,FALSE)</f>
        <v>20.079999999999998</v>
      </c>
      <c r="BQ14">
        <f>VLOOKUP($O14,'Table 3 YK Solar 2032'!$B$10:$J$36,9,FALSE)</f>
        <v>20.079999999999998</v>
      </c>
      <c r="BR14">
        <f>VLOOKUP($O14,'Table 3 YK Solar 2033'!$B$10:$J$36,9,FALSE)</f>
        <v>20.079999999999998</v>
      </c>
      <c r="BS14">
        <f>VLOOKUP($O14,'Table 3 UT Solar 2033 ST'!$B$10:$J$36,9,FALSE)</f>
        <v>21.09</v>
      </c>
      <c r="BT14">
        <f>VLOOKUP($O14,'Table 3 UT Solar 2035 ST'!$B$10:$J$36,9,FALSE)</f>
        <v>21.09</v>
      </c>
      <c r="BU14">
        <f>VLOOKUP($O14,'Table 3 UT Solar 2035 FT'!$B$10:$J$36,9,FALSE)</f>
        <v>20.059999999999999</v>
      </c>
      <c r="BV14">
        <f>VLOOKUP($O14,'Table 3 OR Solar 2030'!$B$10:$J$36,9,FALSE)</f>
        <v>21.13</v>
      </c>
      <c r="BW14">
        <f>VLOOKUP($O14,'Table 3 OR Solar 2031'!$B$10:$J$36,9,FALSE)</f>
        <v>21.13</v>
      </c>
      <c r="BX14">
        <f>VLOOKUP($O14,'Table 3 OR Solar 2032'!$B$10:$J$36,9,FALSE)</f>
        <v>21.13</v>
      </c>
      <c r="BY14">
        <f>VLOOKUP($O14,'Table 3 OR Solar 2033'!$B$10:$J$36,9,FALSE)</f>
        <v>21.13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2020</v>
      </c>
      <c r="CX14" s="90">
        <f>IFERROR(VLOOKUP($CW14,'Table 3 TransCost D2 '!$B$10:$E$34,4,FALSE),0)</f>
        <v>7.9016666666666664</v>
      </c>
      <c r="CY14" s="194">
        <f t="shared" ref="CY14:CY33" si="27">$CX$5*CX14/1000</f>
        <v>0</v>
      </c>
    </row>
    <row r="15" spans="2:103" customFormat="1" ht="12.75" hidden="1" customHeight="1">
      <c r="B15" s="15">
        <f t="shared" si="25"/>
        <v>2021</v>
      </c>
      <c r="C15" s="9">
        <f t="shared" si="3"/>
        <v>0</v>
      </c>
      <c r="D15" s="45"/>
      <c r="E15" s="9" t="e">
        <f t="shared" ca="1" si="26"/>
        <v>#DIV/0!</v>
      </c>
      <c r="F15" s="37"/>
      <c r="G15" s="14" t="e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#DIV/0!</v>
      </c>
      <c r="H15" s="36"/>
      <c r="I15" s="194"/>
      <c r="J15" s="194"/>
      <c r="K15" s="114" t="s">
        <v>65</v>
      </c>
      <c r="L15" s="115">
        <v>1</v>
      </c>
      <c r="M15" s="115">
        <v>1</v>
      </c>
      <c r="O15">
        <f t="shared" si="4"/>
        <v>2021</v>
      </c>
      <c r="P15">
        <v>0</v>
      </c>
      <c r="Q15">
        <v>0</v>
      </c>
      <c r="R15">
        <v>0</v>
      </c>
      <c r="S15" s="194">
        <v>0</v>
      </c>
      <c r="T15" s="194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-7.17</v>
      </c>
      <c r="BG15">
        <f>VLOOKUP($O15,'Table 3 EV2020 Wind_2021'!$B$10:$K$36,10,FALSE)</f>
        <v>-9.07</v>
      </c>
      <c r="BH15">
        <f>VLOOKUP($O15,'Table 3 DJ Wind 2030'!$B$10:$J$36,9,FALSE)</f>
        <v>43.8</v>
      </c>
      <c r="BI15">
        <f>VLOOKUP($O15,'Table 3 ID Wind 2030'!$B$10:$J$36,9,FALSE)</f>
        <v>41.23</v>
      </c>
      <c r="BJ15">
        <f>VLOOKUP($O15,'Table 3 ID Wind 2033'!$B$10:$J$36,9,FALSE)</f>
        <v>41.23</v>
      </c>
      <c r="BK15">
        <f>VLOOKUP($O15,'Table 3 WW Wind 2035'!$B$10:$J$36,9,FALSE)</f>
        <v>41.23</v>
      </c>
      <c r="BL15">
        <f>VLOOKUP($O15,'Table 3 YK Wind 2035'!$B$10:$J$36,9,FALSE)</f>
        <v>41.23</v>
      </c>
      <c r="BM15">
        <f>VLOOKUP($O15,'Table 3 OR Wind 2035'!$B$10:$J$36,9,FALSE)</f>
        <v>41.23</v>
      </c>
      <c r="BN15">
        <f>VLOOKUP($O15,'Table 3 UT Wind 2030'!$B$10:$J$36,9,FALSE)</f>
        <v>41.23</v>
      </c>
      <c r="BO15">
        <f>VLOOKUP($O15,'Table 3 UT Wind 2036'!$B$10:$J$36,9,FALSE)</f>
        <v>41.23</v>
      </c>
      <c r="BP15">
        <f>VLOOKUP($O15,'Table 3 YK Solar 2030'!$B$10:$J$36,9,FALSE)</f>
        <v>20.56</v>
      </c>
      <c r="BQ15">
        <f>VLOOKUP($O15,'Table 3 YK Solar 2032'!$B$10:$J$36,9,FALSE)</f>
        <v>20.56</v>
      </c>
      <c r="BR15">
        <f>VLOOKUP($O15,'Table 3 YK Solar 2033'!$B$10:$J$36,9,FALSE)</f>
        <v>20.56</v>
      </c>
      <c r="BS15">
        <f>VLOOKUP($O15,'Table 3 UT Solar 2033 ST'!$B$10:$J$36,9,FALSE)</f>
        <v>21.6</v>
      </c>
      <c r="BT15">
        <f>VLOOKUP($O15,'Table 3 UT Solar 2035 ST'!$B$10:$J$36,9,FALSE)</f>
        <v>21.6</v>
      </c>
      <c r="BU15">
        <f>VLOOKUP($O15,'Table 3 UT Solar 2035 FT'!$B$10:$J$36,9,FALSE)</f>
        <v>20.54</v>
      </c>
      <c r="BV15">
        <f>VLOOKUP($O15,'Table 3 OR Solar 2030'!$B$10:$J$36,9,FALSE)</f>
        <v>21.64</v>
      </c>
      <c r="BW15">
        <f>VLOOKUP($O15,'Table 3 OR Solar 2031'!$B$10:$J$36,9,FALSE)</f>
        <v>21.64</v>
      </c>
      <c r="BX15">
        <f>VLOOKUP($O15,'Table 3 OR Solar 2032'!$B$10:$J$36,9,FALSE)</f>
        <v>21.64</v>
      </c>
      <c r="BY15">
        <f>VLOOKUP($O15,'Table 3 OR Solar 2033'!$B$10:$J$36,9,FALSE)</f>
        <v>21.64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2021</v>
      </c>
      <c r="CX15" s="90">
        <f>IFERROR(VLOOKUP($CW15,'Table 3 TransCost D2 '!$B$10:$E$34,4,FALSE),0)</f>
        <v>48.5910167356733</v>
      </c>
      <c r="CY15" s="194">
        <f t="shared" si="27"/>
        <v>0</v>
      </c>
    </row>
    <row r="16" spans="2:103" customFormat="1" ht="12.75" hidden="1" customHeight="1">
      <c r="B16" s="15">
        <f t="shared" si="25"/>
        <v>2022</v>
      </c>
      <c r="C16" s="9">
        <f t="shared" si="3"/>
        <v>0</v>
      </c>
      <c r="D16" s="45"/>
      <c r="E16" s="9" t="e">
        <f t="shared" ca="1" si="26"/>
        <v>#DIV/0!</v>
      </c>
      <c r="F16" s="37"/>
      <c r="G16" s="14" t="e">
        <f t="shared" ca="1" si="28"/>
        <v>#DIV/0!</v>
      </c>
      <c r="H16" s="36"/>
      <c r="I16" s="194"/>
      <c r="J16" s="194"/>
      <c r="M16" s="116"/>
      <c r="O16">
        <f t="shared" si="4"/>
        <v>2022</v>
      </c>
      <c r="P16">
        <v>0</v>
      </c>
      <c r="Q16">
        <v>0</v>
      </c>
      <c r="R16">
        <v>0</v>
      </c>
      <c r="S16" s="194">
        <v>0</v>
      </c>
      <c r="T16" s="194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-4.53</v>
      </c>
      <c r="BG16">
        <f>VLOOKUP($O16,'Table 3 EV2020 Wind_2021'!$B$10:$K$36,10,FALSE)</f>
        <v>-6.48</v>
      </c>
      <c r="BH16">
        <f>VLOOKUP($O16,'Table 3 DJ Wind 2030'!$B$10:$J$36,9,FALSE)</f>
        <v>44.86</v>
      </c>
      <c r="BI16">
        <f>VLOOKUP($O16,'Table 3 ID Wind 2030'!$B$10:$J$36,9,FALSE)</f>
        <v>42.22</v>
      </c>
      <c r="BJ16">
        <f>VLOOKUP($O16,'Table 3 ID Wind 2033'!$B$10:$J$36,9,FALSE)</f>
        <v>42.22</v>
      </c>
      <c r="BK16">
        <f>VLOOKUP($O16,'Table 3 WW Wind 2035'!$B$10:$J$36,9,FALSE)</f>
        <v>42.22</v>
      </c>
      <c r="BL16">
        <f>VLOOKUP($O16,'Table 3 YK Wind 2035'!$B$10:$J$36,9,FALSE)</f>
        <v>42.22</v>
      </c>
      <c r="BM16">
        <f>VLOOKUP($O16,'Table 3 OR Wind 2035'!$B$10:$J$36,9,FALSE)</f>
        <v>42.22</v>
      </c>
      <c r="BN16">
        <f>VLOOKUP($O16,'Table 3 UT Wind 2030'!$B$10:$J$36,9,FALSE)</f>
        <v>42.22</v>
      </c>
      <c r="BO16">
        <f>VLOOKUP($O16,'Table 3 UT Wind 2036'!$B$10:$J$36,9,FALSE)</f>
        <v>42.22</v>
      </c>
      <c r="BP16">
        <f>VLOOKUP($O16,'Table 3 YK Solar 2030'!$B$10:$J$36,9,FALSE)</f>
        <v>21.05</v>
      </c>
      <c r="BQ16">
        <f>VLOOKUP($O16,'Table 3 YK Solar 2032'!$B$10:$J$36,9,FALSE)</f>
        <v>21.05</v>
      </c>
      <c r="BR16">
        <f>VLOOKUP($O16,'Table 3 YK Solar 2033'!$B$10:$J$36,9,FALSE)</f>
        <v>21.05</v>
      </c>
      <c r="BS16">
        <f>VLOOKUP($O16,'Table 3 UT Solar 2033 ST'!$B$10:$J$36,9,FALSE)</f>
        <v>22.12</v>
      </c>
      <c r="BT16">
        <f>VLOOKUP($O16,'Table 3 UT Solar 2035 ST'!$B$10:$J$36,9,FALSE)</f>
        <v>22.12</v>
      </c>
      <c r="BU16">
        <f>VLOOKUP($O16,'Table 3 UT Solar 2035 FT'!$B$10:$J$36,9,FALSE)</f>
        <v>21.03</v>
      </c>
      <c r="BV16">
        <f>VLOOKUP($O16,'Table 3 OR Solar 2030'!$B$10:$J$36,9,FALSE)</f>
        <v>22.16</v>
      </c>
      <c r="BW16">
        <f>VLOOKUP($O16,'Table 3 OR Solar 2031'!$B$10:$J$36,9,FALSE)</f>
        <v>22.16</v>
      </c>
      <c r="BX16">
        <f>VLOOKUP($O16,'Table 3 OR Solar 2032'!$B$10:$J$36,9,FALSE)</f>
        <v>22.16</v>
      </c>
      <c r="BY16">
        <f>VLOOKUP($O16,'Table 3 OR Solar 2033'!$B$10:$J$36,9,FALSE)</f>
        <v>22.16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2022</v>
      </c>
      <c r="CX16" s="90">
        <f>IFERROR(VLOOKUP($CW16,'Table 3 TransCost D2 '!$B$10:$E$34,4,FALSE),0)</f>
        <v>49.76</v>
      </c>
      <c r="CY16" s="194">
        <f t="shared" si="27"/>
        <v>0</v>
      </c>
    </row>
    <row r="17" spans="2:103" ht="12.75" hidden="1" customHeight="1">
      <c r="B17" s="15">
        <f t="shared" si="25"/>
        <v>2023</v>
      </c>
      <c r="C17" s="9">
        <f t="shared" si="3"/>
        <v>0</v>
      </c>
      <c r="D17" s="45"/>
      <c r="E17" s="9" t="e">
        <f t="shared" ca="1" si="26"/>
        <v>#DIV/0!</v>
      </c>
      <c r="F17" s="37"/>
      <c r="G17" s="14" t="e">
        <f t="shared" ca="1" si="28"/>
        <v>#DIV/0!</v>
      </c>
      <c r="H17" s="36"/>
      <c r="I17" s="194"/>
      <c r="J17" s="194"/>
      <c r="M17" s="117"/>
      <c r="O17">
        <f t="shared" si="4"/>
        <v>2023</v>
      </c>
      <c r="P17">
        <v>0</v>
      </c>
      <c r="Q17">
        <v>0</v>
      </c>
      <c r="R17">
        <v>0</v>
      </c>
      <c r="S17" s="194">
        <v>0</v>
      </c>
      <c r="T17" s="194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-6.32</v>
      </c>
      <c r="BG17">
        <f>VLOOKUP($O17,'Table 3 EV2020 Wind_2021'!$B$10:$K$36,10,FALSE)</f>
        <v>-8.32</v>
      </c>
      <c r="BH17">
        <f>VLOOKUP($O17,'Table 3 DJ Wind 2030'!$B$10:$J$36,9,FALSE)</f>
        <v>45.94</v>
      </c>
      <c r="BI17">
        <f>VLOOKUP($O17,'Table 3 ID Wind 2030'!$B$10:$J$36,9,FALSE)</f>
        <v>43.23</v>
      </c>
      <c r="BJ17">
        <f>VLOOKUP($O17,'Table 3 ID Wind 2033'!$B$10:$J$36,9,FALSE)</f>
        <v>43.23</v>
      </c>
      <c r="BK17">
        <f>VLOOKUP($O17,'Table 3 WW Wind 2035'!$B$10:$J$36,9,FALSE)</f>
        <v>43.23</v>
      </c>
      <c r="BL17">
        <f>VLOOKUP($O17,'Table 3 YK Wind 2035'!$B$10:$J$36,9,FALSE)</f>
        <v>43.23</v>
      </c>
      <c r="BM17">
        <f>VLOOKUP($O17,'Table 3 OR Wind 2035'!$B$10:$J$36,9,FALSE)</f>
        <v>43.23</v>
      </c>
      <c r="BN17">
        <f>VLOOKUP($O17,'Table 3 UT Wind 2030'!$B$10:$J$36,9,FALSE)</f>
        <v>43.23</v>
      </c>
      <c r="BO17">
        <f>VLOOKUP($O17,'Table 3 UT Wind 2036'!$B$10:$J$36,9,FALSE)</f>
        <v>43.23</v>
      </c>
      <c r="BP17">
        <f>VLOOKUP($O17,'Table 3 YK Solar 2030'!$B$10:$J$36,9,FALSE)</f>
        <v>21.56</v>
      </c>
      <c r="BQ17">
        <f>VLOOKUP($O17,'Table 3 YK Solar 2032'!$B$10:$J$36,9,FALSE)</f>
        <v>21.56</v>
      </c>
      <c r="BR17">
        <f>VLOOKUP($O17,'Table 3 YK Solar 2033'!$B$10:$J$36,9,FALSE)</f>
        <v>21.56</v>
      </c>
      <c r="BS17">
        <f>VLOOKUP($O17,'Table 3 UT Solar 2033 ST'!$B$10:$J$36,9,FALSE)</f>
        <v>22.65</v>
      </c>
      <c r="BT17">
        <f>VLOOKUP($O17,'Table 3 UT Solar 2035 ST'!$B$10:$J$36,9,FALSE)</f>
        <v>22.65</v>
      </c>
      <c r="BU17">
        <f>VLOOKUP($O17,'Table 3 UT Solar 2035 FT'!$B$10:$J$36,9,FALSE)</f>
        <v>21.53</v>
      </c>
      <c r="BV17">
        <f>VLOOKUP($O17,'Table 3 OR Solar 2030'!$B$10:$J$36,9,FALSE)</f>
        <v>22.69</v>
      </c>
      <c r="BW17">
        <f>VLOOKUP($O17,'Table 3 OR Solar 2031'!$B$10:$J$36,9,FALSE)</f>
        <v>22.69</v>
      </c>
      <c r="BX17">
        <f>VLOOKUP($O17,'Table 3 OR Solar 2032'!$B$10:$J$36,9,FALSE)</f>
        <v>22.69</v>
      </c>
      <c r="BY17">
        <f>VLOOKUP($O17,'Table 3 OR Solar 2033'!$B$10:$J$36,9,FALSE)</f>
        <v>22.69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2023</v>
      </c>
      <c r="CX17" s="90">
        <f>IFERROR(VLOOKUP($CW17,'Table 3 TransCost D2 '!$B$10:$E$34,4,FALSE),0)</f>
        <v>50.95000000000001</v>
      </c>
      <c r="CY17" s="194">
        <f t="shared" si="27"/>
        <v>0</v>
      </c>
    </row>
    <row r="18" spans="2:103" ht="12.75" hidden="1" customHeight="1">
      <c r="B18" s="15">
        <f t="shared" si="25"/>
        <v>2024</v>
      </c>
      <c r="C18" s="9">
        <f t="shared" si="3"/>
        <v>0</v>
      </c>
      <c r="D18" s="45"/>
      <c r="E18" s="9" t="e">
        <f t="shared" ca="1" si="26"/>
        <v>#DIV/0!</v>
      </c>
      <c r="F18" s="37"/>
      <c r="G18" s="14" t="e">
        <f t="shared" ca="1" si="28"/>
        <v>#DIV/0!</v>
      </c>
      <c r="H18" s="36"/>
      <c r="I18" s="194"/>
      <c r="J18" s="194"/>
      <c r="M18" s="117"/>
      <c r="O18">
        <f t="shared" si="4"/>
        <v>2024</v>
      </c>
      <c r="P18">
        <v>0</v>
      </c>
      <c r="Q18">
        <v>0</v>
      </c>
      <c r="R18">
        <v>0</v>
      </c>
      <c r="S18" s="194">
        <v>0</v>
      </c>
      <c r="T18" s="194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-3.65</v>
      </c>
      <c r="BG18">
        <f>VLOOKUP($O18,'Table 3 EV2020 Wind_2021'!$B$10:$K$36,10,FALSE)</f>
        <v>-5.7</v>
      </c>
      <c r="BH18">
        <f>VLOOKUP($O18,'Table 3 DJ Wind 2030'!$B$10:$J$36,9,FALSE)</f>
        <v>47.01</v>
      </c>
      <c r="BI18">
        <f>VLOOKUP($O18,'Table 3 ID Wind 2030'!$B$10:$J$36,9,FALSE)</f>
        <v>44.22</v>
      </c>
      <c r="BJ18">
        <f>VLOOKUP($O18,'Table 3 ID Wind 2033'!$B$10:$J$36,9,FALSE)</f>
        <v>44.22</v>
      </c>
      <c r="BK18">
        <f>VLOOKUP($O18,'Table 3 WW Wind 2035'!$B$10:$J$36,9,FALSE)</f>
        <v>44.22</v>
      </c>
      <c r="BL18">
        <f>VLOOKUP($O18,'Table 3 YK Wind 2035'!$B$10:$J$36,9,FALSE)</f>
        <v>44.22</v>
      </c>
      <c r="BM18">
        <f>VLOOKUP($O18,'Table 3 OR Wind 2035'!$B$10:$J$36,9,FALSE)</f>
        <v>44.22</v>
      </c>
      <c r="BN18">
        <f>VLOOKUP($O18,'Table 3 UT Wind 2030'!$B$10:$J$36,9,FALSE)</f>
        <v>44.22</v>
      </c>
      <c r="BO18">
        <f>VLOOKUP($O18,'Table 3 UT Wind 2036'!$B$10:$J$36,9,FALSE)</f>
        <v>44.22</v>
      </c>
      <c r="BP18">
        <f>VLOOKUP($O18,'Table 3 YK Solar 2030'!$B$10:$J$36,9,FALSE)</f>
        <v>22.06</v>
      </c>
      <c r="BQ18">
        <f>VLOOKUP($O18,'Table 3 YK Solar 2032'!$B$10:$J$36,9,FALSE)</f>
        <v>22.06</v>
      </c>
      <c r="BR18">
        <f>VLOOKUP($O18,'Table 3 YK Solar 2033'!$B$10:$J$36,9,FALSE)</f>
        <v>22.06</v>
      </c>
      <c r="BS18">
        <f>VLOOKUP($O18,'Table 3 UT Solar 2033 ST'!$B$10:$J$36,9,FALSE)</f>
        <v>23.17</v>
      </c>
      <c r="BT18">
        <f>VLOOKUP($O18,'Table 3 UT Solar 2035 ST'!$B$10:$J$36,9,FALSE)</f>
        <v>23.17</v>
      </c>
      <c r="BU18">
        <f>VLOOKUP($O18,'Table 3 UT Solar 2035 FT'!$B$10:$J$36,9,FALSE)</f>
        <v>22.03</v>
      </c>
      <c r="BV18">
        <f>VLOOKUP($O18,'Table 3 OR Solar 2030'!$B$10:$J$36,9,FALSE)</f>
        <v>23.21</v>
      </c>
      <c r="BW18">
        <f>VLOOKUP($O18,'Table 3 OR Solar 2031'!$B$10:$J$36,9,FALSE)</f>
        <v>23.21</v>
      </c>
      <c r="BX18">
        <f>VLOOKUP($O18,'Table 3 OR Solar 2032'!$B$10:$J$36,9,FALSE)</f>
        <v>23.21</v>
      </c>
      <c r="BY18">
        <f>VLOOKUP($O18,'Table 3 OR Solar 2033'!$B$10:$J$36,9,FALSE)</f>
        <v>23.21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2024</v>
      </c>
      <c r="CX18" s="90">
        <f>IFERROR(VLOOKUP($CW18,'Table 3 TransCost D2 '!$B$10:$E$34,4,FALSE),0)</f>
        <v>52.12</v>
      </c>
      <c r="CY18" s="194">
        <f t="shared" si="27"/>
        <v>0</v>
      </c>
    </row>
    <row r="19" spans="2:103" ht="12.75" hidden="1" customHeight="1">
      <c r="B19" s="15">
        <f t="shared" si="25"/>
        <v>2025</v>
      </c>
      <c r="C19" s="9">
        <f t="shared" si="3"/>
        <v>0</v>
      </c>
      <c r="D19" s="45"/>
      <c r="E19" s="9" t="e">
        <f t="shared" ca="1" si="26"/>
        <v>#DIV/0!</v>
      </c>
      <c r="F19" s="37"/>
      <c r="G19" s="14" t="e">
        <f t="shared" ca="1" si="28"/>
        <v>#DIV/0!</v>
      </c>
      <c r="H19" s="36"/>
      <c r="I19" s="194"/>
      <c r="J19" s="194"/>
      <c r="M19" s="117"/>
      <c r="O19">
        <f t="shared" si="4"/>
        <v>2025</v>
      </c>
      <c r="P19">
        <v>0</v>
      </c>
      <c r="Q19">
        <v>0</v>
      </c>
      <c r="R19">
        <v>0</v>
      </c>
      <c r="S19" s="194">
        <v>0</v>
      </c>
      <c r="T19" s="194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-5.46</v>
      </c>
      <c r="BG19">
        <f>VLOOKUP($O19,'Table 3 EV2020 Wind_2021'!$B$10:$K$36,10,FALSE)</f>
        <v>-7.56</v>
      </c>
      <c r="BH19">
        <f>VLOOKUP($O19,'Table 3 DJ Wind 2030'!$B$10:$J$36,9,FALSE)</f>
        <v>48.1</v>
      </c>
      <c r="BI19">
        <f>VLOOKUP($O19,'Table 3 ID Wind 2030'!$B$10:$J$36,9,FALSE)</f>
        <v>45.24</v>
      </c>
      <c r="BJ19">
        <f>VLOOKUP($O19,'Table 3 ID Wind 2033'!$B$10:$J$36,9,FALSE)</f>
        <v>45.24</v>
      </c>
      <c r="BK19">
        <f>VLOOKUP($O19,'Table 3 WW Wind 2035'!$B$10:$J$36,9,FALSE)</f>
        <v>45.24</v>
      </c>
      <c r="BL19">
        <f>VLOOKUP($O19,'Table 3 YK Wind 2035'!$B$10:$J$36,9,FALSE)</f>
        <v>45.24</v>
      </c>
      <c r="BM19">
        <f>VLOOKUP($O19,'Table 3 OR Wind 2035'!$B$10:$J$36,9,FALSE)</f>
        <v>45.24</v>
      </c>
      <c r="BN19">
        <f>VLOOKUP($O19,'Table 3 UT Wind 2030'!$B$10:$J$36,9,FALSE)</f>
        <v>45.24</v>
      </c>
      <c r="BO19">
        <f>VLOOKUP($O19,'Table 3 UT Wind 2036'!$B$10:$J$36,9,FALSE)</f>
        <v>45.24</v>
      </c>
      <c r="BP19">
        <f>VLOOKUP($O19,'Table 3 YK Solar 2030'!$B$10:$J$36,9,FALSE)</f>
        <v>22.57</v>
      </c>
      <c r="BQ19">
        <f>VLOOKUP($O19,'Table 3 YK Solar 2032'!$B$10:$J$36,9,FALSE)</f>
        <v>22.57</v>
      </c>
      <c r="BR19">
        <f>VLOOKUP($O19,'Table 3 YK Solar 2033'!$B$10:$J$36,9,FALSE)</f>
        <v>22.57</v>
      </c>
      <c r="BS19">
        <f>VLOOKUP($O19,'Table 3 UT Solar 2033 ST'!$B$10:$J$36,9,FALSE)</f>
        <v>23.7</v>
      </c>
      <c r="BT19">
        <f>VLOOKUP($O19,'Table 3 UT Solar 2035 ST'!$B$10:$J$36,9,FALSE)</f>
        <v>23.7</v>
      </c>
      <c r="BU19">
        <f>VLOOKUP($O19,'Table 3 UT Solar 2035 FT'!$B$10:$J$36,9,FALSE)</f>
        <v>22.54</v>
      </c>
      <c r="BV19">
        <f>VLOOKUP($O19,'Table 3 OR Solar 2030'!$B$10:$J$36,9,FALSE)</f>
        <v>23.74</v>
      </c>
      <c r="BW19">
        <f>VLOOKUP($O19,'Table 3 OR Solar 2031'!$B$10:$J$36,9,FALSE)</f>
        <v>23.74</v>
      </c>
      <c r="BX19">
        <f>VLOOKUP($O19,'Table 3 OR Solar 2032'!$B$10:$J$36,9,FALSE)</f>
        <v>23.74</v>
      </c>
      <c r="BY19">
        <f>VLOOKUP($O19,'Table 3 OR Solar 2033'!$B$10:$J$36,9,FALSE)</f>
        <v>23.74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2025</v>
      </c>
      <c r="CX19" s="90">
        <f>IFERROR(VLOOKUP($CW19,'Table 3 TransCost D2 '!$B$10:$E$34,4,FALSE),0)</f>
        <v>53.32</v>
      </c>
      <c r="CY19" s="194">
        <f t="shared" si="27"/>
        <v>0</v>
      </c>
    </row>
    <row r="20" spans="2:103" ht="12.75" hidden="1" customHeight="1">
      <c r="B20" s="15">
        <f t="shared" si="25"/>
        <v>2026</v>
      </c>
      <c r="C20" s="9">
        <f t="shared" si="3"/>
        <v>0</v>
      </c>
      <c r="D20" s="45"/>
      <c r="E20" s="9" t="e">
        <f t="shared" ca="1" si="26"/>
        <v>#DIV/0!</v>
      </c>
      <c r="F20" s="37"/>
      <c r="G20" s="14" t="e">
        <f t="shared" ca="1" si="28"/>
        <v>#DIV/0!</v>
      </c>
      <c r="H20" s="36"/>
      <c r="I20" s="194"/>
      <c r="J20" s="194"/>
      <c r="M20" s="117"/>
      <c r="O20">
        <f t="shared" si="4"/>
        <v>2026</v>
      </c>
      <c r="P20">
        <v>0</v>
      </c>
      <c r="Q20">
        <v>0</v>
      </c>
      <c r="R20">
        <v>0</v>
      </c>
      <c r="S20" s="194">
        <v>0</v>
      </c>
      <c r="T20" s="194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-2.8</v>
      </c>
      <c r="BG20">
        <f>VLOOKUP($O20,'Table 3 EV2020 Wind_2021'!$B$10:$K$36,10,FALSE)</f>
        <v>-4.95</v>
      </c>
      <c r="BH20">
        <f>VLOOKUP($O20,'Table 3 DJ Wind 2030'!$B$10:$J$36,9,FALSE)</f>
        <v>49.17</v>
      </c>
      <c r="BI20">
        <f>VLOOKUP($O20,'Table 3 ID Wind 2030'!$B$10:$J$36,9,FALSE)</f>
        <v>46.24</v>
      </c>
      <c r="BJ20">
        <f>VLOOKUP($O20,'Table 3 ID Wind 2033'!$B$10:$J$36,9,FALSE)</f>
        <v>46.24</v>
      </c>
      <c r="BK20">
        <f>VLOOKUP($O20,'Table 3 WW Wind 2035'!$B$10:$J$36,9,FALSE)</f>
        <v>46.24</v>
      </c>
      <c r="BL20">
        <f>VLOOKUP($O20,'Table 3 YK Wind 2035'!$B$10:$J$36,9,FALSE)</f>
        <v>46.24</v>
      </c>
      <c r="BM20">
        <f>VLOOKUP($O20,'Table 3 OR Wind 2035'!$B$10:$J$36,9,FALSE)</f>
        <v>46.24</v>
      </c>
      <c r="BN20">
        <f>VLOOKUP($O20,'Table 3 UT Wind 2030'!$B$10:$J$36,9,FALSE)</f>
        <v>46.24</v>
      </c>
      <c r="BO20">
        <f>VLOOKUP($O20,'Table 3 UT Wind 2036'!$B$10:$J$36,9,FALSE)</f>
        <v>46.24</v>
      </c>
      <c r="BP20">
        <f>VLOOKUP($O20,'Table 3 YK Solar 2030'!$B$10:$J$36,9,FALSE)</f>
        <v>23.07</v>
      </c>
      <c r="BQ20">
        <f>VLOOKUP($O20,'Table 3 YK Solar 2032'!$B$10:$J$36,9,FALSE)</f>
        <v>23.07</v>
      </c>
      <c r="BR20">
        <f>VLOOKUP($O20,'Table 3 YK Solar 2033'!$B$10:$J$36,9,FALSE)</f>
        <v>23.07</v>
      </c>
      <c r="BS20">
        <f>VLOOKUP($O20,'Table 3 UT Solar 2033 ST'!$B$10:$J$36,9,FALSE)</f>
        <v>24.22</v>
      </c>
      <c r="BT20">
        <f>VLOOKUP($O20,'Table 3 UT Solar 2035 ST'!$B$10:$J$36,9,FALSE)</f>
        <v>24.22</v>
      </c>
      <c r="BU20">
        <f>VLOOKUP($O20,'Table 3 UT Solar 2035 FT'!$B$10:$J$36,9,FALSE)</f>
        <v>23.04</v>
      </c>
      <c r="BV20">
        <f>VLOOKUP($O20,'Table 3 OR Solar 2030'!$B$10:$J$36,9,FALSE)</f>
        <v>24.26</v>
      </c>
      <c r="BW20">
        <f>VLOOKUP($O20,'Table 3 OR Solar 2031'!$B$10:$J$36,9,FALSE)</f>
        <v>24.26</v>
      </c>
      <c r="BX20">
        <f>VLOOKUP($O20,'Table 3 OR Solar 2032'!$B$10:$J$36,9,FALSE)</f>
        <v>24.26</v>
      </c>
      <c r="BY20">
        <f>VLOOKUP($O20,'Table 3 OR Solar 2033'!$B$10:$J$36,9,FALSE)</f>
        <v>24.26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2026</v>
      </c>
      <c r="CX20" s="90">
        <f>IFERROR(VLOOKUP($CW20,'Table 3 TransCost D2 '!$B$10:$E$34,4,FALSE),0)</f>
        <v>54.49</v>
      </c>
      <c r="CY20" s="194">
        <f t="shared" si="27"/>
        <v>0</v>
      </c>
    </row>
    <row r="21" spans="2:103" ht="12.75" hidden="1" customHeight="1">
      <c r="B21" s="15">
        <f t="shared" si="25"/>
        <v>2027</v>
      </c>
      <c r="C21" s="9">
        <f t="shared" si="3"/>
        <v>0</v>
      </c>
      <c r="D21" s="45"/>
      <c r="E21" s="9" t="e">
        <f t="shared" ca="1" si="26"/>
        <v>#DIV/0!</v>
      </c>
      <c r="F21" s="37"/>
      <c r="G21" s="14" t="e">
        <f t="shared" ca="1" si="28"/>
        <v>#DIV/0!</v>
      </c>
      <c r="H21" s="36"/>
      <c r="I21" s="194"/>
      <c r="J21" s="194"/>
      <c r="M21" s="117"/>
      <c r="O21">
        <f t="shared" si="4"/>
        <v>2027</v>
      </c>
      <c r="P21">
        <v>0</v>
      </c>
      <c r="Q21">
        <v>0</v>
      </c>
      <c r="R21">
        <v>0</v>
      </c>
      <c r="S21" s="194">
        <v>0</v>
      </c>
      <c r="T21" s="194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-4.57</v>
      </c>
      <c r="BG21">
        <f>VLOOKUP($O21,'Table 3 EV2020 Wind_2021'!$B$10:$K$36,10,FALSE)</f>
        <v>-6.77</v>
      </c>
      <c r="BH21">
        <f>VLOOKUP($O21,'Table 3 DJ Wind 2030'!$B$10:$J$36,9,FALSE)</f>
        <v>50.26</v>
      </c>
      <c r="BI21">
        <f>VLOOKUP($O21,'Table 3 ID Wind 2030'!$B$10:$J$36,9,FALSE)</f>
        <v>47.26</v>
      </c>
      <c r="BJ21">
        <f>VLOOKUP($O21,'Table 3 ID Wind 2033'!$B$10:$J$36,9,FALSE)</f>
        <v>47.26</v>
      </c>
      <c r="BK21">
        <f>VLOOKUP($O21,'Table 3 WW Wind 2035'!$B$10:$J$36,9,FALSE)</f>
        <v>47.26</v>
      </c>
      <c r="BL21">
        <f>VLOOKUP($O21,'Table 3 YK Wind 2035'!$B$10:$J$36,9,FALSE)</f>
        <v>47.26</v>
      </c>
      <c r="BM21">
        <f>VLOOKUP($O21,'Table 3 OR Wind 2035'!$B$10:$J$36,9,FALSE)</f>
        <v>47.26</v>
      </c>
      <c r="BN21">
        <f>VLOOKUP($O21,'Table 3 UT Wind 2030'!$B$10:$J$36,9,FALSE)</f>
        <v>47.26</v>
      </c>
      <c r="BO21">
        <f>VLOOKUP($O21,'Table 3 UT Wind 2036'!$B$10:$J$36,9,FALSE)</f>
        <v>47.26</v>
      </c>
      <c r="BP21">
        <f>VLOOKUP($O21,'Table 3 YK Solar 2030'!$B$10:$J$36,9,FALSE)</f>
        <v>23.58</v>
      </c>
      <c r="BQ21">
        <f>VLOOKUP($O21,'Table 3 YK Solar 2032'!$B$10:$J$36,9,FALSE)</f>
        <v>23.58</v>
      </c>
      <c r="BR21">
        <f>VLOOKUP($O21,'Table 3 YK Solar 2033'!$B$10:$J$36,9,FALSE)</f>
        <v>23.58</v>
      </c>
      <c r="BS21">
        <f>VLOOKUP($O21,'Table 3 UT Solar 2033 ST'!$B$10:$J$36,9,FALSE)</f>
        <v>24.75</v>
      </c>
      <c r="BT21">
        <f>VLOOKUP($O21,'Table 3 UT Solar 2035 ST'!$B$10:$J$36,9,FALSE)</f>
        <v>24.75</v>
      </c>
      <c r="BU21">
        <f>VLOOKUP($O21,'Table 3 UT Solar 2035 FT'!$B$10:$J$36,9,FALSE)</f>
        <v>23.55</v>
      </c>
      <c r="BV21">
        <f>VLOOKUP($O21,'Table 3 OR Solar 2030'!$B$10:$J$36,9,FALSE)</f>
        <v>24.79</v>
      </c>
      <c r="BW21">
        <f>VLOOKUP($O21,'Table 3 OR Solar 2031'!$B$10:$J$36,9,FALSE)</f>
        <v>24.79</v>
      </c>
      <c r="BX21">
        <f>VLOOKUP($O21,'Table 3 OR Solar 2032'!$B$10:$J$36,9,FALSE)</f>
        <v>24.79</v>
      </c>
      <c r="BY21">
        <f>VLOOKUP($O21,'Table 3 OR Solar 2033'!$B$10:$J$36,9,FALSE)</f>
        <v>24.79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2027</v>
      </c>
      <c r="CX21" s="90">
        <f>IFERROR(VLOOKUP($CW21,'Table 3 TransCost D2 '!$B$10:$E$34,4,FALSE),0)</f>
        <v>55.69</v>
      </c>
      <c r="CY21" s="194">
        <f t="shared" si="27"/>
        <v>0</v>
      </c>
    </row>
    <row r="22" spans="2:103" ht="12.75" hidden="1" customHeight="1">
      <c r="B22" s="15">
        <f t="shared" si="25"/>
        <v>2028</v>
      </c>
      <c r="C22" s="9">
        <f t="shared" si="3"/>
        <v>0</v>
      </c>
      <c r="D22" s="45"/>
      <c r="E22" s="9" t="e">
        <f t="shared" ca="1" si="26"/>
        <v>#DIV/0!</v>
      </c>
      <c r="F22" s="37"/>
      <c r="G22" s="14" t="e">
        <f t="shared" ca="1" si="28"/>
        <v>#DIV/0!</v>
      </c>
      <c r="H22" s="36"/>
      <c r="I22" s="194"/>
      <c r="J22" s="194"/>
      <c r="M22" s="117"/>
      <c r="O22">
        <f t="shared" si="4"/>
        <v>2028</v>
      </c>
      <c r="P22">
        <v>0</v>
      </c>
      <c r="Q22">
        <v>0</v>
      </c>
      <c r="R22">
        <v>0</v>
      </c>
      <c r="S22" s="194">
        <v>0</v>
      </c>
      <c r="T22" s="194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-1.8</v>
      </c>
      <c r="BG22">
        <f>VLOOKUP($O22,'Table 3 EV2020 Wind_2021'!$B$10:$K$36,10,FALSE)</f>
        <v>-4.05</v>
      </c>
      <c r="BH22">
        <f>VLOOKUP($O22,'Table 3 DJ Wind 2030'!$B$10:$J$36,9,FALSE)</f>
        <v>51.38</v>
      </c>
      <c r="BI22">
        <f>VLOOKUP($O22,'Table 3 ID Wind 2030'!$B$10:$J$36,9,FALSE)</f>
        <v>48.3</v>
      </c>
      <c r="BJ22">
        <f>VLOOKUP($O22,'Table 3 ID Wind 2033'!$B$10:$J$36,9,FALSE)</f>
        <v>48.3</v>
      </c>
      <c r="BK22">
        <f>VLOOKUP($O22,'Table 3 WW Wind 2035'!$B$10:$J$36,9,FALSE)</f>
        <v>48.3</v>
      </c>
      <c r="BL22">
        <f>VLOOKUP($O22,'Table 3 YK Wind 2035'!$B$10:$J$36,9,FALSE)</f>
        <v>48.3</v>
      </c>
      <c r="BM22">
        <f>VLOOKUP($O22,'Table 3 OR Wind 2035'!$B$10:$J$36,9,FALSE)</f>
        <v>48.3</v>
      </c>
      <c r="BN22">
        <f>VLOOKUP($O22,'Table 3 UT Wind 2030'!$B$10:$J$36,9,FALSE)</f>
        <v>48.3</v>
      </c>
      <c r="BO22">
        <f>VLOOKUP($O22,'Table 3 UT Wind 2036'!$B$10:$J$36,9,FALSE)</f>
        <v>48.3</v>
      </c>
      <c r="BP22">
        <f>VLOOKUP($O22,'Table 3 YK Solar 2030'!$B$10:$J$36,9,FALSE)</f>
        <v>24.1</v>
      </c>
      <c r="BQ22">
        <f>VLOOKUP($O22,'Table 3 YK Solar 2032'!$B$10:$J$36,9,FALSE)</f>
        <v>24.1</v>
      </c>
      <c r="BR22">
        <f>VLOOKUP($O22,'Table 3 YK Solar 2033'!$B$10:$J$36,9,FALSE)</f>
        <v>24.1</v>
      </c>
      <c r="BS22">
        <f>VLOOKUP($O22,'Table 3 UT Solar 2033 ST'!$B$10:$J$36,9,FALSE)</f>
        <v>25.29</v>
      </c>
      <c r="BT22">
        <f>VLOOKUP($O22,'Table 3 UT Solar 2035 ST'!$B$10:$J$36,9,FALSE)</f>
        <v>25.29</v>
      </c>
      <c r="BU22">
        <f>VLOOKUP($O22,'Table 3 UT Solar 2035 FT'!$B$10:$J$36,9,FALSE)</f>
        <v>24.07</v>
      </c>
      <c r="BV22">
        <f>VLOOKUP($O22,'Table 3 OR Solar 2030'!$B$10:$J$36,9,FALSE)</f>
        <v>25.34</v>
      </c>
      <c r="BW22">
        <f>VLOOKUP($O22,'Table 3 OR Solar 2031'!$B$10:$J$36,9,FALSE)</f>
        <v>25.34</v>
      </c>
      <c r="BX22">
        <f>VLOOKUP($O22,'Table 3 OR Solar 2032'!$B$10:$J$36,9,FALSE)</f>
        <v>25.34</v>
      </c>
      <c r="BY22">
        <f>VLOOKUP($O22,'Table 3 OR Solar 2033'!$B$10:$J$36,9,FALSE)</f>
        <v>25.34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2028</v>
      </c>
      <c r="CX22" s="90">
        <f>IFERROR(VLOOKUP($CW22,'Table 3 TransCost D2 '!$B$10:$E$34,4,FALSE),0)</f>
        <v>56.919999999999995</v>
      </c>
      <c r="CY22" s="194">
        <f t="shared" si="27"/>
        <v>0</v>
      </c>
    </row>
    <row r="23" spans="2:103" ht="12.75" hidden="1" customHeight="1">
      <c r="B23" s="15">
        <f t="shared" si="25"/>
        <v>2029</v>
      </c>
      <c r="C23" s="9">
        <f t="shared" si="3"/>
        <v>0</v>
      </c>
      <c r="D23" s="45"/>
      <c r="E23" s="9" t="e">
        <f t="shared" ca="1" si="26"/>
        <v>#DIV/0!</v>
      </c>
      <c r="F23" s="37"/>
      <c r="G23" s="14" t="e">
        <f t="shared" ca="1" si="28"/>
        <v>#DIV/0!</v>
      </c>
      <c r="H23" s="36"/>
      <c r="I23" s="194"/>
      <c r="J23" s="194"/>
      <c r="M23" s="117"/>
      <c r="O23">
        <f t="shared" si="4"/>
        <v>2029</v>
      </c>
      <c r="P23">
        <v>0</v>
      </c>
      <c r="Q23">
        <v>0</v>
      </c>
      <c r="R23">
        <v>0</v>
      </c>
      <c r="S23" s="194">
        <v>0</v>
      </c>
      <c r="T23" s="194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-3.62</v>
      </c>
      <c r="BG23">
        <f>VLOOKUP($O23,'Table 3 EV2020 Wind_2021'!$B$10:$K$36,10,FALSE)</f>
        <v>-5.92</v>
      </c>
      <c r="BH23">
        <f>VLOOKUP($O23,'Table 3 DJ Wind 2030'!$B$10:$J$36,9,FALSE)</f>
        <v>52.46</v>
      </c>
      <c r="BI23">
        <f>VLOOKUP($O23,'Table 3 ID Wind 2030'!$B$10:$J$36,9,FALSE)</f>
        <v>49.31</v>
      </c>
      <c r="BJ23">
        <f>VLOOKUP($O23,'Table 3 ID Wind 2033'!$B$10:$J$36,9,FALSE)</f>
        <v>49.31</v>
      </c>
      <c r="BK23">
        <f>VLOOKUP($O23,'Table 3 WW Wind 2035'!$B$10:$J$36,9,FALSE)</f>
        <v>49.31</v>
      </c>
      <c r="BL23">
        <f>VLOOKUP($O23,'Table 3 YK Wind 2035'!$B$10:$J$36,9,FALSE)</f>
        <v>49.31</v>
      </c>
      <c r="BM23">
        <f>VLOOKUP($O23,'Table 3 OR Wind 2035'!$B$10:$J$36,9,FALSE)</f>
        <v>49.31</v>
      </c>
      <c r="BN23">
        <f>VLOOKUP($O23,'Table 3 UT Wind 2030'!$B$10:$J$36,9,FALSE)</f>
        <v>49.31</v>
      </c>
      <c r="BO23">
        <f>VLOOKUP($O23,'Table 3 UT Wind 2036'!$B$10:$J$36,9,FALSE)</f>
        <v>49.31</v>
      </c>
      <c r="BP23">
        <f>VLOOKUP($O23,'Table 3 YK Solar 2030'!$B$10:$J$36,9,FALSE)</f>
        <v>24.61</v>
      </c>
      <c r="BQ23">
        <f>VLOOKUP($O23,'Table 3 YK Solar 2032'!$B$10:$J$36,9,FALSE)</f>
        <v>24.61</v>
      </c>
      <c r="BR23">
        <f>VLOOKUP($O23,'Table 3 YK Solar 2033'!$B$10:$J$36,9,FALSE)</f>
        <v>24.61</v>
      </c>
      <c r="BS23">
        <f>VLOOKUP($O23,'Table 3 UT Solar 2033 ST'!$B$10:$J$36,9,FALSE)</f>
        <v>25.82</v>
      </c>
      <c r="BT23">
        <f>VLOOKUP($O23,'Table 3 UT Solar 2035 ST'!$B$10:$J$36,9,FALSE)</f>
        <v>25.82</v>
      </c>
      <c r="BU23">
        <f>VLOOKUP($O23,'Table 3 UT Solar 2035 FT'!$B$10:$J$36,9,FALSE)</f>
        <v>24.58</v>
      </c>
      <c r="BV23">
        <f>VLOOKUP($O23,'Table 3 OR Solar 2030'!$B$10:$J$36,9,FALSE)</f>
        <v>25.87</v>
      </c>
      <c r="BW23">
        <f>VLOOKUP($O23,'Table 3 OR Solar 2031'!$B$10:$J$36,9,FALSE)</f>
        <v>25.87</v>
      </c>
      <c r="BX23">
        <f>VLOOKUP($O23,'Table 3 OR Solar 2032'!$B$10:$J$36,9,FALSE)</f>
        <v>25.87</v>
      </c>
      <c r="BY23">
        <f>VLOOKUP($O23,'Table 3 OR Solar 2033'!$B$10:$J$36,9,FALSE)</f>
        <v>25.87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2029</v>
      </c>
      <c r="CX23" s="90">
        <f>IFERROR(VLOOKUP($CW23,'Table 3 TransCost D2 '!$B$10:$E$34,4,FALSE),0)</f>
        <v>58.12</v>
      </c>
      <c r="CY23" s="194">
        <f t="shared" si="27"/>
        <v>0</v>
      </c>
    </row>
    <row r="24" spans="2:103" ht="12.75" hidden="1" customHeight="1">
      <c r="B24" s="15">
        <f t="shared" si="25"/>
        <v>2030</v>
      </c>
      <c r="C24" s="9">
        <f t="shared" si="3"/>
        <v>0</v>
      </c>
      <c r="D24" s="45"/>
      <c r="E24" s="9" t="e">
        <f t="shared" ca="1" si="26"/>
        <v>#DIV/0!</v>
      </c>
      <c r="F24" s="37"/>
      <c r="G24" s="14" t="e">
        <f t="shared" ca="1" si="28"/>
        <v>#DIV/0!</v>
      </c>
      <c r="H24" s="36"/>
      <c r="I24" s="194"/>
      <c r="J24" s="194"/>
      <c r="M24" s="117"/>
      <c r="O24">
        <f t="shared" si="4"/>
        <v>2030</v>
      </c>
      <c r="P24">
        <v>0</v>
      </c>
      <c r="Q24">
        <v>0</v>
      </c>
      <c r="R24">
        <v>0</v>
      </c>
      <c r="S24" s="194">
        <v>0</v>
      </c>
      <c r="T24" s="19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0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17.78</v>
      </c>
      <c r="BG24">
        <f>VLOOKUP($O24,'Table 3 EV2020 Wind_2021'!$B$10:$K$36,10,FALSE)</f>
        <v>-7.85</v>
      </c>
      <c r="BH24">
        <f>VLOOKUP($O24,'Table 3 DJ Wind 2030'!$B$10:$J$36,9,FALSE)</f>
        <v>149.68</v>
      </c>
      <c r="BI24">
        <f>VLOOKUP($O24,'Table 3 ID Wind 2030'!$B$10:$J$36,9,FALSE)</f>
        <v>150.54</v>
      </c>
      <c r="BJ24">
        <f>VLOOKUP($O24,'Table 3 ID Wind 2033'!$B$10:$J$36,9,FALSE)</f>
        <v>50.3</v>
      </c>
      <c r="BK24">
        <f>VLOOKUP($O24,'Table 3 WW Wind 2035'!$B$10:$J$36,9,FALSE)</f>
        <v>50.3</v>
      </c>
      <c r="BL24">
        <f>VLOOKUP($O24,'Table 3 YK Wind 2035'!$B$10:$J$36,9,FALSE)</f>
        <v>50.3</v>
      </c>
      <c r="BM24">
        <f>VLOOKUP($O24,'Table 3 OR Wind 2035'!$B$10:$J$36,9,FALSE)</f>
        <v>50.3</v>
      </c>
      <c r="BN24">
        <f>VLOOKUP($O24,'Table 3 UT Wind 2030'!$B$10:$J$36,9,FALSE)</f>
        <v>146.36000000000001</v>
      </c>
      <c r="BO24">
        <f>VLOOKUP($O24,'Table 3 UT Wind 2036'!$B$10:$J$36,9,FALSE)</f>
        <v>50.3</v>
      </c>
      <c r="BP24">
        <f>VLOOKUP($O24,'Table 3 YK Solar 2030'!$B$10:$J$36,9,FALSE)</f>
        <v>117.16</v>
      </c>
      <c r="BQ24">
        <f>VLOOKUP($O24,'Table 3 YK Solar 2032'!$B$10:$J$36,9,FALSE)</f>
        <v>25.1</v>
      </c>
      <c r="BR24">
        <f>VLOOKUP($O24,'Table 3 YK Solar 2033'!$B$10:$J$36,9,FALSE)</f>
        <v>25.1</v>
      </c>
      <c r="BS24">
        <f>VLOOKUP($O24,'Table 3 UT Solar 2033 ST'!$B$10:$J$36,9,FALSE)</f>
        <v>26.34</v>
      </c>
      <c r="BT24">
        <f>VLOOKUP($O24,'Table 3 UT Solar 2035 ST'!$B$10:$J$36,9,FALSE)</f>
        <v>26.34</v>
      </c>
      <c r="BU24">
        <f>VLOOKUP($O24,'Table 3 UT Solar 2035 FT'!$B$10:$J$36,9,FALSE)</f>
        <v>25.07</v>
      </c>
      <c r="BV24">
        <f>VLOOKUP($O24,'Table 3 OR Solar 2030'!$B$10:$J$36,9,FALSE)</f>
        <v>120.22</v>
      </c>
      <c r="BW24">
        <f>VLOOKUP($O24,'Table 3 OR Solar 2031'!$B$10:$J$36,9,FALSE)</f>
        <v>26.39</v>
      </c>
      <c r="BX24">
        <f>VLOOKUP($O24,'Table 3 OR Solar 2032'!$B$10:$J$36,9,FALSE)</f>
        <v>26.39</v>
      </c>
      <c r="BY24">
        <f>VLOOKUP($O24,'Table 3 OR Solar 2033'!$B$10:$J$36,9,FALSE)</f>
        <v>26.39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0</v>
      </c>
      <c r="CW24">
        <f t="shared" si="24"/>
        <v>2030</v>
      </c>
      <c r="CX24" s="90">
        <f>IFERROR(VLOOKUP($CW24,'Table 3 TransCost D2 '!$B$10:$E$34,4,FALSE),0)</f>
        <v>59.28</v>
      </c>
      <c r="CY24" s="194">
        <f t="shared" si="27"/>
        <v>0</v>
      </c>
    </row>
    <row r="25" spans="2:103" ht="12.75" hidden="1" customHeight="1">
      <c r="B25" s="15">
        <f t="shared" si="25"/>
        <v>2031</v>
      </c>
      <c r="C25" s="9">
        <f t="shared" si="3"/>
        <v>0</v>
      </c>
      <c r="D25" s="45"/>
      <c r="E25" s="9" t="e">
        <f t="shared" ca="1" si="26"/>
        <v>#DIV/0!</v>
      </c>
      <c r="F25" s="37"/>
      <c r="G25" s="14" t="e">
        <f t="shared" ca="1" si="28"/>
        <v>#DIV/0!</v>
      </c>
      <c r="H25" s="36"/>
      <c r="I25" s="194"/>
      <c r="J25" s="194"/>
      <c r="M25" s="117"/>
      <c r="O25">
        <f t="shared" si="4"/>
        <v>2031</v>
      </c>
      <c r="P25">
        <v>0</v>
      </c>
      <c r="Q25">
        <v>0</v>
      </c>
      <c r="R25">
        <v>0</v>
      </c>
      <c r="S25" s="194">
        <v>0</v>
      </c>
      <c r="T25" s="194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136.88999999999999</v>
      </c>
      <c r="BG25">
        <f>VLOOKUP($O25,'Table 3 EV2020 Wind_2021'!$B$10:$K$36,10,FALSE)</f>
        <v>134.5</v>
      </c>
      <c r="BH25">
        <f>VLOOKUP($O25,'Table 3 DJ Wind 2030'!$B$10:$J$36,9,FALSE)</f>
        <v>152.69</v>
      </c>
      <c r="BI25">
        <f>VLOOKUP($O25,'Table 3 ID Wind 2030'!$B$10:$J$36,9,FALSE)</f>
        <v>153.56</v>
      </c>
      <c r="BJ25">
        <f>VLOOKUP($O25,'Table 3 ID Wind 2033'!$B$10:$J$36,9,FALSE)</f>
        <v>51.31</v>
      </c>
      <c r="BK25">
        <f>VLOOKUP($O25,'Table 3 WW Wind 2035'!$B$10:$J$36,9,FALSE)</f>
        <v>51.31</v>
      </c>
      <c r="BL25">
        <f>VLOOKUP($O25,'Table 3 YK Wind 2035'!$B$10:$J$36,9,FALSE)</f>
        <v>51.31</v>
      </c>
      <c r="BM25">
        <f>VLOOKUP($O25,'Table 3 OR Wind 2035'!$B$10:$J$36,9,FALSE)</f>
        <v>51.31</v>
      </c>
      <c r="BN25">
        <f>VLOOKUP($O25,'Table 3 UT Wind 2030'!$B$10:$J$36,9,FALSE)</f>
        <v>149.29</v>
      </c>
      <c r="BO25">
        <f>VLOOKUP($O25,'Table 3 UT Wind 2036'!$B$10:$J$36,9,FALSE)</f>
        <v>51.31</v>
      </c>
      <c r="BP25">
        <f>VLOOKUP($O25,'Table 3 YK Solar 2030'!$B$10:$J$36,9,FALSE)</f>
        <v>119.5</v>
      </c>
      <c r="BQ25">
        <f>VLOOKUP($O25,'Table 3 YK Solar 2032'!$B$10:$J$36,9,FALSE)</f>
        <v>25.6</v>
      </c>
      <c r="BR25">
        <f>VLOOKUP($O25,'Table 3 YK Solar 2033'!$B$10:$J$36,9,FALSE)</f>
        <v>25.6</v>
      </c>
      <c r="BS25">
        <f>VLOOKUP($O25,'Table 3 UT Solar 2033 ST'!$B$10:$J$36,9,FALSE)</f>
        <v>26.87</v>
      </c>
      <c r="BT25">
        <f>VLOOKUP($O25,'Table 3 UT Solar 2035 ST'!$B$10:$J$36,9,FALSE)</f>
        <v>26.87</v>
      </c>
      <c r="BU25">
        <f>VLOOKUP($O25,'Table 3 UT Solar 2035 FT'!$B$10:$J$36,9,FALSE)</f>
        <v>25.57</v>
      </c>
      <c r="BV25">
        <f>VLOOKUP($O25,'Table 3 OR Solar 2030'!$B$10:$J$36,9,FALSE)</f>
        <v>122.62</v>
      </c>
      <c r="BW25">
        <f>VLOOKUP($O25,'Table 3 OR Solar 2031'!$B$10:$J$36,9,FALSE)</f>
        <v>120.21</v>
      </c>
      <c r="BX25">
        <f>VLOOKUP($O25,'Table 3 OR Solar 2032'!$B$10:$J$36,9,FALSE)</f>
        <v>26.92</v>
      </c>
      <c r="BY25">
        <f>VLOOKUP($O25,'Table 3 OR Solar 2033'!$B$10:$J$36,9,FALSE)</f>
        <v>26.92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0</v>
      </c>
      <c r="CW25">
        <f t="shared" si="24"/>
        <v>2031</v>
      </c>
      <c r="CX25" s="90">
        <f>IFERROR(VLOOKUP($CW25,'Table 3 TransCost D2 '!$B$10:$E$34,4,FALSE),0)</f>
        <v>60.47</v>
      </c>
      <c r="CY25" s="194">
        <f t="shared" si="27"/>
        <v>0</v>
      </c>
    </row>
    <row r="26" spans="2:103" ht="12.75" hidden="1" customHeight="1">
      <c r="B26" s="15">
        <f t="shared" si="25"/>
        <v>2032</v>
      </c>
      <c r="C26" s="9">
        <f t="shared" si="3"/>
        <v>0</v>
      </c>
      <c r="D26" s="45"/>
      <c r="E26" s="9" t="e">
        <f t="shared" ca="1" si="26"/>
        <v>#DIV/0!</v>
      </c>
      <c r="F26" s="37"/>
      <c r="G26" s="14" t="e">
        <f t="shared" ca="1" si="28"/>
        <v>#DIV/0!</v>
      </c>
      <c r="H26" s="36"/>
      <c r="I26" s="194"/>
      <c r="J26" s="194"/>
      <c r="M26" s="117"/>
      <c r="O26">
        <f t="shared" si="4"/>
        <v>2032</v>
      </c>
      <c r="P26">
        <v>0</v>
      </c>
      <c r="Q26">
        <v>0</v>
      </c>
      <c r="R26">
        <v>0</v>
      </c>
      <c r="S26" s="194">
        <v>0</v>
      </c>
      <c r="T26" s="194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139.62</v>
      </c>
      <c r="BG26">
        <f>VLOOKUP($O26,'Table 3 EV2020 Wind_2021'!$B$10:$K$36,10,FALSE)</f>
        <v>137.18</v>
      </c>
      <c r="BH26">
        <f>VLOOKUP($O26,'Table 3 DJ Wind 2030'!$B$10:$J$36,9,FALSE)</f>
        <v>155.75</v>
      </c>
      <c r="BI26">
        <f>VLOOKUP($O26,'Table 3 ID Wind 2030'!$B$10:$J$36,9,FALSE)</f>
        <v>156.63999999999999</v>
      </c>
      <c r="BJ26">
        <f>VLOOKUP($O26,'Table 3 ID Wind 2033'!$B$10:$J$36,9,FALSE)</f>
        <v>52.34</v>
      </c>
      <c r="BK26">
        <f>VLOOKUP($O26,'Table 3 WW Wind 2035'!$B$10:$J$36,9,FALSE)</f>
        <v>52.34</v>
      </c>
      <c r="BL26">
        <f>VLOOKUP($O26,'Table 3 YK Wind 2035'!$B$10:$J$36,9,FALSE)</f>
        <v>52.34</v>
      </c>
      <c r="BM26">
        <f>VLOOKUP($O26,'Table 3 OR Wind 2035'!$B$10:$J$36,9,FALSE)</f>
        <v>52.34</v>
      </c>
      <c r="BN26">
        <f>VLOOKUP($O26,'Table 3 UT Wind 2030'!$B$10:$J$36,9,FALSE)</f>
        <v>152.28</v>
      </c>
      <c r="BO26">
        <f>VLOOKUP($O26,'Table 3 UT Wind 2036'!$B$10:$J$36,9,FALSE)</f>
        <v>52.34</v>
      </c>
      <c r="BP26">
        <f>VLOOKUP($O26,'Table 3 YK Solar 2030'!$B$10:$J$36,9,FALSE)</f>
        <v>121.89</v>
      </c>
      <c r="BQ26">
        <f>VLOOKUP($O26,'Table 3 YK Solar 2032'!$B$10:$J$36,9,FALSE)</f>
        <v>117.12</v>
      </c>
      <c r="BR26">
        <f>VLOOKUP($O26,'Table 3 YK Solar 2033'!$B$10:$J$36,9,FALSE)</f>
        <v>26.11</v>
      </c>
      <c r="BS26">
        <f>VLOOKUP($O26,'Table 3 UT Solar 2033 ST'!$B$10:$J$36,9,FALSE)</f>
        <v>27.41</v>
      </c>
      <c r="BT26">
        <f>VLOOKUP($O26,'Table 3 UT Solar 2035 ST'!$B$10:$J$36,9,FALSE)</f>
        <v>27.41</v>
      </c>
      <c r="BU26">
        <f>VLOOKUP($O26,'Table 3 UT Solar 2035 FT'!$B$10:$J$36,9,FALSE)</f>
        <v>26.08</v>
      </c>
      <c r="BV26">
        <f>VLOOKUP($O26,'Table 3 OR Solar 2030'!$B$10:$J$36,9,FALSE)</f>
        <v>125.07</v>
      </c>
      <c r="BW26">
        <f>VLOOKUP($O26,'Table 3 OR Solar 2031'!$B$10:$J$36,9,FALSE)</f>
        <v>122.62</v>
      </c>
      <c r="BX26">
        <f>VLOOKUP($O26,'Table 3 OR Solar 2032'!$B$10:$J$36,9,FALSE)</f>
        <v>120.22</v>
      </c>
      <c r="BY26">
        <f>VLOOKUP($O26,'Table 3 OR Solar 2033'!$B$10:$J$36,9,FALSE)</f>
        <v>27.46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0</v>
      </c>
      <c r="CW26">
        <f t="shared" si="24"/>
        <v>2032</v>
      </c>
      <c r="CX26" s="90">
        <f>IFERROR(VLOOKUP($CW26,'Table 3 TransCost D2 '!$B$10:$E$34,4,FALSE),0)</f>
        <v>61.68</v>
      </c>
      <c r="CY26" s="194">
        <f t="shared" si="27"/>
        <v>0</v>
      </c>
    </row>
    <row r="27" spans="2:103" ht="12.75" hidden="1" customHeight="1">
      <c r="B27" s="15">
        <f t="shared" si="25"/>
        <v>2033</v>
      </c>
      <c r="C27" s="9">
        <f t="shared" si="3"/>
        <v>0</v>
      </c>
      <c r="D27" s="45"/>
      <c r="E27" s="9" t="e">
        <f t="shared" ca="1" si="26"/>
        <v>#DIV/0!</v>
      </c>
      <c r="F27" s="37"/>
      <c r="G27" s="14" t="e">
        <f t="shared" ca="1" si="28"/>
        <v>#DIV/0!</v>
      </c>
      <c r="H27" s="36"/>
      <c r="I27" s="194"/>
      <c r="J27" s="194"/>
      <c r="M27" s="117"/>
      <c r="O27">
        <f t="shared" si="4"/>
        <v>2033</v>
      </c>
      <c r="P27">
        <v>0</v>
      </c>
      <c r="Q27">
        <v>0</v>
      </c>
      <c r="R27">
        <v>0</v>
      </c>
      <c r="S27" s="194">
        <v>0</v>
      </c>
      <c r="T27" s="194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142.4</v>
      </c>
      <c r="BG27">
        <f>VLOOKUP($O27,'Table 3 EV2020 Wind_2021'!$B$10:$K$36,10,FALSE)</f>
        <v>139.91</v>
      </c>
      <c r="BH27">
        <f>VLOOKUP($O27,'Table 3 DJ Wind 2030'!$B$10:$J$36,9,FALSE)</f>
        <v>158.88</v>
      </c>
      <c r="BI27">
        <f>VLOOKUP($O27,'Table 3 ID Wind 2030'!$B$10:$J$36,9,FALSE)</f>
        <v>159.78</v>
      </c>
      <c r="BJ27">
        <f>VLOOKUP($O27,'Table 3 ID Wind 2033'!$B$10:$J$36,9,FALSE)</f>
        <v>154.30000000000001</v>
      </c>
      <c r="BK27">
        <f>VLOOKUP($O27,'Table 3 WW Wind 2035'!$B$10:$J$36,9,FALSE)</f>
        <v>53.39</v>
      </c>
      <c r="BL27">
        <f>VLOOKUP($O27,'Table 3 YK Wind 2035'!$B$10:$J$36,9,FALSE)</f>
        <v>53.39</v>
      </c>
      <c r="BM27">
        <f>VLOOKUP($O27,'Table 3 OR Wind 2035'!$B$10:$J$36,9,FALSE)</f>
        <v>53.39</v>
      </c>
      <c r="BN27">
        <f>VLOOKUP($O27,'Table 3 UT Wind 2030'!$B$10:$J$36,9,FALSE)</f>
        <v>155.33000000000001</v>
      </c>
      <c r="BO27">
        <f>VLOOKUP($O27,'Table 3 UT Wind 2036'!$B$10:$J$36,9,FALSE)</f>
        <v>53.39</v>
      </c>
      <c r="BP27">
        <f>VLOOKUP($O27,'Table 3 YK Solar 2030'!$B$10:$J$36,9,FALSE)</f>
        <v>124.33</v>
      </c>
      <c r="BQ27">
        <f>VLOOKUP($O27,'Table 3 YK Solar 2032'!$B$10:$J$36,9,FALSE)</f>
        <v>119.46</v>
      </c>
      <c r="BR27">
        <f>VLOOKUP($O27,'Table 3 YK Solar 2033'!$B$10:$J$36,9,FALSE)</f>
        <v>117.12</v>
      </c>
      <c r="BS27">
        <f>VLOOKUP($O27,'Table 3 UT Solar 2033 ST'!$B$10:$J$36,9,FALSE)</f>
        <v>117.96</v>
      </c>
      <c r="BT27">
        <f>VLOOKUP($O27,'Table 3 UT Solar 2035 ST'!$B$10:$J$36,9,FALSE)</f>
        <v>27.96</v>
      </c>
      <c r="BU27">
        <f>VLOOKUP($O27,'Table 3 UT Solar 2035 FT'!$B$10:$J$36,9,FALSE)</f>
        <v>26.6</v>
      </c>
      <c r="BV27">
        <f>VLOOKUP($O27,'Table 3 OR Solar 2030'!$B$10:$J$36,9,FALSE)</f>
        <v>127.57</v>
      </c>
      <c r="BW27">
        <f>VLOOKUP($O27,'Table 3 OR Solar 2031'!$B$10:$J$36,9,FALSE)</f>
        <v>125.07</v>
      </c>
      <c r="BX27">
        <f>VLOOKUP($O27,'Table 3 OR Solar 2032'!$B$10:$J$36,9,FALSE)</f>
        <v>122.62</v>
      </c>
      <c r="BY27">
        <f>VLOOKUP($O27,'Table 3 OR Solar 2033'!$B$10:$J$36,9,FALSE)</f>
        <v>120.24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0</v>
      </c>
      <c r="CW27">
        <f t="shared" si="24"/>
        <v>2033</v>
      </c>
      <c r="CX27" s="90">
        <f>IFERROR(VLOOKUP($CW27,'Table 3 TransCost D2 '!$B$10:$E$34,4,FALSE),0)</f>
        <v>62.91</v>
      </c>
      <c r="CY27" s="194">
        <f t="shared" si="27"/>
        <v>0</v>
      </c>
    </row>
    <row r="28" spans="2:103" ht="12.75" hidden="1" customHeight="1">
      <c r="B28" s="15">
        <f t="shared" si="25"/>
        <v>2034</v>
      </c>
      <c r="C28" s="9">
        <f t="shared" si="3"/>
        <v>0</v>
      </c>
      <c r="D28" s="45"/>
      <c r="E28" s="9" t="e">
        <f t="shared" ca="1" si="26"/>
        <v>#DIV/0!</v>
      </c>
      <c r="F28" s="37"/>
      <c r="G28" s="14" t="e">
        <f t="shared" ca="1" si="28"/>
        <v>#DIV/0!</v>
      </c>
      <c r="H28" s="36"/>
      <c r="I28" s="194"/>
      <c r="J28" s="194"/>
      <c r="M28" s="117"/>
      <c r="O28">
        <f t="shared" si="4"/>
        <v>2034</v>
      </c>
      <c r="P28">
        <v>0</v>
      </c>
      <c r="Q28">
        <v>0</v>
      </c>
      <c r="R28">
        <v>0</v>
      </c>
      <c r="S28" s="194">
        <v>0</v>
      </c>
      <c r="T28" s="194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145.22999999999999</v>
      </c>
      <c r="BG28">
        <f>VLOOKUP($O28,'Table 3 EV2020 Wind_2021'!$B$10:$K$36,10,FALSE)</f>
        <v>142.69</v>
      </c>
      <c r="BH28">
        <f>VLOOKUP($O28,'Table 3 DJ Wind 2030'!$B$10:$J$36,9,FALSE)</f>
        <v>162.06</v>
      </c>
      <c r="BI28">
        <f>VLOOKUP($O28,'Table 3 ID Wind 2030'!$B$10:$J$36,9,FALSE)</f>
        <v>162.97999999999999</v>
      </c>
      <c r="BJ28">
        <f>VLOOKUP($O28,'Table 3 ID Wind 2033'!$B$10:$J$36,9,FALSE)</f>
        <v>157.38999999999999</v>
      </c>
      <c r="BK28">
        <f>VLOOKUP($O28,'Table 3 WW Wind 2035'!$B$10:$J$36,9,FALSE)</f>
        <v>54.46</v>
      </c>
      <c r="BL28">
        <f>VLOOKUP($O28,'Table 3 YK Wind 2035'!$B$10:$J$36,9,FALSE)</f>
        <v>54.46</v>
      </c>
      <c r="BM28">
        <f>VLOOKUP($O28,'Table 3 OR Wind 2035'!$B$10:$J$36,9,FALSE)</f>
        <v>54.46</v>
      </c>
      <c r="BN28">
        <f>VLOOKUP($O28,'Table 3 UT Wind 2030'!$B$10:$J$36,9,FALSE)</f>
        <v>158.44</v>
      </c>
      <c r="BO28">
        <f>VLOOKUP($O28,'Table 3 UT Wind 2036'!$B$10:$J$36,9,FALSE)</f>
        <v>54.46</v>
      </c>
      <c r="BP28">
        <f>VLOOKUP($O28,'Table 3 YK Solar 2030'!$B$10:$J$36,9,FALSE)</f>
        <v>126.81</v>
      </c>
      <c r="BQ28">
        <f>VLOOKUP($O28,'Table 3 YK Solar 2032'!$B$10:$J$36,9,FALSE)</f>
        <v>121.85</v>
      </c>
      <c r="BR28">
        <f>VLOOKUP($O28,'Table 3 YK Solar 2033'!$B$10:$J$36,9,FALSE)</f>
        <v>119.46</v>
      </c>
      <c r="BS28">
        <f>VLOOKUP($O28,'Table 3 UT Solar 2033 ST'!$B$10:$J$36,9,FALSE)</f>
        <v>120.32</v>
      </c>
      <c r="BT28">
        <f>VLOOKUP($O28,'Table 3 UT Solar 2035 ST'!$B$10:$J$36,9,FALSE)</f>
        <v>28.52</v>
      </c>
      <c r="BU28">
        <f>VLOOKUP($O28,'Table 3 UT Solar 2035 FT'!$B$10:$J$36,9,FALSE)</f>
        <v>27.13</v>
      </c>
      <c r="BV28">
        <f>VLOOKUP($O28,'Table 3 OR Solar 2030'!$B$10:$J$36,9,FALSE)</f>
        <v>130.12</v>
      </c>
      <c r="BW28">
        <f>VLOOKUP($O28,'Table 3 OR Solar 2031'!$B$10:$J$36,9,FALSE)</f>
        <v>127.57</v>
      </c>
      <c r="BX28">
        <f>VLOOKUP($O28,'Table 3 OR Solar 2032'!$B$10:$J$36,9,FALSE)</f>
        <v>125.07</v>
      </c>
      <c r="BY28">
        <f>VLOOKUP($O28,'Table 3 OR Solar 2033'!$B$10:$J$36,9,FALSE)</f>
        <v>122.64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0</v>
      </c>
      <c r="CW28">
        <f t="shared" si="24"/>
        <v>2034</v>
      </c>
      <c r="CX28" s="90">
        <f>IFERROR(VLOOKUP($CW28,'Table 3 TransCost D2 '!$B$10:$E$34,4,FALSE),0)</f>
        <v>64.17</v>
      </c>
      <c r="CY28" s="194">
        <f t="shared" si="27"/>
        <v>0</v>
      </c>
    </row>
    <row r="29" spans="2:103" ht="12.75" hidden="1" customHeight="1">
      <c r="B29" s="15">
        <f t="shared" si="25"/>
        <v>2035</v>
      </c>
      <c r="C29" s="9">
        <f t="shared" si="3"/>
        <v>0</v>
      </c>
      <c r="D29" s="45"/>
      <c r="E29" s="9" t="e">
        <f t="shared" ca="1" si="26"/>
        <v>#DIV/0!</v>
      </c>
      <c r="F29" s="37"/>
      <c r="G29" s="14" t="e">
        <f t="shared" ca="1" si="28"/>
        <v>#DIV/0!</v>
      </c>
      <c r="H29" s="36"/>
      <c r="I29" s="194"/>
      <c r="J29" s="194"/>
      <c r="M29" s="117"/>
      <c r="O29">
        <f t="shared" si="4"/>
        <v>2035</v>
      </c>
      <c r="P29">
        <v>0</v>
      </c>
      <c r="Q29">
        <v>0</v>
      </c>
      <c r="R29">
        <v>0</v>
      </c>
      <c r="S29" s="194">
        <v>0</v>
      </c>
      <c r="T29" s="194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148.11000000000001</v>
      </c>
      <c r="BG29">
        <f>VLOOKUP($O29,'Table 3 EV2020 Wind_2021'!$B$10:$K$36,10,FALSE)</f>
        <v>145.52000000000001</v>
      </c>
      <c r="BH29">
        <f>VLOOKUP($O29,'Table 3 DJ Wind 2030'!$B$10:$J$36,9,FALSE)</f>
        <v>165.3</v>
      </c>
      <c r="BI29">
        <f>VLOOKUP($O29,'Table 3 ID Wind 2030'!$B$10:$J$36,9,FALSE)</f>
        <v>164.07</v>
      </c>
      <c r="BJ29">
        <f>VLOOKUP($O29,'Table 3 ID Wind 2033'!$B$10:$J$36,9,FALSE)</f>
        <v>160.54</v>
      </c>
      <c r="BK29">
        <f>VLOOKUP($O29,'Table 3 WW Wind 2035'!$B$10:$J$36,9,FALSE)</f>
        <v>156.27000000000001</v>
      </c>
      <c r="BL29">
        <f>VLOOKUP($O29,'Table 3 YK Wind 2035'!$B$10:$J$36,9,FALSE)</f>
        <v>156.27000000000001</v>
      </c>
      <c r="BM29">
        <f>VLOOKUP($O29,'Table 3 OR Wind 2035'!$B$10:$J$36,9,FALSE)</f>
        <v>154.83000000000001</v>
      </c>
      <c r="BN29">
        <f>VLOOKUP($O29,'Table 3 UT Wind 2030'!$B$10:$J$36,9,FALSE)</f>
        <v>161.61000000000001</v>
      </c>
      <c r="BO29">
        <f>VLOOKUP($O29,'Table 3 UT Wind 2036'!$B$10:$J$36,9,FALSE)</f>
        <v>55.55</v>
      </c>
      <c r="BP29">
        <f>VLOOKUP($O29,'Table 3 YK Solar 2030'!$B$10:$J$36,9,FALSE)</f>
        <v>129.34</v>
      </c>
      <c r="BQ29">
        <f>VLOOKUP($O29,'Table 3 YK Solar 2032'!$B$10:$J$36,9,FALSE)</f>
        <v>124.28</v>
      </c>
      <c r="BR29">
        <f>VLOOKUP($O29,'Table 3 YK Solar 2033'!$B$10:$J$36,9,FALSE)</f>
        <v>121.85</v>
      </c>
      <c r="BS29">
        <f>VLOOKUP($O29,'Table 3 UT Solar 2033 ST'!$B$10:$J$36,9,FALSE)</f>
        <v>122.73</v>
      </c>
      <c r="BT29">
        <f>VLOOKUP($O29,'Table 3 UT Solar 2035 ST'!$B$10:$J$36,9,FALSE)</f>
        <v>118.07</v>
      </c>
      <c r="BU29">
        <f>VLOOKUP($O29,'Table 3 UT Solar 2035 FT'!$B$10:$J$36,9,FALSE)</f>
        <v>114.83</v>
      </c>
      <c r="BV29">
        <f>VLOOKUP($O29,'Table 3 OR Solar 2030'!$B$10:$J$36,9,FALSE)</f>
        <v>132.72</v>
      </c>
      <c r="BW29">
        <f>VLOOKUP($O29,'Table 3 OR Solar 2031'!$B$10:$J$36,9,FALSE)</f>
        <v>130.12</v>
      </c>
      <c r="BX29">
        <f>VLOOKUP($O29,'Table 3 OR Solar 2032'!$B$10:$J$36,9,FALSE)</f>
        <v>127.57</v>
      </c>
      <c r="BY29">
        <f>VLOOKUP($O29,'Table 3 OR Solar 2033'!$B$10:$J$36,9,FALSE)</f>
        <v>125.09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0</v>
      </c>
      <c r="CW29">
        <f t="shared" si="24"/>
        <v>2035</v>
      </c>
      <c r="CX29" s="90">
        <f>IFERROR(VLOOKUP($CW29,'Table 3 TransCost D2 '!$B$10:$E$34,4,FALSE),0)</f>
        <v>65.45</v>
      </c>
      <c r="CY29" s="194">
        <f t="shared" si="27"/>
        <v>0</v>
      </c>
    </row>
    <row r="30" spans="2:103" ht="12.75" hidden="1" customHeight="1">
      <c r="B30" s="15">
        <f t="shared" si="25"/>
        <v>2036</v>
      </c>
      <c r="C30" s="9">
        <f t="shared" si="3"/>
        <v>0</v>
      </c>
      <c r="D30" s="45"/>
      <c r="E30" s="9" t="e">
        <f t="shared" ca="1" si="26"/>
        <v>#DIV/0!</v>
      </c>
      <c r="F30" s="37"/>
      <c r="G30" s="14" t="e">
        <f t="shared" ca="1" si="28"/>
        <v>#DIV/0!</v>
      </c>
      <c r="H30" s="36"/>
      <c r="I30" s="194"/>
      <c r="J30" s="194"/>
      <c r="M30" s="117"/>
      <c r="O30">
        <f t="shared" si="4"/>
        <v>2036</v>
      </c>
      <c r="P30">
        <v>0</v>
      </c>
      <c r="Q30">
        <v>0</v>
      </c>
      <c r="R30">
        <v>0</v>
      </c>
      <c r="S30" s="194">
        <v>0</v>
      </c>
      <c r="T30" s="194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151.06</v>
      </c>
      <c r="BG30">
        <f>VLOOKUP($O30,'Table 3 EV2020 Wind_2021'!$B$10:$K$36,10,FALSE)</f>
        <v>148.41</v>
      </c>
      <c r="BH30">
        <f>VLOOKUP($O30,'Table 3 DJ Wind 2030'!$B$10:$J$36,9,FALSE)</f>
        <v>168.6</v>
      </c>
      <c r="BI30">
        <f>VLOOKUP($O30,'Table 3 ID Wind 2030'!$B$10:$J$36,9,FALSE)</f>
        <v>165.18</v>
      </c>
      <c r="BJ30">
        <f>VLOOKUP($O30,'Table 3 ID Wind 2033'!$B$10:$J$36,9,FALSE)</f>
        <v>163.75</v>
      </c>
      <c r="BK30">
        <f>VLOOKUP($O30,'Table 3 WW Wind 2035'!$B$10:$J$36,9,FALSE)</f>
        <v>159.4</v>
      </c>
      <c r="BL30">
        <f>VLOOKUP($O30,'Table 3 YK Wind 2035'!$B$10:$J$36,9,FALSE)</f>
        <v>159.4</v>
      </c>
      <c r="BM30">
        <f>VLOOKUP($O30,'Table 3 OR Wind 2035'!$B$10:$J$36,9,FALSE)</f>
        <v>157.91999999999999</v>
      </c>
      <c r="BN30">
        <f>VLOOKUP($O30,'Table 3 UT Wind 2030'!$B$10:$J$36,9,FALSE)</f>
        <v>164.84</v>
      </c>
      <c r="BO30">
        <f>VLOOKUP($O30,'Table 3 UT Wind 2036'!$B$10:$J$36,9,FALSE)</f>
        <v>153.99</v>
      </c>
      <c r="BP30">
        <f>VLOOKUP($O30,'Table 3 YK Solar 2030'!$B$10:$J$36,9,FALSE)</f>
        <v>131.91999999999999</v>
      </c>
      <c r="BQ30">
        <f>VLOOKUP($O30,'Table 3 YK Solar 2032'!$B$10:$J$36,9,FALSE)</f>
        <v>126.76</v>
      </c>
      <c r="BR30">
        <f>VLOOKUP($O30,'Table 3 YK Solar 2033'!$B$10:$J$36,9,FALSE)</f>
        <v>124.28</v>
      </c>
      <c r="BS30">
        <f>VLOOKUP($O30,'Table 3 UT Solar 2033 ST'!$B$10:$J$36,9,FALSE)</f>
        <v>125.18</v>
      </c>
      <c r="BT30">
        <f>VLOOKUP($O30,'Table 3 UT Solar 2035 ST'!$B$10:$J$36,9,FALSE)</f>
        <v>120.43</v>
      </c>
      <c r="BU30">
        <f>VLOOKUP($O30,'Table 3 UT Solar 2035 FT'!$B$10:$J$36,9,FALSE)</f>
        <v>117.12</v>
      </c>
      <c r="BV30">
        <f>VLOOKUP($O30,'Table 3 OR Solar 2030'!$B$10:$J$36,9,FALSE)</f>
        <v>135.37</v>
      </c>
      <c r="BW30">
        <f>VLOOKUP($O30,'Table 3 OR Solar 2031'!$B$10:$J$36,9,FALSE)</f>
        <v>132.72</v>
      </c>
      <c r="BX30">
        <f>VLOOKUP($O30,'Table 3 OR Solar 2032'!$B$10:$J$36,9,FALSE)</f>
        <v>130.12</v>
      </c>
      <c r="BY30">
        <f>VLOOKUP($O30,'Table 3 OR Solar 2033'!$B$10:$J$36,9,FALSE)</f>
        <v>127.59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0</v>
      </c>
      <c r="CW30">
        <f t="shared" si="24"/>
        <v>2036</v>
      </c>
      <c r="CX30" s="90">
        <f>IFERROR(VLOOKUP($CW30,'Table 3 TransCost D2 '!$B$10:$E$34,4,FALSE),0)</f>
        <v>66.760000000000005</v>
      </c>
      <c r="CY30" s="194">
        <f t="shared" si="27"/>
        <v>0</v>
      </c>
    </row>
    <row r="31" spans="2:103" ht="12.75" hidden="1" customHeight="1">
      <c r="B31" s="15">
        <f t="shared" si="25"/>
        <v>2037</v>
      </c>
      <c r="C31" s="9">
        <f t="shared" si="3"/>
        <v>0</v>
      </c>
      <c r="D31" s="45"/>
      <c r="E31" s="9" t="e">
        <f t="shared" ca="1" si="26"/>
        <v>#DIV/0!</v>
      </c>
      <c r="F31" s="37"/>
      <c r="G31" s="14" t="e">
        <f t="shared" ca="1" si="28"/>
        <v>#DIV/0!</v>
      </c>
      <c r="H31" s="36"/>
      <c r="I31" s="194"/>
      <c r="J31" s="194"/>
      <c r="M31" s="117"/>
      <c r="O31">
        <f t="shared" si="4"/>
        <v>2037</v>
      </c>
      <c r="P31">
        <v>0</v>
      </c>
      <c r="Q31">
        <v>0</v>
      </c>
      <c r="R31">
        <v>0</v>
      </c>
      <c r="S31" s="194">
        <v>0</v>
      </c>
      <c r="T31" s="194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154.25</v>
      </c>
      <c r="BG31">
        <f>VLOOKUP($O31,'Table 3 EV2020 Wind_2021'!$B$10:$K$36,10,FALSE)</f>
        <v>151.54</v>
      </c>
      <c r="BH31">
        <f>VLOOKUP($O31,'Table 3 DJ Wind 2030'!$B$10:$J$36,9,FALSE)</f>
        <v>172.14</v>
      </c>
      <c r="BI31">
        <f>VLOOKUP($O31,'Table 3 ID Wind 2030'!$B$10:$J$36,9,FALSE)</f>
        <v>166.37</v>
      </c>
      <c r="BJ31">
        <f>VLOOKUP($O31,'Table 3 ID Wind 2033'!$B$10:$J$36,9,FALSE)</f>
        <v>167.19</v>
      </c>
      <c r="BK31">
        <f>VLOOKUP($O31,'Table 3 WW Wind 2035'!$B$10:$J$36,9,FALSE)</f>
        <v>162.75</v>
      </c>
      <c r="BL31">
        <f>VLOOKUP($O31,'Table 3 YK Wind 2035'!$B$10:$J$36,9,FALSE)</f>
        <v>162.75</v>
      </c>
      <c r="BM31">
        <f>VLOOKUP($O31,'Table 3 OR Wind 2035'!$B$10:$J$36,9,FALSE)</f>
        <v>161.24</v>
      </c>
      <c r="BN31">
        <f>VLOOKUP($O31,'Table 3 UT Wind 2030'!$B$10:$J$36,9,FALSE)</f>
        <v>168.3</v>
      </c>
      <c r="BO31">
        <f>VLOOKUP($O31,'Table 3 UT Wind 2036'!$B$10:$J$36,9,FALSE)</f>
        <v>157.22999999999999</v>
      </c>
      <c r="BP31">
        <f>VLOOKUP($O31,'Table 3 YK Solar 2030'!$B$10:$J$36,9,FALSE)</f>
        <v>134.69</v>
      </c>
      <c r="BQ31">
        <f>VLOOKUP($O31,'Table 3 YK Solar 2032'!$B$10:$J$36,9,FALSE)</f>
        <v>129.41999999999999</v>
      </c>
      <c r="BR31">
        <f>VLOOKUP($O31,'Table 3 YK Solar 2033'!$B$10:$J$36,9,FALSE)</f>
        <v>126.89</v>
      </c>
      <c r="BS31">
        <f>VLOOKUP($O31,'Table 3 UT Solar 2033 ST'!$B$10:$J$36,9,FALSE)</f>
        <v>127.81</v>
      </c>
      <c r="BT31">
        <f>VLOOKUP($O31,'Table 3 UT Solar 2035 ST'!$B$10:$J$36,9,FALSE)</f>
        <v>122.96</v>
      </c>
      <c r="BU31">
        <f>VLOOKUP($O31,'Table 3 UT Solar 2035 FT'!$B$10:$J$36,9,FALSE)</f>
        <v>119.58</v>
      </c>
      <c r="BV31">
        <f>VLOOKUP($O31,'Table 3 OR Solar 2030'!$B$10:$J$36,9,FALSE)</f>
        <v>138.21</v>
      </c>
      <c r="BW31">
        <f>VLOOKUP($O31,'Table 3 OR Solar 2031'!$B$10:$J$36,9,FALSE)</f>
        <v>135.5</v>
      </c>
      <c r="BX31">
        <f>VLOOKUP($O31,'Table 3 OR Solar 2032'!$B$10:$J$36,9,FALSE)</f>
        <v>132.85</v>
      </c>
      <c r="BY31">
        <f>VLOOKUP($O31,'Table 3 OR Solar 2033'!$B$10:$J$36,9,FALSE)</f>
        <v>130.27000000000001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0</v>
      </c>
      <c r="CW31">
        <f t="shared" si="24"/>
        <v>2037</v>
      </c>
      <c r="CX31" s="90">
        <f>IFERROR(VLOOKUP($CW31,'Table 3 TransCost D2 '!$B$10:$E$34,4,FALSE),0)</f>
        <v>68.16</v>
      </c>
      <c r="CY31" s="194">
        <f t="shared" si="27"/>
        <v>0</v>
      </c>
    </row>
    <row r="32" spans="2:103" ht="12.75" hidden="1" customHeight="1">
      <c r="B32" s="15">
        <f t="shared" si="25"/>
        <v>2038</v>
      </c>
      <c r="C32" s="9">
        <f t="shared" si="3"/>
        <v>0</v>
      </c>
      <c r="D32" s="45"/>
      <c r="E32" s="9" t="e">
        <f t="shared" ca="1" si="26"/>
        <v>#DIV/0!</v>
      </c>
      <c r="F32" s="37"/>
      <c r="G32" s="14" t="e">
        <f t="shared" ca="1" si="28"/>
        <v>#DIV/0!</v>
      </c>
      <c r="H32" s="36"/>
      <c r="I32" s="194"/>
      <c r="J32" s="194"/>
      <c r="M32" s="117"/>
      <c r="O32">
        <f t="shared" si="4"/>
        <v>2038</v>
      </c>
      <c r="P32">
        <v>0</v>
      </c>
      <c r="Q32">
        <v>0</v>
      </c>
      <c r="R32">
        <v>0</v>
      </c>
      <c r="S32" s="194">
        <v>0</v>
      </c>
      <c r="T32" s="194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157.49</v>
      </c>
      <c r="BG32">
        <f>VLOOKUP($O32,'Table 3 EV2020 Wind_2021'!$B$10:$K$36,10,FALSE)</f>
        <v>154.72999999999999</v>
      </c>
      <c r="BH32">
        <f>VLOOKUP($O32,'Table 3 DJ Wind 2030'!$B$10:$J$36,9,FALSE)</f>
        <v>175.74</v>
      </c>
      <c r="BI32">
        <f>VLOOKUP($O32,'Table 3 ID Wind 2030'!$B$10:$J$36,9,FALSE)</f>
        <v>167.58</v>
      </c>
      <c r="BJ32">
        <f>VLOOKUP($O32,'Table 3 ID Wind 2033'!$B$10:$J$36,9,FALSE)</f>
        <v>170.7</v>
      </c>
      <c r="BK32">
        <f>VLOOKUP($O32,'Table 3 WW Wind 2035'!$B$10:$J$36,9,FALSE)</f>
        <v>166.16</v>
      </c>
      <c r="BL32">
        <f>VLOOKUP($O32,'Table 3 YK Wind 2035'!$B$10:$J$36,9,FALSE)</f>
        <v>166.16</v>
      </c>
      <c r="BM32">
        <f>VLOOKUP($O32,'Table 3 OR Wind 2035'!$B$10:$J$36,9,FALSE)</f>
        <v>164.62</v>
      </c>
      <c r="BN32">
        <f>VLOOKUP($O32,'Table 3 UT Wind 2030'!$B$10:$J$36,9,FALSE)</f>
        <v>171.83</v>
      </c>
      <c r="BO32">
        <f>VLOOKUP($O32,'Table 3 UT Wind 2036'!$B$10:$J$36,9,FALSE)</f>
        <v>160.53</v>
      </c>
      <c r="BP32">
        <f>VLOOKUP($O32,'Table 3 YK Solar 2030'!$B$10:$J$36,9,FALSE)</f>
        <v>137.52000000000001</v>
      </c>
      <c r="BQ32">
        <f>VLOOKUP($O32,'Table 3 YK Solar 2032'!$B$10:$J$36,9,FALSE)</f>
        <v>132.13999999999999</v>
      </c>
      <c r="BR32">
        <f>VLOOKUP($O32,'Table 3 YK Solar 2033'!$B$10:$J$36,9,FALSE)</f>
        <v>129.56</v>
      </c>
      <c r="BS32">
        <f>VLOOKUP($O32,'Table 3 UT Solar 2033 ST'!$B$10:$J$36,9,FALSE)</f>
        <v>130.5</v>
      </c>
      <c r="BT32">
        <f>VLOOKUP($O32,'Table 3 UT Solar 2035 ST'!$B$10:$J$36,9,FALSE)</f>
        <v>125.55</v>
      </c>
      <c r="BU32">
        <f>VLOOKUP($O32,'Table 3 UT Solar 2035 FT'!$B$10:$J$36,9,FALSE)</f>
        <v>122.1</v>
      </c>
      <c r="BV32">
        <f>VLOOKUP($O32,'Table 3 OR Solar 2030'!$B$10:$J$36,9,FALSE)</f>
        <v>141.12</v>
      </c>
      <c r="BW32">
        <f>VLOOKUP($O32,'Table 3 OR Solar 2031'!$B$10:$J$36,9,FALSE)</f>
        <v>138.35</v>
      </c>
      <c r="BX32">
        <f>VLOOKUP($O32,'Table 3 OR Solar 2032'!$B$10:$J$36,9,FALSE)</f>
        <v>135.63999999999999</v>
      </c>
      <c r="BY32">
        <f>VLOOKUP($O32,'Table 3 OR Solar 2033'!$B$10:$J$36,9,FALSE)</f>
        <v>133.01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8">
        <f t="shared" si="29"/>
        <v>0</v>
      </c>
      <c r="CW32">
        <f t="shared" si="24"/>
        <v>2038</v>
      </c>
      <c r="CX32" s="90">
        <f>IFERROR(VLOOKUP($CW32,'Table 3 TransCost D2 '!$B$10:$E$34,4,FALSE),0)</f>
        <v>69.59</v>
      </c>
      <c r="CY32" s="194">
        <f t="shared" si="27"/>
        <v>0</v>
      </c>
    </row>
    <row r="33" spans="1:104" hidden="1">
      <c r="B33" s="15">
        <f t="shared" si="25"/>
        <v>2039</v>
      </c>
      <c r="C33" s="9">
        <f t="shared" si="3"/>
        <v>0</v>
      </c>
      <c r="D33" s="45"/>
      <c r="E33" s="9" t="e">
        <f t="shared" ref="E33" ca="1" si="30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1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4"/>
      <c r="J33" s="194"/>
      <c r="M33" s="117"/>
      <c r="O33">
        <f t="shared" ref="O33" si="32">B33</f>
        <v>2039</v>
      </c>
      <c r="P33">
        <v>0</v>
      </c>
      <c r="Q33">
        <v>0</v>
      </c>
      <c r="R33">
        <v>0</v>
      </c>
      <c r="S33" s="194">
        <v>0</v>
      </c>
      <c r="T33" s="194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160.81</v>
      </c>
      <c r="BG33">
        <f>VLOOKUP($O33,'Table 3 EV2020 Wind_2021'!$B$10:$K$36,10,FALSE)</f>
        <v>157.99</v>
      </c>
      <c r="BH33">
        <f>VLOOKUP($O33,'Table 3 DJ Wind 2030'!$B$10:$J$36,9,FALSE)</f>
        <v>179.42</v>
      </c>
      <c r="BI33">
        <f>VLOOKUP($O33,'Table 3 ID Wind 2030'!$B$10:$J$36,9,FALSE)</f>
        <v>168.82</v>
      </c>
      <c r="BJ33">
        <f>VLOOKUP($O33,'Table 3 ID Wind 2033'!$B$10:$J$36,9,FALSE)</f>
        <v>174.28</v>
      </c>
      <c r="BK33">
        <f>VLOOKUP($O33,'Table 3 WW Wind 2035'!$B$10:$J$36,9,FALSE)</f>
        <v>169.65</v>
      </c>
      <c r="BL33">
        <f>VLOOKUP($O33,'Table 3 YK Wind 2035'!$B$10:$J$36,9,FALSE)</f>
        <v>169.65</v>
      </c>
      <c r="BM33">
        <f>VLOOKUP($O33,'Table 3 OR Wind 2035'!$B$10:$J$36,9,FALSE)</f>
        <v>168.08</v>
      </c>
      <c r="BN33">
        <f>VLOOKUP($O33,'Table 3 UT Wind 2030'!$B$10:$J$36,9,FALSE)</f>
        <v>175.44</v>
      </c>
      <c r="BO33">
        <f>VLOOKUP($O33,'Table 3 UT Wind 2036'!$B$10:$J$36,9,FALSE)</f>
        <v>163.9</v>
      </c>
      <c r="BP33">
        <f>VLOOKUP($O33,'Table 3 YK Solar 2030'!$B$10:$J$36,9,FALSE)</f>
        <v>140.41</v>
      </c>
      <c r="BQ33">
        <f>VLOOKUP($O33,'Table 3 YK Solar 2032'!$B$10:$J$36,9,FALSE)</f>
        <v>134.91999999999999</v>
      </c>
      <c r="BR33">
        <f>VLOOKUP($O33,'Table 3 YK Solar 2033'!$B$10:$J$36,9,FALSE)</f>
        <v>132.28</v>
      </c>
      <c r="BS33">
        <f>VLOOKUP($O33,'Table 3 UT Solar 2033 ST'!$B$10:$J$36,9,FALSE)</f>
        <v>133.24</v>
      </c>
      <c r="BT33">
        <f>VLOOKUP($O33,'Table 3 UT Solar 2035 ST'!$B$10:$J$36,9,FALSE)</f>
        <v>128.19</v>
      </c>
      <c r="BU33">
        <f>VLOOKUP($O33,'Table 3 UT Solar 2035 FT'!$B$10:$J$36,9,FALSE)</f>
        <v>124.67</v>
      </c>
      <c r="BV33">
        <f>VLOOKUP($O33,'Table 3 OR Solar 2030'!$B$10:$J$36,9,FALSE)</f>
        <v>144.08000000000001</v>
      </c>
      <c r="BW33">
        <f>VLOOKUP($O33,'Table 3 OR Solar 2031'!$B$10:$J$36,9,FALSE)</f>
        <v>141.25</v>
      </c>
      <c r="BX33">
        <f>VLOOKUP($O33,'Table 3 OR Solar 2032'!$B$10:$J$36,9,FALSE)</f>
        <v>138.49</v>
      </c>
      <c r="BY33">
        <f>VLOOKUP($O33,'Table 3 OR Solar 2033'!$B$10:$J$36,9,FALSE)</f>
        <v>135.80000000000001</v>
      </c>
      <c r="CA33">
        <f>SUM(AK$13:AK33)*BF33/1000</f>
        <v>0</v>
      </c>
      <c r="CB33">
        <f>SUM(AL$13:AL33)*BG33/1000</f>
        <v>0</v>
      </c>
      <c r="CC33">
        <f>SUM(AM$13:AM33)*BH33/1000</f>
        <v>0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8">
        <f t="shared" ref="CU33" si="33">SUM(CA33:CT33)</f>
        <v>0</v>
      </c>
      <c r="CW33">
        <f t="shared" si="24"/>
        <v>2039</v>
      </c>
      <c r="CX33" s="90">
        <f>IFERROR(VLOOKUP($CW33,'Table 3 TransCost D2 '!$B$10:$E$34,4,FALSE),0)</f>
        <v>71.05</v>
      </c>
      <c r="CY33" s="194">
        <f t="shared" si="27"/>
        <v>0</v>
      </c>
    </row>
    <row r="34" spans="1:104">
      <c r="B34" s="182"/>
      <c r="C34" s="9"/>
      <c r="D34" s="45"/>
      <c r="E34" s="9"/>
      <c r="F34" s="37"/>
      <c r="G34" s="9"/>
      <c r="H34" s="36"/>
      <c r="I34" s="49"/>
      <c r="M34" s="117"/>
      <c r="CU34" s="188"/>
      <c r="CY34" s="90"/>
      <c r="CZ34" s="194"/>
    </row>
    <row r="35" spans="1:104">
      <c r="B35" s="182"/>
      <c r="C35" s="9"/>
      <c r="D35" s="45"/>
      <c r="E35" s="9"/>
      <c r="F35" s="37"/>
      <c r="G35" s="9"/>
      <c r="H35" s="36"/>
      <c r="I35" s="49"/>
      <c r="M35" s="117"/>
    </row>
    <row r="36" spans="1:104" ht="12" customHeight="1">
      <c r="B36" s="182"/>
      <c r="C36" s="9"/>
      <c r="D36" s="45"/>
      <c r="E36" s="9"/>
      <c r="F36" s="37"/>
      <c r="G36" s="9"/>
      <c r="H36" s="36"/>
      <c r="I36" s="49"/>
      <c r="M36" s="117"/>
      <c r="N36" t="s">
        <v>147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4">
      <c r="A37" s="252" t="str">
        <f>'Table 5'!$A$9</f>
        <v>1 Year Starting 2019</v>
      </c>
      <c r="B37" s="252"/>
      <c r="D37" s="9"/>
      <c r="F37" s="37"/>
      <c r="H37" s="36"/>
      <c r="I37"/>
      <c r="N37" t="s">
        <v>159</v>
      </c>
      <c r="S37" s="242">
        <v>0</v>
      </c>
      <c r="T37" s="242">
        <v>0</v>
      </c>
      <c r="X37" s="242">
        <v>0</v>
      </c>
      <c r="Y37" s="242">
        <v>0</v>
      </c>
      <c r="Z37" s="242">
        <v>0</v>
      </c>
      <c r="AA37" s="242">
        <v>0</v>
      </c>
      <c r="AB37" s="242">
        <v>0</v>
      </c>
      <c r="AC37" s="242">
        <v>0</v>
      </c>
      <c r="AD37" s="242">
        <v>0</v>
      </c>
      <c r="AE37" s="242">
        <v>0</v>
      </c>
      <c r="AF37" s="242">
        <v>0</v>
      </c>
      <c r="AG37" s="242">
        <v>0</v>
      </c>
      <c r="AH37" s="242">
        <v>0</v>
      </c>
      <c r="AI37" s="242">
        <v>0</v>
      </c>
    </row>
    <row r="38" spans="1:104">
      <c r="A38" s="215"/>
      <c r="B38" s="55" t="str">
        <f>"20 year Levelized Prices (Nominal) @ "&amp;TEXT(I39,"0.00%")&amp;" Discount Rate (1) (3) "</f>
        <v xml:space="preserve">20 year Levelized Prices (Nominal) @ 6.91% Discount Rate (1) (3) </v>
      </c>
      <c r="E38" s="5"/>
      <c r="I38" s="49" t="s">
        <v>164</v>
      </c>
      <c r="P38" s="184"/>
      <c r="Q38" s="184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</row>
    <row r="39" spans="1:104">
      <c r="B39" s="47" t="s">
        <v>8</v>
      </c>
      <c r="C39" s="9">
        <f ca="1">'Table 5'!$D$9*(Study_CF*8.76)/'Table 5'!$F$9</f>
        <v>0</v>
      </c>
      <c r="D39" s="9"/>
      <c r="H39" s="36"/>
      <c r="I39" s="110">
        <v>6.9099999999999995E-2</v>
      </c>
    </row>
    <row r="40" spans="1:104">
      <c r="B40" s="48" t="s">
        <v>33</v>
      </c>
      <c r="E40" s="9">
        <f ca="1">'Table 5'!$C$9/'Table 5'!$F$9</f>
        <v>17.41722939658564</v>
      </c>
      <c r="G40" s="217">
        <f ca="1">'Table 5'!$G$9</f>
        <v>17.41722939658564</v>
      </c>
      <c r="H40" s="36"/>
    </row>
    <row r="41" spans="1:104" ht="21" customHeight="1">
      <c r="A41" s="253"/>
      <c r="B41" s="253"/>
      <c r="E41" s="9"/>
      <c r="G41" s="109"/>
      <c r="H41" s="36"/>
    </row>
    <row r="42" spans="1:104">
      <c r="B42" s="55"/>
      <c r="E42" s="5"/>
      <c r="H42" s="36"/>
      <c r="I42"/>
      <c r="M42" s="117"/>
    </row>
    <row r="43" spans="1:104">
      <c r="B43" s="47"/>
      <c r="C43" s="9"/>
      <c r="D43" s="9"/>
      <c r="H43" s="36"/>
      <c r="I43"/>
    </row>
    <row r="44" spans="1:104">
      <c r="B44" s="48"/>
      <c r="E44" s="9"/>
      <c r="G44" s="217"/>
      <c r="H44" s="36"/>
      <c r="I44" s="250"/>
      <c r="R44" s="194"/>
    </row>
    <row r="45" spans="1:104" hidden="1">
      <c r="B45" s="55"/>
      <c r="E45" s="5"/>
      <c r="H45" s="36"/>
    </row>
    <row r="46" spans="1:104" hidden="1">
      <c r="B46" s="47"/>
      <c r="C46" s="9"/>
      <c r="D46" s="9"/>
      <c r="H46" s="36"/>
    </row>
    <row r="47" spans="1:104" hidden="1">
      <c r="B47" s="48"/>
      <c r="E47" s="9"/>
      <c r="G47" s="109"/>
      <c r="H47" s="36"/>
    </row>
    <row r="48" spans="1:104" hidden="1">
      <c r="B48" s="47"/>
      <c r="C48" s="9"/>
      <c r="D48" s="9"/>
      <c r="H48" s="36"/>
    </row>
    <row r="49" spans="1:18" hidden="1">
      <c r="B49" s="55"/>
      <c r="E49" s="5"/>
      <c r="H49" s="36"/>
    </row>
    <row r="50" spans="1:18" hidden="1">
      <c r="B50" s="47"/>
      <c r="C50" s="9"/>
      <c r="D50" s="9"/>
      <c r="H50" s="36"/>
    </row>
    <row r="51" spans="1:18">
      <c r="A51" s="253"/>
      <c r="B51" s="253"/>
      <c r="E51" s="9"/>
      <c r="G51" s="109"/>
      <c r="H51" s="36"/>
    </row>
    <row r="52" spans="1:18">
      <c r="B52" s="55"/>
      <c r="E52" s="5"/>
      <c r="H52" s="36"/>
    </row>
    <row r="53" spans="1:18">
      <c r="B53" s="47"/>
      <c r="C53" s="9"/>
      <c r="D53" s="9"/>
      <c r="H53" s="36"/>
    </row>
    <row r="54" spans="1:18">
      <c r="B54" s="48"/>
      <c r="E54" s="9"/>
      <c r="G54" s="217"/>
      <c r="H54" s="36"/>
      <c r="I54" s="250"/>
    </row>
    <row r="55" spans="1:18" ht="21" customHeight="1">
      <c r="A55" s="253"/>
      <c r="B55" s="253"/>
      <c r="E55" s="9"/>
      <c r="G55" s="109"/>
      <c r="H55" s="36"/>
    </row>
    <row r="56" spans="1:18" hidden="1">
      <c r="B56" s="55" t="str">
        <f>"15 year Levelized Prices (Nominal) @ "&amp;TEXT(I57,"0.00%")&amp;" Discount Rate (1) (3) "</f>
        <v xml:space="preserve">15 year Levelized Prices (Nominal) @ 0.00% Discount Rate (1) (3) </v>
      </c>
      <c r="E56" s="5"/>
      <c r="H56" s="36"/>
      <c r="I56"/>
      <c r="M56" s="117"/>
    </row>
    <row r="57" spans="1:18" hidden="1">
      <c r="B57" s="47" t="s">
        <v>8</v>
      </c>
      <c r="C57" s="9" t="e">
        <f ca="1">'Table 5'!$D$7*(Study_CF*8.76)/'Table 5'!$F$7</f>
        <v>#DIV/0!</v>
      </c>
      <c r="D57" s="9"/>
      <c r="H57" s="36"/>
      <c r="I57"/>
    </row>
    <row r="58" spans="1:18" hidden="1">
      <c r="B58" s="48" t="s">
        <v>33</v>
      </c>
      <c r="E58" s="9" t="e">
        <f>'Table 5'!$C$7/'Table 5'!$F$7</f>
        <v>#DIV/0!</v>
      </c>
      <c r="G58" s="217">
        <f>'Table 5'!$G$7</f>
        <v>0</v>
      </c>
      <c r="H58" s="36"/>
      <c r="I58"/>
      <c r="R58" s="194"/>
    </row>
    <row r="59" spans="1:18" hidden="1">
      <c r="B59" s="55"/>
      <c r="E59" s="5"/>
      <c r="H59" s="36"/>
    </row>
    <row r="60" spans="1:18" hidden="1">
      <c r="B60" s="47"/>
      <c r="C60" s="9"/>
      <c r="D60" s="9"/>
      <c r="H60" s="36"/>
    </row>
    <row r="61" spans="1:18" hidden="1">
      <c r="B61" s="48"/>
      <c r="E61" s="9"/>
      <c r="G61" s="109"/>
      <c r="H61" s="36"/>
    </row>
    <row r="62" spans="1:18" hidden="1">
      <c r="B62" s="47"/>
      <c r="C62" s="9"/>
      <c r="D62" s="9"/>
      <c r="H62" s="36"/>
    </row>
    <row r="63" spans="1:18" hidden="1">
      <c r="B63" s="55"/>
      <c r="E63" s="5"/>
      <c r="H63" s="36"/>
    </row>
    <row r="64" spans="1:18" hidden="1">
      <c r="B64" s="47"/>
      <c r="C64" s="9"/>
      <c r="D64" s="9"/>
      <c r="H64" s="36"/>
    </row>
    <row r="65" spans="1:13" hidden="1">
      <c r="A65" s="253">
        <f>'Table 5'!A10</f>
        <v>0</v>
      </c>
      <c r="B65" s="253"/>
      <c r="E65" s="9"/>
      <c r="G65" s="109"/>
      <c r="H65" s="36"/>
    </row>
    <row r="66" spans="1:13" hidden="1">
      <c r="B66" s="55" t="str">
        <f>"15 year Levelized Prices (Nominal) @ "&amp;TEXT(I67,"0.00%")&amp;" Discount Rate (1) (3) "</f>
        <v xml:space="preserve">15 year Levelized Prices (Nominal) @ 0.00% Discount Rate (1) (3) </v>
      </c>
      <c r="E66" s="5"/>
      <c r="H66" s="36"/>
    </row>
    <row r="67" spans="1:13" hidden="1">
      <c r="B67" s="47" t="s">
        <v>8</v>
      </c>
      <c r="C67" s="9" t="e">
        <f ca="1">'Table 5'!$D$10*(Study_CF*8.76)/'Table 5'!$F$10</f>
        <v>#DIV/0!</v>
      </c>
      <c r="D67" s="9"/>
      <c r="H67" s="36"/>
    </row>
    <row r="68" spans="1:13" hidden="1">
      <c r="B68" s="48" t="s">
        <v>33</v>
      </c>
      <c r="E68" s="9" t="e">
        <f>'Table 5'!$C$10/'Table 5'!$F$10</f>
        <v>#DIV/0!</v>
      </c>
      <c r="G68" s="217">
        <f>'Table 5'!$G$10</f>
        <v>0</v>
      </c>
      <c r="H68" s="36"/>
    </row>
    <row r="69" spans="1:13">
      <c r="B69" s="3" t="s">
        <v>16</v>
      </c>
      <c r="E69" s="38"/>
      <c r="G69" s="38"/>
      <c r="H69" s="36"/>
      <c r="I69" s="109"/>
    </row>
    <row r="70" spans="1:13">
      <c r="B70" s="50" t="str">
        <f>"(1)   "&amp;I38</f>
        <v>(1)   Discount Rate - 2017 IRP Update</v>
      </c>
      <c r="E70" s="36"/>
      <c r="F70" s="38"/>
      <c r="G70" s="36"/>
      <c r="H70" s="36"/>
      <c r="I70" s="109"/>
    </row>
    <row r="71" spans="1:13">
      <c r="B71" s="3" t="s">
        <v>22</v>
      </c>
      <c r="F71" s="38"/>
      <c r="H71" s="36"/>
      <c r="I71" s="109"/>
    </row>
    <row r="72" spans="1:13">
      <c r="G72" s="5"/>
    </row>
    <row r="73" spans="1:13">
      <c r="B73" s="3" t="str">
        <f>IF(Study_Cap_Adj&gt;0,"(4)  The capacity payment is derived from:","")</f>
        <v/>
      </c>
    </row>
    <row r="74" spans="1:13" hidden="1">
      <c r="B74" s="95" t="str">
        <f>IF(AND(Study_Cap_Adj&gt;0,_30_Geo_West&lt;&gt;0),"       2028 - "&amp;#REF!&amp;"   ("&amp;TEXT(_30_Geo_West," 0.0%")&amp;")","")</f>
        <v/>
      </c>
    </row>
    <row r="75" spans="1:13" ht="12.75" customHeight="1">
      <c r="B75" s="95"/>
    </row>
    <row r="76" spans="1:13" ht="12.75" customHeight="1">
      <c r="B76" s="95"/>
    </row>
    <row r="77" spans="1:13">
      <c r="B77" s="10"/>
      <c r="C77" s="7"/>
      <c r="D77" s="7"/>
      <c r="E77" s="7"/>
      <c r="G77" s="7"/>
    </row>
    <row r="78" spans="1:13">
      <c r="A78"/>
      <c r="I78"/>
    </row>
    <row r="79" spans="1:13" s="53" customFormat="1">
      <c r="A79" s="54"/>
      <c r="B79" s="10"/>
      <c r="C79" s="54"/>
      <c r="D79" s="54"/>
      <c r="E79" s="54"/>
      <c r="F79" s="54"/>
      <c r="G79" s="54"/>
      <c r="I79"/>
      <c r="J79"/>
      <c r="K79"/>
      <c r="L79"/>
      <c r="M79"/>
    </row>
    <row r="80" spans="1:13" s="53" customFormat="1">
      <c r="A80" s="54"/>
      <c r="B80" s="10"/>
      <c r="C80" s="54"/>
      <c r="D80" s="54"/>
      <c r="E80" s="54"/>
      <c r="F80" s="54"/>
      <c r="G80" s="54"/>
      <c r="I80" s="10"/>
      <c r="J80"/>
      <c r="K80"/>
    </row>
    <row r="81" spans="1:13">
      <c r="A81"/>
      <c r="B81" s="51"/>
      <c r="I81" s="53"/>
      <c r="L81" s="53"/>
      <c r="M81" s="53"/>
    </row>
    <row r="82" spans="1:13">
      <c r="A82"/>
      <c r="F82" s="7"/>
    </row>
    <row r="85" spans="1:13">
      <c r="A85"/>
      <c r="J85" s="53"/>
      <c r="K85" s="53"/>
    </row>
    <row r="86" spans="1:13">
      <c r="A86"/>
      <c r="J86" s="53"/>
      <c r="K86" s="53"/>
    </row>
  </sheetData>
  <mergeCells count="5">
    <mergeCell ref="A37:B37"/>
    <mergeCell ref="A55:B55"/>
    <mergeCell ref="A65:B65"/>
    <mergeCell ref="A41:B41"/>
    <mergeCell ref="A51:B51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Walla Walla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55.55</v>
      </c>
      <c r="F29" s="135">
        <f t="shared" si="1"/>
        <v>46.945238466229604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46.945238466229604</v>
      </c>
      <c r="J29" s="135">
        <f t="shared" si="2"/>
        <v>156.27000000000001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102.74</v>
      </c>
      <c r="E30" s="133">
        <f t="shared" si="10"/>
        <v>56.66</v>
      </c>
      <c r="F30" s="135">
        <f t="shared" si="1"/>
        <v>47.885123768324917</v>
      </c>
      <c r="G30" s="133">
        <f t="shared" si="11"/>
        <v>0</v>
      </c>
      <c r="H30" s="133">
        <f t="shared" si="11"/>
        <v>0</v>
      </c>
      <c r="I30" s="135">
        <f t="shared" si="4"/>
        <v>47.885123768324917</v>
      </c>
      <c r="J30" s="135">
        <f t="shared" si="2"/>
        <v>159.4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104.9</v>
      </c>
      <c r="E31" s="133">
        <f t="shared" si="10"/>
        <v>57.85</v>
      </c>
      <c r="F31" s="135">
        <f t="shared" si="1"/>
        <v>48.8914924297044</v>
      </c>
      <c r="G31" s="133">
        <f t="shared" si="11"/>
        <v>0</v>
      </c>
      <c r="H31" s="133">
        <f t="shared" si="11"/>
        <v>0</v>
      </c>
      <c r="I31" s="135">
        <f t="shared" si="4"/>
        <v>48.8914924297044</v>
      </c>
      <c r="J31" s="135">
        <f t="shared" si="2"/>
        <v>162.75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107.1</v>
      </c>
      <c r="E32" s="133">
        <f t="shared" si="10"/>
        <v>59.06</v>
      </c>
      <c r="F32" s="135">
        <f t="shared" si="1"/>
        <v>49.915885604422016</v>
      </c>
      <c r="G32" s="133">
        <f t="shared" si="11"/>
        <v>0</v>
      </c>
      <c r="H32" s="133">
        <f t="shared" si="11"/>
        <v>0</v>
      </c>
      <c r="I32" s="135">
        <f t="shared" si="4"/>
        <v>49.915885604422016</v>
      </c>
      <c r="J32" s="135">
        <f t="shared" si="2"/>
        <v>166.16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109.35</v>
      </c>
      <c r="E33" s="133">
        <f t="shared" si="10"/>
        <v>60.3</v>
      </c>
      <c r="F33" s="135">
        <f t="shared" si="1"/>
        <v>50.964311463590477</v>
      </c>
      <c r="G33" s="133">
        <f t="shared" si="11"/>
        <v>0</v>
      </c>
      <c r="H33" s="133">
        <f t="shared" si="11"/>
        <v>0</v>
      </c>
      <c r="I33" s="135">
        <f t="shared" si="4"/>
        <v>50.964311463590477</v>
      </c>
      <c r="J33" s="135">
        <f t="shared" si="2"/>
        <v>169.65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111.65</v>
      </c>
      <c r="E34" s="133">
        <f t="shared" si="10"/>
        <v>61.57</v>
      </c>
      <c r="F34" s="135">
        <f t="shared" si="1"/>
        <v>52.03677000720981</v>
      </c>
      <c r="G34" s="133">
        <f t="shared" si="11"/>
        <v>0</v>
      </c>
      <c r="H34" s="133">
        <f t="shared" si="11"/>
        <v>0</v>
      </c>
      <c r="I34" s="135">
        <f t="shared" si="4"/>
        <v>52.03677000720981</v>
      </c>
      <c r="J34" s="135">
        <f t="shared" si="2"/>
        <v>173.22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114.11</v>
      </c>
      <c r="E35" s="133">
        <f t="shared" si="10"/>
        <v>62.92</v>
      </c>
      <c r="F35" s="135">
        <f t="shared" si="1"/>
        <v>53.181326604181692</v>
      </c>
      <c r="G35" s="133">
        <f t="shared" si="11"/>
        <v>0</v>
      </c>
      <c r="H35" s="133">
        <f t="shared" si="11"/>
        <v>0</v>
      </c>
      <c r="I35" s="135">
        <f t="shared" si="4"/>
        <v>53.181326604181692</v>
      </c>
      <c r="J35" s="135">
        <f t="shared" si="2"/>
        <v>177.03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116.62</v>
      </c>
      <c r="E36" s="133">
        <f t="shared" si="10"/>
        <v>64.3</v>
      </c>
      <c r="F36" s="135">
        <f t="shared" si="1"/>
        <v>54.349915885604432</v>
      </c>
      <c r="G36" s="133">
        <f t="shared" si="11"/>
        <v>0</v>
      </c>
      <c r="H36" s="133">
        <f t="shared" si="11"/>
        <v>0</v>
      </c>
      <c r="I36" s="135">
        <f t="shared" si="4"/>
        <v>54.349915885604432</v>
      </c>
      <c r="J36" s="135">
        <f t="shared" si="2"/>
        <v>180.92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">
        <v>117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126</v>
      </c>
      <c r="C55" s="186">
        <v>1417.4139219193135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Yakima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55.55</v>
      </c>
      <c r="F29" s="135">
        <f t="shared" si="1"/>
        <v>46.945238466229604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46.945238466229604</v>
      </c>
      <c r="J29" s="135">
        <f t="shared" si="2"/>
        <v>156.27000000000001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102.74</v>
      </c>
      <c r="E30" s="133">
        <f t="shared" si="10"/>
        <v>56.66</v>
      </c>
      <c r="F30" s="135">
        <f t="shared" si="1"/>
        <v>47.885123768324917</v>
      </c>
      <c r="G30" s="133">
        <f t="shared" si="11"/>
        <v>0</v>
      </c>
      <c r="H30" s="133">
        <f t="shared" si="11"/>
        <v>0</v>
      </c>
      <c r="I30" s="135">
        <f t="shared" si="4"/>
        <v>47.885123768324917</v>
      </c>
      <c r="J30" s="135">
        <f t="shared" si="2"/>
        <v>159.4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104.9</v>
      </c>
      <c r="E31" s="133">
        <f t="shared" si="10"/>
        <v>57.85</v>
      </c>
      <c r="F31" s="135">
        <f t="shared" si="1"/>
        <v>48.8914924297044</v>
      </c>
      <c r="G31" s="133">
        <f t="shared" si="11"/>
        <v>0</v>
      </c>
      <c r="H31" s="133">
        <f t="shared" si="11"/>
        <v>0</v>
      </c>
      <c r="I31" s="135">
        <f t="shared" si="4"/>
        <v>48.8914924297044</v>
      </c>
      <c r="J31" s="135">
        <f t="shared" si="2"/>
        <v>162.75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107.1</v>
      </c>
      <c r="E32" s="133">
        <f t="shared" si="10"/>
        <v>59.06</v>
      </c>
      <c r="F32" s="135">
        <f t="shared" si="1"/>
        <v>49.915885604422016</v>
      </c>
      <c r="G32" s="133">
        <f t="shared" si="11"/>
        <v>0</v>
      </c>
      <c r="H32" s="133">
        <f t="shared" si="11"/>
        <v>0</v>
      </c>
      <c r="I32" s="135">
        <f t="shared" si="4"/>
        <v>49.915885604422016</v>
      </c>
      <c r="J32" s="135">
        <f t="shared" si="2"/>
        <v>166.16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109.35</v>
      </c>
      <c r="E33" s="133">
        <f t="shared" si="10"/>
        <v>60.3</v>
      </c>
      <c r="F33" s="135">
        <f t="shared" si="1"/>
        <v>50.964311463590477</v>
      </c>
      <c r="G33" s="133">
        <f t="shared" si="11"/>
        <v>0</v>
      </c>
      <c r="H33" s="133">
        <f t="shared" si="11"/>
        <v>0</v>
      </c>
      <c r="I33" s="135">
        <f t="shared" si="4"/>
        <v>50.964311463590477</v>
      </c>
      <c r="J33" s="135">
        <f t="shared" si="2"/>
        <v>169.65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111.65</v>
      </c>
      <c r="E34" s="133">
        <f t="shared" si="10"/>
        <v>61.57</v>
      </c>
      <c r="F34" s="135">
        <f t="shared" si="1"/>
        <v>52.03677000720981</v>
      </c>
      <c r="G34" s="133">
        <f t="shared" si="11"/>
        <v>0</v>
      </c>
      <c r="H34" s="133">
        <f t="shared" si="11"/>
        <v>0</v>
      </c>
      <c r="I34" s="135">
        <f t="shared" si="4"/>
        <v>52.03677000720981</v>
      </c>
      <c r="J34" s="135">
        <f t="shared" si="2"/>
        <v>173.22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114.11</v>
      </c>
      <c r="E35" s="133">
        <f t="shared" si="10"/>
        <v>62.92</v>
      </c>
      <c r="F35" s="135">
        <f t="shared" si="1"/>
        <v>53.181326604181692</v>
      </c>
      <c r="G35" s="133">
        <f t="shared" si="11"/>
        <v>0</v>
      </c>
      <c r="H35" s="133">
        <f t="shared" si="11"/>
        <v>0</v>
      </c>
      <c r="I35" s="135">
        <f t="shared" si="4"/>
        <v>53.181326604181692</v>
      </c>
      <c r="J35" s="135">
        <f t="shared" si="2"/>
        <v>177.03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116.62</v>
      </c>
      <c r="E36" s="133">
        <f t="shared" si="10"/>
        <v>64.3</v>
      </c>
      <c r="F36" s="135">
        <f t="shared" si="1"/>
        <v>54.349915885604432</v>
      </c>
      <c r="G36" s="133">
        <f t="shared" si="11"/>
        <v>0</v>
      </c>
      <c r="H36" s="133">
        <f t="shared" si="11"/>
        <v>0</v>
      </c>
      <c r="I36" s="135">
        <f t="shared" si="4"/>
        <v>54.349915885604432</v>
      </c>
      <c r="J36" s="135">
        <f t="shared" si="2"/>
        <v>180.92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">
        <v>117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126</v>
      </c>
      <c r="C55" s="186">
        <v>1417.4139219193135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129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Oregon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1397.0737350359179</v>
      </c>
      <c r="D29" s="133">
        <f>C29*$C$62</f>
        <v>99.275937898489545</v>
      </c>
      <c r="E29" s="133">
        <f t="shared" ref="D29:E36" si="10">ROUND(E28*(1+$K66),2)</f>
        <v>55.55</v>
      </c>
      <c r="F29" s="135">
        <f t="shared" si="1"/>
        <v>46.511036379022336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46.511036379022336</v>
      </c>
      <c r="J29" s="135">
        <f t="shared" si="2"/>
        <v>154.83000000000001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101.26</v>
      </c>
      <c r="E30" s="133">
        <f t="shared" si="10"/>
        <v>56.66</v>
      </c>
      <c r="F30" s="135">
        <f t="shared" si="1"/>
        <v>47.440519105984144</v>
      </c>
      <c r="G30" s="133">
        <f t="shared" si="11"/>
        <v>0</v>
      </c>
      <c r="H30" s="133">
        <f t="shared" si="11"/>
        <v>0</v>
      </c>
      <c r="I30" s="135">
        <f t="shared" si="4"/>
        <v>47.440519105984144</v>
      </c>
      <c r="J30" s="135">
        <f t="shared" si="2"/>
        <v>157.91999999999999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103.39</v>
      </c>
      <c r="E31" s="133">
        <f t="shared" si="10"/>
        <v>57.85</v>
      </c>
      <c r="F31" s="135">
        <f t="shared" si="1"/>
        <v>48.437875510694553</v>
      </c>
      <c r="G31" s="133">
        <f t="shared" si="11"/>
        <v>0</v>
      </c>
      <c r="H31" s="133">
        <f t="shared" si="11"/>
        <v>0</v>
      </c>
      <c r="I31" s="135">
        <f t="shared" si="4"/>
        <v>48.437875510694553</v>
      </c>
      <c r="J31" s="135">
        <f t="shared" si="2"/>
        <v>161.24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105.56</v>
      </c>
      <c r="E32" s="133">
        <f t="shared" si="10"/>
        <v>59.06</v>
      </c>
      <c r="F32" s="135">
        <f t="shared" si="1"/>
        <v>49.453256428743096</v>
      </c>
      <c r="G32" s="133">
        <f t="shared" si="11"/>
        <v>0</v>
      </c>
      <c r="H32" s="133">
        <f t="shared" si="11"/>
        <v>0</v>
      </c>
      <c r="I32" s="135">
        <f t="shared" si="4"/>
        <v>49.453256428743096</v>
      </c>
      <c r="J32" s="135">
        <f t="shared" si="2"/>
        <v>164.62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107.78</v>
      </c>
      <c r="E33" s="133">
        <f t="shared" si="10"/>
        <v>60.3</v>
      </c>
      <c r="F33" s="135">
        <f t="shared" si="1"/>
        <v>50.49267003124249</v>
      </c>
      <c r="G33" s="133">
        <f t="shared" si="11"/>
        <v>0</v>
      </c>
      <c r="H33" s="133">
        <f t="shared" si="11"/>
        <v>0</v>
      </c>
      <c r="I33" s="135">
        <f t="shared" si="4"/>
        <v>50.49267003124249</v>
      </c>
      <c r="J33" s="135">
        <f t="shared" si="2"/>
        <v>168.08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110.04</v>
      </c>
      <c r="E34" s="133">
        <f t="shared" si="10"/>
        <v>61.57</v>
      </c>
      <c r="F34" s="135">
        <f t="shared" si="1"/>
        <v>51.553112232636394</v>
      </c>
      <c r="G34" s="133">
        <f t="shared" si="11"/>
        <v>0</v>
      </c>
      <c r="H34" s="133">
        <f t="shared" si="11"/>
        <v>0</v>
      </c>
      <c r="I34" s="135">
        <f t="shared" si="4"/>
        <v>51.553112232636394</v>
      </c>
      <c r="J34" s="135">
        <f t="shared" si="2"/>
        <v>171.61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112.46</v>
      </c>
      <c r="E35" s="133">
        <f t="shared" si="10"/>
        <v>62.92</v>
      </c>
      <c r="F35" s="135">
        <f t="shared" si="1"/>
        <v>52.685652487382846</v>
      </c>
      <c r="G35" s="133">
        <f t="shared" si="11"/>
        <v>0</v>
      </c>
      <c r="H35" s="133">
        <f t="shared" si="11"/>
        <v>0</v>
      </c>
      <c r="I35" s="135">
        <f t="shared" si="4"/>
        <v>52.685652487382846</v>
      </c>
      <c r="J35" s="135">
        <f t="shared" si="2"/>
        <v>175.38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114.93</v>
      </c>
      <c r="E36" s="133">
        <f t="shared" si="10"/>
        <v>64.3</v>
      </c>
      <c r="F36" s="135">
        <f t="shared" si="1"/>
        <v>53.842225426580157</v>
      </c>
      <c r="G36" s="133">
        <f t="shared" si="11"/>
        <v>0</v>
      </c>
      <c r="H36" s="133">
        <f t="shared" si="11"/>
        <v>0</v>
      </c>
      <c r="I36" s="135">
        <f t="shared" si="4"/>
        <v>53.842225426580157</v>
      </c>
      <c r="J36" s="135">
        <f t="shared" si="2"/>
        <v>179.23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">
        <v>117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126</v>
      </c>
      <c r="C55" s="186">
        <v>1397.0737350359179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131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Resource-2030 - 25%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M11" s="240">
        <v>34.793006303232339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G19" si="5">ROUND(G11*(1+$D67),2)</f>
        <v>0</v>
      </c>
      <c r="H12" s="143">
        <f t="shared" ref="H12:H19" si="6">ROUND(H11*(1+$D67),2)</f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7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6"/>
        <v>0</v>
      </c>
      <c r="I13" s="135">
        <f t="shared" si="2"/>
        <v>8.9811299994498555</v>
      </c>
      <c r="J13" s="135">
        <f t="shared" si="3"/>
        <v>19.59</v>
      </c>
      <c r="K13" s="133">
        <f t="shared" si="7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6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7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6"/>
        <v>0</v>
      </c>
      <c r="I15" s="135">
        <f t="shared" si="2"/>
        <v>9.4258311785956614</v>
      </c>
      <c r="J15" s="135">
        <f t="shared" si="3"/>
        <v>20.56</v>
      </c>
      <c r="K15" s="133">
        <f t="shared" si="7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6"/>
        <v>0</v>
      </c>
      <c r="I16" s="135">
        <f t="shared" si="2"/>
        <v>9.6504740422878736</v>
      </c>
      <c r="J16" s="135">
        <f t="shared" si="3"/>
        <v>21.05</v>
      </c>
      <c r="K16" s="133">
        <f t="shared" si="7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6"/>
        <v>0</v>
      </c>
      <c r="I17" s="135">
        <f t="shared" si="2"/>
        <v>9.8842860024573174</v>
      </c>
      <c r="J17" s="135">
        <f t="shared" si="3"/>
        <v>21.56</v>
      </c>
      <c r="K17" s="133">
        <f t="shared" si="7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6"/>
        <v>0</v>
      </c>
      <c r="I18" s="135">
        <f t="shared" si="2"/>
        <v>10.113513414388146</v>
      </c>
      <c r="J18" s="135">
        <f t="shared" si="3"/>
        <v>22.06</v>
      </c>
      <c r="K18" s="133">
        <f t="shared" si="7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6"/>
        <v>0</v>
      </c>
      <c r="I19" s="135">
        <f t="shared" si="2"/>
        <v>10.347325374557592</v>
      </c>
      <c r="J19" s="135">
        <f t="shared" si="3"/>
        <v>22.57</v>
      </c>
      <c r="K19" s="133">
        <f t="shared" si="7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23.07</v>
      </c>
      <c r="F20" s="135">
        <f t="shared" si="1"/>
        <v>10.576552786488421</v>
      </c>
      <c r="G20" s="133">
        <f t="shared" ref="G20:G28" si="9">ROUND(G19*(1+$G66),2)</f>
        <v>0</v>
      </c>
      <c r="H20" s="143">
        <f t="shared" ref="H20:H28" si="10">ROUND(H19*(1+$G66),2)</f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11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23.58</v>
      </c>
      <c r="F21" s="135">
        <f t="shared" si="1"/>
        <v>10.810364746657864</v>
      </c>
      <c r="G21" s="133">
        <f t="shared" si="9"/>
        <v>0</v>
      </c>
      <c r="H21" s="143">
        <f t="shared" si="10"/>
        <v>0</v>
      </c>
      <c r="I21" s="135">
        <f t="shared" si="2"/>
        <v>10.810364746657864</v>
      </c>
      <c r="J21" s="135">
        <f t="shared" si="3"/>
        <v>23.58</v>
      </c>
      <c r="K21" s="133">
        <f t="shared" si="11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8"/>
        <v>24.1</v>
      </c>
      <c r="F22" s="135">
        <f t="shared" si="1"/>
        <v>11.048761255065926</v>
      </c>
      <c r="G22" s="133">
        <f t="shared" si="9"/>
        <v>0</v>
      </c>
      <c r="H22" s="143">
        <f t="shared" si="10"/>
        <v>0</v>
      </c>
      <c r="I22" s="135">
        <f t="shared" si="2"/>
        <v>11.048761255065926</v>
      </c>
      <c r="J22" s="135">
        <f t="shared" si="3"/>
        <v>24.1</v>
      </c>
      <c r="K22" s="133">
        <f t="shared" si="11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8"/>
        <v>24.61</v>
      </c>
      <c r="F23" s="135">
        <f t="shared" si="1"/>
        <v>11.282573215235372</v>
      </c>
      <c r="G23" s="133">
        <f t="shared" si="9"/>
        <v>0</v>
      </c>
      <c r="H23" s="143">
        <f t="shared" si="10"/>
        <v>0</v>
      </c>
      <c r="I23" s="135">
        <f t="shared" si="2"/>
        <v>11.282573215235372</v>
      </c>
      <c r="J23" s="135">
        <f t="shared" si="3"/>
        <v>24.61</v>
      </c>
      <c r="K23" s="133">
        <f t="shared" si="11"/>
        <v>0.84</v>
      </c>
      <c r="L23" s="124"/>
      <c r="P23" s="170"/>
    </row>
    <row r="24" spans="2:17">
      <c r="B24" s="141">
        <f t="shared" si="0"/>
        <v>2030</v>
      </c>
      <c r="C24" s="132">
        <f>$C$55</f>
        <v>1192.5044909019937</v>
      </c>
      <c r="D24" s="133">
        <f>C24*$C$62</f>
        <v>92.05729505283152</v>
      </c>
      <c r="E24" s="133">
        <f t="shared" si="8"/>
        <v>25.1</v>
      </c>
      <c r="F24" s="135">
        <f t="shared" si="1"/>
        <v>53.711327067554024</v>
      </c>
      <c r="G24" s="133">
        <f t="shared" si="9"/>
        <v>0</v>
      </c>
      <c r="H24" s="143">
        <f t="shared" si="10"/>
        <v>0</v>
      </c>
      <c r="I24" s="135">
        <f t="shared" si="2"/>
        <v>53.711327067554024</v>
      </c>
      <c r="J24" s="135">
        <f t="shared" si="3"/>
        <v>117.16</v>
      </c>
      <c r="K24" s="133">
        <f t="shared" si="11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2">ROUND(D24*(1+$G71),2)</f>
        <v>93.9</v>
      </c>
      <c r="E25" s="133">
        <f t="shared" si="8"/>
        <v>25.6</v>
      </c>
      <c r="F25" s="135">
        <f t="shared" si="1"/>
        <v>54.785351451467974</v>
      </c>
      <c r="G25" s="133">
        <f t="shared" si="9"/>
        <v>0</v>
      </c>
      <c r="H25" s="143">
        <f t="shared" si="10"/>
        <v>0</v>
      </c>
      <c r="I25" s="135">
        <f t="shared" si="2"/>
        <v>54.785351451467974</v>
      </c>
      <c r="J25" s="135">
        <f t="shared" si="3"/>
        <v>119.5</v>
      </c>
      <c r="K25" s="133">
        <f t="shared" si="11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2"/>
        <v>95.78</v>
      </c>
      <c r="E26" s="133">
        <f t="shared" si="8"/>
        <v>26.11</v>
      </c>
      <c r="F26" s="135">
        <f t="shared" si="1"/>
        <v>55.881058480497337</v>
      </c>
      <c r="G26" s="133">
        <f t="shared" si="9"/>
        <v>0</v>
      </c>
      <c r="H26" s="143">
        <f t="shared" si="10"/>
        <v>0</v>
      </c>
      <c r="I26" s="135">
        <f t="shared" si="2"/>
        <v>55.881058480497337</v>
      </c>
      <c r="J26" s="135">
        <f t="shared" si="3"/>
        <v>121.89</v>
      </c>
      <c r="K26" s="133">
        <f t="shared" si="11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2"/>
        <v>97.7</v>
      </c>
      <c r="E27" s="133">
        <f t="shared" si="8"/>
        <v>26.63</v>
      </c>
      <c r="F27" s="135">
        <f t="shared" si="1"/>
        <v>56.999688250719778</v>
      </c>
      <c r="G27" s="133">
        <f t="shared" si="9"/>
        <v>0</v>
      </c>
      <c r="H27" s="143">
        <f t="shared" si="10"/>
        <v>0</v>
      </c>
      <c r="I27" s="135">
        <f t="shared" si="2"/>
        <v>56.999688250719778</v>
      </c>
      <c r="J27" s="135">
        <f t="shared" si="3"/>
        <v>124.33</v>
      </c>
      <c r="K27" s="133">
        <f t="shared" si="11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2"/>
        <v>99.65</v>
      </c>
      <c r="E28" s="133">
        <f t="shared" si="8"/>
        <v>27.16</v>
      </c>
      <c r="F28" s="135">
        <f t="shared" si="1"/>
        <v>58.136656213896686</v>
      </c>
      <c r="G28" s="133">
        <f t="shared" si="9"/>
        <v>0</v>
      </c>
      <c r="H28" s="143">
        <f t="shared" si="10"/>
        <v>0</v>
      </c>
      <c r="I28" s="135">
        <f t="shared" si="2"/>
        <v>58.136656213896686</v>
      </c>
      <c r="J28" s="135">
        <f t="shared" si="3"/>
        <v>126.81</v>
      </c>
      <c r="K28" s="133">
        <f t="shared" si="11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3">ROUND(D28*(1+$K66),2)</f>
        <v>101.64</v>
      </c>
      <c r="E29" s="133">
        <f t="shared" si="13"/>
        <v>27.7</v>
      </c>
      <c r="F29" s="135">
        <f t="shared" si="1"/>
        <v>59.296546918266678</v>
      </c>
      <c r="G29" s="133">
        <f t="shared" ref="G29:H36" si="14">ROUND(G28*(1+$K66),2)</f>
        <v>0</v>
      </c>
      <c r="H29" s="143">
        <f t="shared" si="14"/>
        <v>0</v>
      </c>
      <c r="I29" s="135">
        <f t="shared" si="2"/>
        <v>59.296546918266678</v>
      </c>
      <c r="J29" s="135">
        <f t="shared" si="3"/>
        <v>129.34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3"/>
        <v>103.67</v>
      </c>
      <c r="E30" s="133">
        <f t="shared" si="13"/>
        <v>28.25</v>
      </c>
      <c r="F30" s="135">
        <f t="shared" si="1"/>
        <v>60.479360363829763</v>
      </c>
      <c r="G30" s="133">
        <f t="shared" si="14"/>
        <v>0</v>
      </c>
      <c r="H30" s="143">
        <f t="shared" si="14"/>
        <v>0</v>
      </c>
      <c r="I30" s="135">
        <f t="shared" si="2"/>
        <v>60.479360363829763</v>
      </c>
      <c r="J30" s="135">
        <f t="shared" si="3"/>
        <v>131.91999999999999</v>
      </c>
      <c r="K30" s="133">
        <f t="shared" ref="K30:K36" si="15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3"/>
        <v>105.85</v>
      </c>
      <c r="E31" s="133">
        <f t="shared" si="13"/>
        <v>28.84</v>
      </c>
      <c r="F31" s="135">
        <f t="shared" si="1"/>
        <v>61.74928022592654</v>
      </c>
      <c r="G31" s="133">
        <f t="shared" si="14"/>
        <v>0</v>
      </c>
      <c r="H31" s="143">
        <f t="shared" si="14"/>
        <v>0</v>
      </c>
      <c r="I31" s="135">
        <f t="shared" si="2"/>
        <v>61.74928022592654</v>
      </c>
      <c r="J31" s="135">
        <f t="shared" si="3"/>
        <v>134.69</v>
      </c>
      <c r="K31" s="133">
        <f t="shared" si="15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3"/>
        <v>108.07</v>
      </c>
      <c r="E32" s="133">
        <f t="shared" si="13"/>
        <v>29.45</v>
      </c>
      <c r="F32" s="135">
        <f t="shared" si="1"/>
        <v>63.046707377455022</v>
      </c>
      <c r="G32" s="133">
        <f t="shared" si="14"/>
        <v>0</v>
      </c>
      <c r="H32" s="143">
        <f t="shared" si="14"/>
        <v>0</v>
      </c>
      <c r="I32" s="135">
        <f t="shared" si="2"/>
        <v>63.046707377455022</v>
      </c>
      <c r="J32" s="135">
        <f t="shared" si="3"/>
        <v>137.52000000000001</v>
      </c>
      <c r="K32" s="133">
        <f t="shared" si="15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3"/>
        <v>110.34</v>
      </c>
      <c r="E33" s="133">
        <f t="shared" si="13"/>
        <v>30.07</v>
      </c>
      <c r="F33" s="135">
        <f t="shared" si="1"/>
        <v>64.371641818415213</v>
      </c>
      <c r="G33" s="133">
        <f t="shared" si="14"/>
        <v>0</v>
      </c>
      <c r="H33" s="143">
        <f t="shared" si="14"/>
        <v>0</v>
      </c>
      <c r="I33" s="135">
        <f t="shared" si="2"/>
        <v>64.371641818415213</v>
      </c>
      <c r="J33" s="135">
        <f t="shared" si="3"/>
        <v>140.41</v>
      </c>
      <c r="K33" s="133">
        <f t="shared" si="15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3"/>
        <v>112.66</v>
      </c>
      <c r="E34" s="133">
        <f t="shared" si="13"/>
        <v>30.7</v>
      </c>
      <c r="F34" s="135">
        <f t="shared" si="1"/>
        <v>65.724083548807101</v>
      </c>
      <c r="G34" s="133">
        <f t="shared" si="14"/>
        <v>0</v>
      </c>
      <c r="H34" s="143">
        <f t="shared" si="14"/>
        <v>0</v>
      </c>
      <c r="I34" s="135">
        <f t="shared" si="2"/>
        <v>65.724083548807101</v>
      </c>
      <c r="J34" s="135">
        <f t="shared" si="3"/>
        <v>143.36000000000001</v>
      </c>
      <c r="K34" s="133">
        <f t="shared" si="15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3"/>
        <v>115.14</v>
      </c>
      <c r="E35" s="133">
        <f t="shared" si="13"/>
        <v>31.38</v>
      </c>
      <c r="F35" s="135">
        <f t="shared" si="1"/>
        <v>67.172800792209941</v>
      </c>
      <c r="G35" s="133">
        <f t="shared" si="14"/>
        <v>0</v>
      </c>
      <c r="H35" s="143">
        <f t="shared" si="14"/>
        <v>0</v>
      </c>
      <c r="I35" s="135">
        <f t="shared" si="2"/>
        <v>67.172800792209941</v>
      </c>
      <c r="J35" s="135">
        <f t="shared" si="3"/>
        <v>146.52000000000001</v>
      </c>
      <c r="K35" s="133">
        <f t="shared" si="15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3"/>
        <v>117.67</v>
      </c>
      <c r="E36" s="133">
        <f t="shared" si="13"/>
        <v>32.07</v>
      </c>
      <c r="F36" s="135">
        <f t="shared" si="1"/>
        <v>68.649025325044477</v>
      </c>
      <c r="G36" s="133">
        <f t="shared" si="14"/>
        <v>0</v>
      </c>
      <c r="H36" s="143">
        <f t="shared" si="14"/>
        <v>0</v>
      </c>
      <c r="I36" s="135">
        <f t="shared" si="2"/>
        <v>68.649025325044477</v>
      </c>
      <c r="J36" s="135">
        <f t="shared" si="3"/>
        <v>149.74</v>
      </c>
      <c r="K36" s="133">
        <f t="shared" si="15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Resource-2030 - 25%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119</v>
      </c>
      <c r="C55" s="186">
        <v>1192.5044909019937</v>
      </c>
      <c r="D55" s="122" t="s">
        <v>74</v>
      </c>
      <c r="H55" s="122" t="s">
        <v>9</v>
      </c>
    </row>
    <row r="56" spans="2:24">
      <c r="B56" s="86" t="s">
        <v>111</v>
      </c>
      <c r="C56" s="155">
        <v>18.74175672264068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6">C66+1</f>
        <v>2018</v>
      </c>
      <c r="D67" s="41">
        <v>2.3E-2</v>
      </c>
      <c r="E67" s="86"/>
      <c r="F67" s="88">
        <f t="shared" ref="F67:F74" si="17">F66+1</f>
        <v>2027</v>
      </c>
      <c r="G67" s="41">
        <v>2.1999999999999999E-2</v>
      </c>
      <c r="H67" s="86"/>
      <c r="I67" s="88">
        <f t="shared" ref="I67:I74" si="18">I66+1</f>
        <v>2036</v>
      </c>
      <c r="J67" s="88"/>
      <c r="K67" s="41">
        <v>0.02</v>
      </c>
    </row>
    <row r="68" spans="3:11">
      <c r="C68" s="88">
        <f t="shared" si="16"/>
        <v>2019</v>
      </c>
      <c r="D68" s="41">
        <v>2.1999999999999999E-2</v>
      </c>
      <c r="E68" s="86"/>
      <c r="F68" s="88">
        <f t="shared" si="17"/>
        <v>2028</v>
      </c>
      <c r="G68" s="41">
        <v>2.1999999999999999E-2</v>
      </c>
      <c r="H68" s="86"/>
      <c r="I68" s="88">
        <f t="shared" si="18"/>
        <v>2037</v>
      </c>
      <c r="J68" s="88"/>
      <c r="K68" s="41">
        <v>2.1000000000000001E-2</v>
      </c>
    </row>
    <row r="69" spans="3:11">
      <c r="C69" s="88">
        <f t="shared" si="16"/>
        <v>2020</v>
      </c>
      <c r="D69" s="41">
        <v>2.5000000000000001E-2</v>
      </c>
      <c r="E69" s="86"/>
      <c r="F69" s="88">
        <f t="shared" si="17"/>
        <v>2029</v>
      </c>
      <c r="G69" s="41">
        <v>2.1000000000000001E-2</v>
      </c>
      <c r="H69" s="86"/>
      <c r="I69" s="88">
        <f t="shared" si="18"/>
        <v>2038</v>
      </c>
      <c r="J69" s="88"/>
      <c r="K69" s="41">
        <v>2.1000000000000001E-2</v>
      </c>
    </row>
    <row r="70" spans="3:11">
      <c r="C70" s="88">
        <f t="shared" si="16"/>
        <v>2021</v>
      </c>
      <c r="D70" s="41">
        <v>2.4E-2</v>
      </c>
      <c r="E70" s="86"/>
      <c r="F70" s="88">
        <f t="shared" si="17"/>
        <v>2030</v>
      </c>
      <c r="G70" s="41">
        <v>0.02</v>
      </c>
      <c r="H70" s="86"/>
      <c r="I70" s="88">
        <f t="shared" si="18"/>
        <v>2039</v>
      </c>
      <c r="J70" s="88"/>
      <c r="K70" s="41">
        <v>2.1000000000000001E-2</v>
      </c>
    </row>
    <row r="71" spans="3:11">
      <c r="C71" s="88">
        <f t="shared" si="16"/>
        <v>2022</v>
      </c>
      <c r="D71" s="41">
        <v>2.4E-2</v>
      </c>
      <c r="E71" s="86"/>
      <c r="F71" s="88">
        <f t="shared" si="17"/>
        <v>2031</v>
      </c>
      <c r="G71" s="41">
        <v>0.02</v>
      </c>
      <c r="H71" s="86"/>
      <c r="I71" s="88">
        <f t="shared" si="18"/>
        <v>2040</v>
      </c>
      <c r="J71" s="88"/>
      <c r="K71" s="41">
        <v>2.1000000000000001E-2</v>
      </c>
    </row>
    <row r="72" spans="3:11" s="124" customFormat="1">
      <c r="C72" s="88">
        <f t="shared" si="16"/>
        <v>2023</v>
      </c>
      <c r="D72" s="41">
        <v>2.4E-2</v>
      </c>
      <c r="E72" s="87"/>
      <c r="F72" s="88">
        <f t="shared" si="17"/>
        <v>2032</v>
      </c>
      <c r="G72" s="41">
        <v>0.02</v>
      </c>
      <c r="H72" s="87"/>
      <c r="I72" s="88">
        <f t="shared" si="18"/>
        <v>2041</v>
      </c>
      <c r="J72" s="88"/>
      <c r="K72" s="41">
        <v>2.1999999999999999E-2</v>
      </c>
    </row>
    <row r="73" spans="3:11" s="124" customFormat="1">
      <c r="C73" s="88">
        <f t="shared" si="16"/>
        <v>2024</v>
      </c>
      <c r="D73" s="41">
        <v>2.3E-2</v>
      </c>
      <c r="E73" s="87"/>
      <c r="F73" s="88">
        <f t="shared" si="17"/>
        <v>2033</v>
      </c>
      <c r="G73" s="41">
        <v>0.02</v>
      </c>
      <c r="H73" s="87"/>
      <c r="I73" s="88">
        <f t="shared" si="18"/>
        <v>2042</v>
      </c>
      <c r="J73" s="88"/>
      <c r="K73" s="41">
        <v>2.1999999999999999E-2</v>
      </c>
    </row>
    <row r="74" spans="3:11" s="124" customFormat="1">
      <c r="C74" s="88">
        <f t="shared" si="16"/>
        <v>2025</v>
      </c>
      <c r="D74" s="41">
        <v>2.3E-2</v>
      </c>
      <c r="E74" s="87"/>
      <c r="F74" s="88">
        <f t="shared" si="17"/>
        <v>2034</v>
      </c>
      <c r="G74" s="41">
        <v>0.02</v>
      </c>
      <c r="H74" s="87"/>
      <c r="I74" s="88">
        <f t="shared" si="18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Resource-2032 - 25%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5"/>
        <v>0</v>
      </c>
      <c r="I13" s="135">
        <f t="shared" si="2"/>
        <v>8.9811299994498555</v>
      </c>
      <c r="J13" s="135">
        <f t="shared" si="3"/>
        <v>19.59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5"/>
        <v>0</v>
      </c>
      <c r="I15" s="135">
        <f t="shared" si="2"/>
        <v>9.4258311785956614</v>
      </c>
      <c r="J15" s="135">
        <f t="shared" si="3"/>
        <v>20.56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5"/>
        <v>0</v>
      </c>
      <c r="I16" s="135">
        <f t="shared" si="2"/>
        <v>9.6504740422878736</v>
      </c>
      <c r="J16" s="135">
        <f t="shared" si="3"/>
        <v>21.05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5"/>
        <v>0</v>
      </c>
      <c r="I17" s="135">
        <f t="shared" si="2"/>
        <v>9.8842860024573174</v>
      </c>
      <c r="J17" s="135">
        <f t="shared" si="3"/>
        <v>21.56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5"/>
        <v>0</v>
      </c>
      <c r="I18" s="135">
        <f t="shared" si="2"/>
        <v>10.113513414388146</v>
      </c>
      <c r="J18" s="135">
        <f t="shared" si="3"/>
        <v>22.06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5"/>
        <v>0</v>
      </c>
      <c r="I19" s="135">
        <f t="shared" si="2"/>
        <v>10.347325374557592</v>
      </c>
      <c r="J19" s="135">
        <f t="shared" si="3"/>
        <v>22.57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23.07</v>
      </c>
      <c r="F20" s="135">
        <f t="shared" si="1"/>
        <v>10.576552786488421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23.58</v>
      </c>
      <c r="F21" s="135">
        <f t="shared" si="1"/>
        <v>10.810364746657864</v>
      </c>
      <c r="G21" s="133">
        <f t="shared" si="8"/>
        <v>0</v>
      </c>
      <c r="H21" s="143">
        <f t="shared" si="8"/>
        <v>0</v>
      </c>
      <c r="I21" s="135">
        <f t="shared" si="2"/>
        <v>10.810364746657864</v>
      </c>
      <c r="J21" s="135">
        <f t="shared" si="3"/>
        <v>23.58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</v>
      </c>
      <c r="F22" s="135">
        <f t="shared" si="1"/>
        <v>11.048761255065926</v>
      </c>
      <c r="G22" s="133">
        <f t="shared" si="8"/>
        <v>0</v>
      </c>
      <c r="H22" s="143">
        <f t="shared" si="8"/>
        <v>0</v>
      </c>
      <c r="I22" s="135">
        <f t="shared" si="2"/>
        <v>11.048761255065926</v>
      </c>
      <c r="J22" s="135">
        <f t="shared" si="3"/>
        <v>24.1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24.61</v>
      </c>
      <c r="F23" s="135">
        <f t="shared" si="1"/>
        <v>11.282573215235372</v>
      </c>
      <c r="G23" s="133">
        <f t="shared" si="8"/>
        <v>0</v>
      </c>
      <c r="H23" s="143">
        <f t="shared" si="8"/>
        <v>0</v>
      </c>
      <c r="I23" s="135">
        <f t="shared" si="2"/>
        <v>11.282573215235372</v>
      </c>
      <c r="J23" s="135">
        <f t="shared" si="3"/>
        <v>24.61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25.1</v>
      </c>
      <c r="F24" s="135">
        <f t="shared" si="1"/>
        <v>11.507216078927584</v>
      </c>
      <c r="G24" s="133">
        <f t="shared" si="8"/>
        <v>0</v>
      </c>
      <c r="H24" s="143">
        <f t="shared" si="8"/>
        <v>0</v>
      </c>
      <c r="I24" s="135">
        <f t="shared" si="2"/>
        <v>11.507216078927584</v>
      </c>
      <c r="J24" s="135">
        <f t="shared" si="3"/>
        <v>25.1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25.6</v>
      </c>
      <c r="F25" s="135">
        <f t="shared" si="1"/>
        <v>11.736443490858413</v>
      </c>
      <c r="G25" s="133">
        <f t="shared" si="8"/>
        <v>0</v>
      </c>
      <c r="H25" s="143">
        <f t="shared" si="8"/>
        <v>0</v>
      </c>
      <c r="I25" s="135">
        <f t="shared" si="2"/>
        <v>11.736443490858413</v>
      </c>
      <c r="J25" s="135">
        <f t="shared" si="3"/>
        <v>25.6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1178.9486841766204</v>
      </c>
      <c r="D26" s="133">
        <f>C26*$C$62</f>
        <v>91.010832830745514</v>
      </c>
      <c r="E26" s="133">
        <f t="shared" si="7"/>
        <v>26.11</v>
      </c>
      <c r="F26" s="135">
        <f t="shared" si="1"/>
        <v>53.694610785949976</v>
      </c>
      <c r="G26" s="133">
        <f t="shared" si="8"/>
        <v>0</v>
      </c>
      <c r="H26" s="143">
        <f t="shared" si="8"/>
        <v>0</v>
      </c>
      <c r="I26" s="135">
        <f t="shared" si="2"/>
        <v>53.694610785949976</v>
      </c>
      <c r="J26" s="135">
        <f t="shared" si="3"/>
        <v>117.12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92.83</v>
      </c>
      <c r="E27" s="133">
        <f t="shared" si="7"/>
        <v>26.63</v>
      </c>
      <c r="F27" s="135">
        <f t="shared" si="1"/>
        <v>54.767013258513508</v>
      </c>
      <c r="G27" s="133">
        <f t="shared" si="8"/>
        <v>0</v>
      </c>
      <c r="H27" s="143">
        <f t="shared" si="8"/>
        <v>0</v>
      </c>
      <c r="I27" s="135">
        <f t="shared" si="2"/>
        <v>54.767013258513508</v>
      </c>
      <c r="J27" s="135">
        <f t="shared" si="3"/>
        <v>119.46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94.69</v>
      </c>
      <c r="E28" s="133">
        <f t="shared" si="7"/>
        <v>27.16</v>
      </c>
      <c r="F28" s="135">
        <f t="shared" si="1"/>
        <v>55.862720287542864</v>
      </c>
      <c r="G28" s="133">
        <f t="shared" si="8"/>
        <v>0</v>
      </c>
      <c r="H28" s="143">
        <f t="shared" si="8"/>
        <v>0</v>
      </c>
      <c r="I28" s="135">
        <f t="shared" si="2"/>
        <v>55.862720287542864</v>
      </c>
      <c r="J28" s="135">
        <f t="shared" si="3"/>
        <v>121.85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96.58</v>
      </c>
      <c r="E29" s="133">
        <f t="shared" si="11"/>
        <v>27.7</v>
      </c>
      <c r="F29" s="135">
        <f t="shared" si="1"/>
        <v>56.976765509526693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56.976765509526693</v>
      </c>
      <c r="J29" s="135">
        <f t="shared" si="3"/>
        <v>124.28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98.51</v>
      </c>
      <c r="E30" s="133">
        <f t="shared" si="11"/>
        <v>28.25</v>
      </c>
      <c r="F30" s="135">
        <f t="shared" si="1"/>
        <v>58.113733472703608</v>
      </c>
      <c r="G30" s="133">
        <f t="shared" si="12"/>
        <v>0</v>
      </c>
      <c r="H30" s="143">
        <f t="shared" si="12"/>
        <v>0</v>
      </c>
      <c r="I30" s="135">
        <f t="shared" si="2"/>
        <v>58.113733472703608</v>
      </c>
      <c r="J30" s="135">
        <f t="shared" si="3"/>
        <v>126.76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100.58</v>
      </c>
      <c r="E31" s="133">
        <f t="shared" si="11"/>
        <v>28.84</v>
      </c>
      <c r="F31" s="135">
        <f t="shared" si="1"/>
        <v>59.333223304175604</v>
      </c>
      <c r="G31" s="133">
        <f t="shared" si="12"/>
        <v>0</v>
      </c>
      <c r="H31" s="143">
        <f t="shared" si="12"/>
        <v>0</v>
      </c>
      <c r="I31" s="135">
        <f t="shared" si="2"/>
        <v>59.333223304175604</v>
      </c>
      <c r="J31" s="135">
        <f t="shared" si="3"/>
        <v>129.41999999999999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102.69</v>
      </c>
      <c r="E32" s="133">
        <f t="shared" si="11"/>
        <v>29.45</v>
      </c>
      <c r="F32" s="135">
        <f t="shared" si="1"/>
        <v>60.580220425079311</v>
      </c>
      <c r="G32" s="133">
        <f t="shared" si="12"/>
        <v>0</v>
      </c>
      <c r="H32" s="143">
        <f t="shared" si="12"/>
        <v>0</v>
      </c>
      <c r="I32" s="135">
        <f t="shared" si="2"/>
        <v>60.580220425079311</v>
      </c>
      <c r="J32" s="135">
        <f t="shared" si="3"/>
        <v>132.13999999999999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104.85</v>
      </c>
      <c r="E33" s="133">
        <f t="shared" si="11"/>
        <v>30.07</v>
      </c>
      <c r="F33" s="135">
        <f t="shared" si="1"/>
        <v>61.854724835414714</v>
      </c>
      <c r="G33" s="133">
        <f t="shared" si="12"/>
        <v>0</v>
      </c>
      <c r="H33" s="143">
        <f t="shared" si="12"/>
        <v>0</v>
      </c>
      <c r="I33" s="135">
        <f t="shared" si="2"/>
        <v>61.854724835414714</v>
      </c>
      <c r="J33" s="135">
        <f t="shared" si="3"/>
        <v>134.91999999999999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107.05</v>
      </c>
      <c r="E34" s="133">
        <f t="shared" si="11"/>
        <v>30.7</v>
      </c>
      <c r="F34" s="135">
        <f t="shared" si="1"/>
        <v>63.15215198694321</v>
      </c>
      <c r="G34" s="133">
        <f t="shared" si="12"/>
        <v>0</v>
      </c>
      <c r="H34" s="143">
        <f t="shared" si="12"/>
        <v>0</v>
      </c>
      <c r="I34" s="135">
        <f t="shared" si="2"/>
        <v>63.15215198694321</v>
      </c>
      <c r="J34" s="135">
        <f t="shared" si="3"/>
        <v>137.75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109.41</v>
      </c>
      <c r="E35" s="133">
        <f t="shared" si="11"/>
        <v>31.38</v>
      </c>
      <c r="F35" s="135">
        <f t="shared" si="1"/>
        <v>64.545854651482642</v>
      </c>
      <c r="G35" s="133">
        <f t="shared" si="12"/>
        <v>0</v>
      </c>
      <c r="H35" s="143">
        <f t="shared" si="12"/>
        <v>0</v>
      </c>
      <c r="I35" s="135">
        <f t="shared" si="2"/>
        <v>64.545854651482642</v>
      </c>
      <c r="J35" s="135">
        <f t="shared" si="3"/>
        <v>140.79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111.82</v>
      </c>
      <c r="E36" s="133">
        <f t="shared" si="11"/>
        <v>32.07</v>
      </c>
      <c r="F36" s="135">
        <f t="shared" si="1"/>
        <v>65.967064605453771</v>
      </c>
      <c r="G36" s="133">
        <f t="shared" si="12"/>
        <v>0</v>
      </c>
      <c r="H36" s="143">
        <f t="shared" si="12"/>
        <v>0</v>
      </c>
      <c r="I36" s="135">
        <f t="shared" si="2"/>
        <v>65.967064605453771</v>
      </c>
      <c r="J36" s="135">
        <f t="shared" si="3"/>
        <v>143.88999999999999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YK Solar 2030'!D44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Resource-2032 - 25%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130</v>
      </c>
      <c r="C55" s="186">
        <v>1178.9486841766204</v>
      </c>
      <c r="D55" s="122" t="s">
        <v>74</v>
      </c>
      <c r="H55" s="122" t="s">
        <v>9</v>
      </c>
    </row>
    <row r="56" spans="2:24">
      <c r="B56" s="86" t="s">
        <v>111</v>
      </c>
      <c r="C56" s="155">
        <v>18.74175672264068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Resource-2033 - 25%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5"/>
        <v>0</v>
      </c>
      <c r="I13" s="135">
        <f t="shared" si="2"/>
        <v>8.9811299994498555</v>
      </c>
      <c r="J13" s="135">
        <f t="shared" si="3"/>
        <v>19.59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5"/>
        <v>0</v>
      </c>
      <c r="I15" s="135">
        <f t="shared" si="2"/>
        <v>9.4258311785956614</v>
      </c>
      <c r="J15" s="135">
        <f t="shared" si="3"/>
        <v>20.56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5"/>
        <v>0</v>
      </c>
      <c r="I16" s="135">
        <f t="shared" si="2"/>
        <v>9.6504740422878736</v>
      </c>
      <c r="J16" s="135">
        <f t="shared" si="3"/>
        <v>21.05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5"/>
        <v>0</v>
      </c>
      <c r="I17" s="135">
        <f t="shared" si="2"/>
        <v>9.8842860024573174</v>
      </c>
      <c r="J17" s="135">
        <f t="shared" si="3"/>
        <v>21.56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5"/>
        <v>0</v>
      </c>
      <c r="I18" s="135">
        <f t="shared" si="2"/>
        <v>10.113513414388146</v>
      </c>
      <c r="J18" s="135">
        <f t="shared" si="3"/>
        <v>22.06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5"/>
        <v>0</v>
      </c>
      <c r="I19" s="135">
        <f t="shared" si="2"/>
        <v>10.347325374557592</v>
      </c>
      <c r="J19" s="135">
        <f t="shared" si="3"/>
        <v>22.57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23.07</v>
      </c>
      <c r="F20" s="135">
        <f t="shared" si="1"/>
        <v>10.576552786488421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23.58</v>
      </c>
      <c r="F21" s="135">
        <f t="shared" si="1"/>
        <v>10.810364746657864</v>
      </c>
      <c r="G21" s="133">
        <f t="shared" si="8"/>
        <v>0</v>
      </c>
      <c r="H21" s="143">
        <f t="shared" si="8"/>
        <v>0</v>
      </c>
      <c r="I21" s="135">
        <f t="shared" si="2"/>
        <v>10.810364746657864</v>
      </c>
      <c r="J21" s="135">
        <f t="shared" si="3"/>
        <v>23.58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</v>
      </c>
      <c r="F22" s="135">
        <f t="shared" si="1"/>
        <v>11.048761255065926</v>
      </c>
      <c r="G22" s="133">
        <f t="shared" si="8"/>
        <v>0</v>
      </c>
      <c r="H22" s="143">
        <f t="shared" si="8"/>
        <v>0</v>
      </c>
      <c r="I22" s="135">
        <f t="shared" si="2"/>
        <v>11.048761255065926</v>
      </c>
      <c r="J22" s="135">
        <f t="shared" si="3"/>
        <v>24.1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24.61</v>
      </c>
      <c r="F23" s="135">
        <f t="shared" si="1"/>
        <v>11.282573215235372</v>
      </c>
      <c r="G23" s="133">
        <f t="shared" si="8"/>
        <v>0</v>
      </c>
      <c r="H23" s="143">
        <f t="shared" si="8"/>
        <v>0</v>
      </c>
      <c r="I23" s="135">
        <f t="shared" si="2"/>
        <v>11.282573215235372</v>
      </c>
      <c r="J23" s="135">
        <f t="shared" si="3"/>
        <v>24.61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25.1</v>
      </c>
      <c r="F24" s="135">
        <f t="shared" si="1"/>
        <v>11.507216078927584</v>
      </c>
      <c r="G24" s="133">
        <f t="shared" si="8"/>
        <v>0</v>
      </c>
      <c r="H24" s="143">
        <f t="shared" si="8"/>
        <v>0</v>
      </c>
      <c r="I24" s="135">
        <f t="shared" si="2"/>
        <v>11.507216078927584</v>
      </c>
      <c r="J24" s="135">
        <f t="shared" si="3"/>
        <v>25.1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25.6</v>
      </c>
      <c r="F25" s="135">
        <f t="shared" si="1"/>
        <v>11.736443490858413</v>
      </c>
      <c r="G25" s="133">
        <f t="shared" si="8"/>
        <v>0</v>
      </c>
      <c r="H25" s="143">
        <f t="shared" si="8"/>
        <v>0</v>
      </c>
      <c r="I25" s="135">
        <f t="shared" si="2"/>
        <v>11.736443490858413</v>
      </c>
      <c r="J25" s="135">
        <f t="shared" si="3"/>
        <v>25.6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26.11</v>
      </c>
      <c r="F26" s="135">
        <f t="shared" si="1"/>
        <v>11.970255451027857</v>
      </c>
      <c r="G26" s="133">
        <f t="shared" si="8"/>
        <v>0</v>
      </c>
      <c r="H26" s="143">
        <f t="shared" si="8"/>
        <v>0</v>
      </c>
      <c r="I26" s="135">
        <f t="shared" si="2"/>
        <v>11.970255451027857</v>
      </c>
      <c r="J26" s="135">
        <f t="shared" si="3"/>
        <v>26.11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1172.2286766768136</v>
      </c>
      <c r="D27" s="133">
        <f>C27*$C$62</f>
        <v>90.49207108361027</v>
      </c>
      <c r="E27" s="133">
        <f t="shared" si="7"/>
        <v>26.63</v>
      </c>
      <c r="F27" s="135">
        <f t="shared" si="1"/>
        <v>53.695178468948981</v>
      </c>
      <c r="G27" s="133">
        <f t="shared" si="8"/>
        <v>0</v>
      </c>
      <c r="H27" s="143">
        <f t="shared" si="8"/>
        <v>0</v>
      </c>
      <c r="I27" s="135">
        <f t="shared" si="2"/>
        <v>53.695178468948981</v>
      </c>
      <c r="J27" s="135">
        <f t="shared" si="3"/>
        <v>117.12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92.3</v>
      </c>
      <c r="E28" s="133">
        <f t="shared" si="7"/>
        <v>27.16</v>
      </c>
      <c r="F28" s="135">
        <f t="shared" si="1"/>
        <v>54.767013258513508</v>
      </c>
      <c r="G28" s="133">
        <f t="shared" si="8"/>
        <v>0</v>
      </c>
      <c r="H28" s="143">
        <f t="shared" si="8"/>
        <v>0</v>
      </c>
      <c r="I28" s="135">
        <f t="shared" si="2"/>
        <v>54.767013258513508</v>
      </c>
      <c r="J28" s="135">
        <f t="shared" si="3"/>
        <v>119.46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94.15</v>
      </c>
      <c r="E29" s="133">
        <f t="shared" si="11"/>
        <v>27.7</v>
      </c>
      <c r="F29" s="135">
        <f t="shared" si="1"/>
        <v>55.862720287542871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55.862720287542871</v>
      </c>
      <c r="J29" s="135">
        <f t="shared" si="3"/>
        <v>121.85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96.03</v>
      </c>
      <c r="E30" s="133">
        <f t="shared" si="11"/>
        <v>28.25</v>
      </c>
      <c r="F30" s="135">
        <f t="shared" si="1"/>
        <v>56.976765509526693</v>
      </c>
      <c r="G30" s="133">
        <f t="shared" si="12"/>
        <v>0</v>
      </c>
      <c r="H30" s="143">
        <f t="shared" si="12"/>
        <v>0</v>
      </c>
      <c r="I30" s="135">
        <f t="shared" si="2"/>
        <v>56.976765509526693</v>
      </c>
      <c r="J30" s="135">
        <f t="shared" si="3"/>
        <v>124.28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98.05</v>
      </c>
      <c r="E31" s="133">
        <f t="shared" si="11"/>
        <v>28.84</v>
      </c>
      <c r="F31" s="135">
        <f t="shared" si="1"/>
        <v>58.173332599805619</v>
      </c>
      <c r="G31" s="133">
        <f t="shared" si="12"/>
        <v>0</v>
      </c>
      <c r="H31" s="143">
        <f t="shared" si="12"/>
        <v>0</v>
      </c>
      <c r="I31" s="135">
        <f t="shared" si="2"/>
        <v>58.173332599805619</v>
      </c>
      <c r="J31" s="135">
        <f t="shared" si="3"/>
        <v>126.89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100.11</v>
      </c>
      <c r="E32" s="133">
        <f t="shared" si="11"/>
        <v>29.45</v>
      </c>
      <c r="F32" s="135">
        <f t="shared" si="1"/>
        <v>59.397406979516241</v>
      </c>
      <c r="G32" s="133">
        <f t="shared" si="12"/>
        <v>0</v>
      </c>
      <c r="H32" s="143">
        <f t="shared" si="12"/>
        <v>0</v>
      </c>
      <c r="I32" s="135">
        <f t="shared" si="2"/>
        <v>59.397406979516241</v>
      </c>
      <c r="J32" s="135">
        <f t="shared" si="3"/>
        <v>129.56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102.21</v>
      </c>
      <c r="E33" s="133">
        <f t="shared" si="11"/>
        <v>30.07</v>
      </c>
      <c r="F33" s="135">
        <f t="shared" si="1"/>
        <v>60.644404100419948</v>
      </c>
      <c r="G33" s="133">
        <f t="shared" si="12"/>
        <v>0</v>
      </c>
      <c r="H33" s="143">
        <f t="shared" si="12"/>
        <v>0</v>
      </c>
      <c r="I33" s="135">
        <f t="shared" si="2"/>
        <v>60.644404100419948</v>
      </c>
      <c r="J33" s="135">
        <f t="shared" si="3"/>
        <v>132.28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104.36</v>
      </c>
      <c r="E34" s="133">
        <f t="shared" si="11"/>
        <v>30.7</v>
      </c>
      <c r="F34" s="135">
        <f t="shared" si="1"/>
        <v>61.918908510755358</v>
      </c>
      <c r="G34" s="133">
        <f t="shared" si="12"/>
        <v>0</v>
      </c>
      <c r="H34" s="143">
        <f t="shared" si="12"/>
        <v>0</v>
      </c>
      <c r="I34" s="135">
        <f t="shared" si="2"/>
        <v>61.918908510755358</v>
      </c>
      <c r="J34" s="135">
        <f t="shared" si="3"/>
        <v>135.06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106.66</v>
      </c>
      <c r="E35" s="133">
        <f t="shared" si="11"/>
        <v>31.38</v>
      </c>
      <c r="F35" s="135">
        <f t="shared" si="1"/>
        <v>63.285103885863087</v>
      </c>
      <c r="G35" s="133">
        <f t="shared" si="12"/>
        <v>0</v>
      </c>
      <c r="H35" s="143">
        <f t="shared" si="12"/>
        <v>0</v>
      </c>
      <c r="I35" s="135">
        <f t="shared" si="2"/>
        <v>63.285103885863087</v>
      </c>
      <c r="J35" s="135">
        <f t="shared" si="3"/>
        <v>138.04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109.01</v>
      </c>
      <c r="E36" s="133">
        <f t="shared" si="11"/>
        <v>32.07</v>
      </c>
      <c r="F36" s="135">
        <f t="shared" si="1"/>
        <v>64.678806550402527</v>
      </c>
      <c r="G36" s="133">
        <f t="shared" si="12"/>
        <v>0</v>
      </c>
      <c r="H36" s="143">
        <f t="shared" si="12"/>
        <v>0</v>
      </c>
      <c r="I36" s="135">
        <f t="shared" si="2"/>
        <v>64.678806550402527</v>
      </c>
      <c r="J36" s="135">
        <f t="shared" si="3"/>
        <v>141.08000000000001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YK Solar 2032'!D44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Resource-2033 - 25%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1172.2286766768136</v>
      </c>
      <c r="D55" s="122" t="s">
        <v>74</v>
      </c>
      <c r="H55" s="122" t="s">
        <v>9</v>
      </c>
    </row>
    <row r="56" spans="2:24">
      <c r="B56" s="86" t="s">
        <v>111</v>
      </c>
      <c r="C56" s="155">
        <v>18.74175672264068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135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3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G19" si="4">ROUND(D11*(1+$D67),2)</f>
        <v>0</v>
      </c>
      <c r="E12" s="133">
        <f t="shared" si="4"/>
        <v>20.14</v>
      </c>
      <c r="F12" s="135">
        <f t="shared" si="1"/>
        <v>7.3925619228002182</v>
      </c>
      <c r="G12" s="133">
        <f t="shared" si="4"/>
        <v>0</v>
      </c>
      <c r="H12" s="143">
        <f t="shared" ref="H12" si="5">ROUND(H11*(1+$D67),2)</f>
        <v>0</v>
      </c>
      <c r="I12" s="135">
        <f t="shared" si="2"/>
        <v>7.3925619228002182</v>
      </c>
      <c r="J12" s="135">
        <f t="shared" si="3"/>
        <v>20.14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20.58</v>
      </c>
      <c r="F13" s="135">
        <f t="shared" si="1"/>
        <v>7.5540677443509665</v>
      </c>
      <c r="G13" s="133">
        <f t="shared" si="4"/>
        <v>0</v>
      </c>
      <c r="H13" s="143">
        <f t="shared" ref="H13" si="7">ROUND(H12*(1+$D68),2)</f>
        <v>0</v>
      </c>
      <c r="I13" s="135">
        <f t="shared" si="2"/>
        <v>7.5540677443509665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21.09</v>
      </c>
      <c r="F14" s="135">
        <f t="shared" si="1"/>
        <v>7.7412676738756998</v>
      </c>
      <c r="G14" s="133">
        <f t="shared" si="4"/>
        <v>0</v>
      </c>
      <c r="H14" s="143">
        <f t="shared" ref="H14" si="8">ROUND(H13*(1+$D69),2)</f>
        <v>0</v>
      </c>
      <c r="I14" s="135">
        <f t="shared" si="2"/>
        <v>7.7412676738756998</v>
      </c>
      <c r="J14" s="135">
        <f t="shared" si="3"/>
        <v>21.09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</v>
      </c>
      <c r="F15" s="135">
        <f t="shared" si="1"/>
        <v>7.9284676034004322</v>
      </c>
      <c r="G15" s="133">
        <f t="shared" si="4"/>
        <v>0</v>
      </c>
      <c r="H15" s="143">
        <f t="shared" ref="H15" si="9">ROUND(H14*(1+$D70),2)</f>
        <v>0</v>
      </c>
      <c r="I15" s="135">
        <f t="shared" si="2"/>
        <v>7.9284676034004322</v>
      </c>
      <c r="J15" s="135">
        <f t="shared" si="3"/>
        <v>21.6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22.12</v>
      </c>
      <c r="F16" s="135">
        <f t="shared" si="1"/>
        <v>8.1193381197785914</v>
      </c>
      <c r="G16" s="133">
        <f t="shared" si="4"/>
        <v>0</v>
      </c>
      <c r="H16" s="143">
        <f t="shared" ref="H16" si="10">ROUND(H15*(1+$D71),2)</f>
        <v>0</v>
      </c>
      <c r="I16" s="135">
        <f t="shared" si="2"/>
        <v>8.1193381197785914</v>
      </c>
      <c r="J16" s="135">
        <f t="shared" si="3"/>
        <v>22.12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22.65</v>
      </c>
      <c r="F17" s="135">
        <f t="shared" si="1"/>
        <v>8.3138792230101739</v>
      </c>
      <c r="G17" s="133">
        <f t="shared" si="4"/>
        <v>0</v>
      </c>
      <c r="H17" s="143">
        <f t="shared" ref="H17" si="11">ROUND(H16*(1+$D72),2)</f>
        <v>0</v>
      </c>
      <c r="I17" s="135">
        <f t="shared" si="2"/>
        <v>8.3138792230101739</v>
      </c>
      <c r="J17" s="135">
        <f t="shared" si="3"/>
        <v>22.65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23.17</v>
      </c>
      <c r="F18" s="135">
        <f t="shared" si="1"/>
        <v>8.504749739388334</v>
      </c>
      <c r="G18" s="133">
        <f t="shared" si="4"/>
        <v>0</v>
      </c>
      <c r="H18" s="143">
        <f t="shared" ref="H18" si="12">ROUND(H17*(1+$D73),2)</f>
        <v>0</v>
      </c>
      <c r="I18" s="135">
        <f t="shared" si="2"/>
        <v>8.504749739388334</v>
      </c>
      <c r="J18" s="135">
        <f t="shared" si="3"/>
        <v>23.17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23.7</v>
      </c>
      <c r="F19" s="135">
        <f t="shared" si="1"/>
        <v>8.6992908426199183</v>
      </c>
      <c r="G19" s="133">
        <f t="shared" si="4"/>
        <v>0</v>
      </c>
      <c r="H19" s="143">
        <f t="shared" ref="H19" si="13">ROUND(H18*(1+$D74),2)</f>
        <v>0</v>
      </c>
      <c r="I19" s="135">
        <f t="shared" si="2"/>
        <v>8.6992908426199183</v>
      </c>
      <c r="J19" s="135">
        <f t="shared" si="3"/>
        <v>23.7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24.22</v>
      </c>
      <c r="F20" s="135">
        <f t="shared" si="1"/>
        <v>8.8901613589980766</v>
      </c>
      <c r="G20" s="133">
        <f>ROUND(G19*(1+$G66),2)</f>
        <v>0</v>
      </c>
      <c r="H20" s="143">
        <f>ROUND(H19*(1+$G66),2)</f>
        <v>0</v>
      </c>
      <c r="I20" s="135">
        <f t="shared" si="2"/>
        <v>8.8901613589980766</v>
      </c>
      <c r="J20" s="135">
        <f t="shared" si="3"/>
        <v>24.22</v>
      </c>
      <c r="K20" s="133">
        <f t="shared" ref="K20:K28" si="14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G28" si="15">ROUND(D20*(1+$G67),2)</f>
        <v>0</v>
      </c>
      <c r="E21" s="133">
        <f t="shared" si="15"/>
        <v>24.75</v>
      </c>
      <c r="F21" s="135">
        <f t="shared" si="1"/>
        <v>9.0847024622296608</v>
      </c>
      <c r="G21" s="133">
        <f t="shared" si="15"/>
        <v>0</v>
      </c>
      <c r="H21" s="143">
        <f t="shared" ref="H21" si="16">ROUND(H20*(1+$G67),2)</f>
        <v>0</v>
      </c>
      <c r="I21" s="135">
        <f t="shared" si="2"/>
        <v>9.0847024622296608</v>
      </c>
      <c r="J21" s="135">
        <f t="shared" si="3"/>
        <v>24.75</v>
      </c>
      <c r="K21" s="133">
        <f t="shared" si="14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15"/>
        <v>0</v>
      </c>
      <c r="E22" s="133">
        <f t="shared" si="15"/>
        <v>25.29</v>
      </c>
      <c r="F22" s="135">
        <f t="shared" si="1"/>
        <v>9.2829141523146728</v>
      </c>
      <c r="G22" s="133">
        <f t="shared" si="15"/>
        <v>0</v>
      </c>
      <c r="H22" s="143">
        <f t="shared" ref="H22" si="17">ROUND(H21*(1+$G68),2)</f>
        <v>0</v>
      </c>
      <c r="I22" s="135">
        <f t="shared" si="2"/>
        <v>9.2829141523146728</v>
      </c>
      <c r="J22" s="135">
        <f t="shared" si="3"/>
        <v>25.29</v>
      </c>
      <c r="K22" s="133">
        <f t="shared" si="14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15"/>
        <v>0</v>
      </c>
      <c r="E23" s="133">
        <f t="shared" si="15"/>
        <v>25.82</v>
      </c>
      <c r="F23" s="135">
        <f t="shared" si="1"/>
        <v>9.477455255546257</v>
      </c>
      <c r="G23" s="133">
        <f t="shared" si="15"/>
        <v>0</v>
      </c>
      <c r="H23" s="143">
        <f t="shared" ref="H23" si="18">ROUND(H22*(1+$G69),2)</f>
        <v>0</v>
      </c>
      <c r="I23" s="135">
        <f t="shared" si="2"/>
        <v>9.477455255546257</v>
      </c>
      <c r="J23" s="135">
        <f t="shared" si="3"/>
        <v>25.82</v>
      </c>
      <c r="K23" s="133">
        <f t="shared" si="14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15"/>
        <v>0</v>
      </c>
      <c r="E24" s="133">
        <f t="shared" si="15"/>
        <v>26.34</v>
      </c>
      <c r="F24" s="135">
        <f t="shared" si="1"/>
        <v>9.6683257719244153</v>
      </c>
      <c r="G24" s="133">
        <f t="shared" si="15"/>
        <v>0</v>
      </c>
      <c r="H24" s="143">
        <f t="shared" ref="H24" si="19">ROUND(H23*(1+$G70),2)</f>
        <v>0</v>
      </c>
      <c r="I24" s="135">
        <f t="shared" si="2"/>
        <v>9.6683257719244153</v>
      </c>
      <c r="J24" s="135">
        <f t="shared" si="3"/>
        <v>26.34</v>
      </c>
      <c r="K24" s="133">
        <f t="shared" si="14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15"/>
        <v>0</v>
      </c>
      <c r="E25" s="133">
        <f t="shared" si="15"/>
        <v>26.87</v>
      </c>
      <c r="F25" s="135">
        <f t="shared" si="1"/>
        <v>9.8628668751560014</v>
      </c>
      <c r="G25" s="133">
        <f t="shared" si="15"/>
        <v>0</v>
      </c>
      <c r="H25" s="143">
        <f t="shared" ref="H25" si="20">ROUND(H24*(1+$G71),2)</f>
        <v>0</v>
      </c>
      <c r="I25" s="135">
        <f t="shared" si="2"/>
        <v>9.8628668751560014</v>
      </c>
      <c r="J25" s="135">
        <f t="shared" si="3"/>
        <v>26.87</v>
      </c>
      <c r="K25" s="133">
        <f t="shared" si="14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5"/>
        <v>0</v>
      </c>
      <c r="E26" s="133">
        <f t="shared" si="15"/>
        <v>27.41</v>
      </c>
      <c r="F26" s="135">
        <f t="shared" si="1"/>
        <v>10.061078565241012</v>
      </c>
      <c r="G26" s="133">
        <f t="shared" si="15"/>
        <v>0</v>
      </c>
      <c r="H26" s="143">
        <f t="shared" ref="H26" si="21">ROUND(H25*(1+$G72),2)</f>
        <v>0</v>
      </c>
      <c r="I26" s="135">
        <f t="shared" si="2"/>
        <v>10.061078565241012</v>
      </c>
      <c r="J26" s="135">
        <f t="shared" si="3"/>
        <v>27.41</v>
      </c>
      <c r="K26" s="133">
        <f t="shared" si="14"/>
        <v>0.9</v>
      </c>
      <c r="L26" s="124"/>
      <c r="P26" s="170"/>
    </row>
    <row r="27" spans="2:17">
      <c r="B27" s="141">
        <f t="shared" si="0"/>
        <v>2033</v>
      </c>
      <c r="C27" s="132">
        <f>$C$55</f>
        <v>1165.8805905559132</v>
      </c>
      <c r="D27" s="133">
        <f>C27*$C$62</f>
        <v>90.002020403289137</v>
      </c>
      <c r="E27" s="133">
        <f t="shared" si="15"/>
        <v>27.96</v>
      </c>
      <c r="F27" s="135">
        <f t="shared" si="1"/>
        <v>43.298984129589755</v>
      </c>
      <c r="G27" s="133">
        <f t="shared" si="15"/>
        <v>0</v>
      </c>
      <c r="H27" s="143">
        <f t="shared" ref="H27" si="22">ROUND(H26*(1+$G73),2)</f>
        <v>0</v>
      </c>
      <c r="I27" s="135">
        <f t="shared" si="2"/>
        <v>43.298984129589755</v>
      </c>
      <c r="J27" s="135">
        <f t="shared" si="3"/>
        <v>117.96</v>
      </c>
      <c r="K27" s="133">
        <f t="shared" si="14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5"/>
        <v>91.8</v>
      </c>
      <c r="E28" s="133">
        <f t="shared" si="15"/>
        <v>28.52</v>
      </c>
      <c r="F28" s="135">
        <f t="shared" si="1"/>
        <v>44.164501020423145</v>
      </c>
      <c r="G28" s="133">
        <f t="shared" si="15"/>
        <v>0</v>
      </c>
      <c r="H28" s="143">
        <f t="shared" ref="H28" si="23">ROUND(H27*(1+$G74),2)</f>
        <v>0</v>
      </c>
      <c r="I28" s="135">
        <f t="shared" si="2"/>
        <v>44.164501020423145</v>
      </c>
      <c r="J28" s="135">
        <f t="shared" si="3"/>
        <v>120.32</v>
      </c>
      <c r="K28" s="133">
        <f t="shared" si="14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24">ROUND(D28*(1+$K66),2)</f>
        <v>93.64</v>
      </c>
      <c r="E29" s="133">
        <f t="shared" si="24"/>
        <v>29.09</v>
      </c>
      <c r="F29" s="135">
        <f t="shared" si="1"/>
        <v>45.049112452098846</v>
      </c>
      <c r="G29" s="133">
        <f t="shared" ref="G29:H36" si="25">ROUND(G28*(1+$K66),2)</f>
        <v>0</v>
      </c>
      <c r="H29" s="143">
        <f t="shared" si="25"/>
        <v>0</v>
      </c>
      <c r="I29" s="135">
        <f t="shared" si="2"/>
        <v>45.049112452098846</v>
      </c>
      <c r="J29" s="135">
        <f t="shared" si="3"/>
        <v>122.73</v>
      </c>
      <c r="K29" s="133">
        <f t="shared" ref="K29:K36" si="26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24"/>
        <v>95.51</v>
      </c>
      <c r="E30" s="133">
        <f t="shared" si="24"/>
        <v>29.67</v>
      </c>
      <c r="F30" s="135">
        <f t="shared" si="1"/>
        <v>45.948406231188244</v>
      </c>
      <c r="G30" s="133">
        <f t="shared" si="25"/>
        <v>0</v>
      </c>
      <c r="H30" s="143">
        <f t="shared" si="25"/>
        <v>0</v>
      </c>
      <c r="I30" s="135">
        <f t="shared" si="2"/>
        <v>45.948406231188244</v>
      </c>
      <c r="J30" s="135">
        <f t="shared" si="3"/>
        <v>125.18</v>
      </c>
      <c r="K30" s="133">
        <f t="shared" si="26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24"/>
        <v>97.52</v>
      </c>
      <c r="E31" s="133">
        <f t="shared" si="24"/>
        <v>30.29</v>
      </c>
      <c r="F31" s="135">
        <f t="shared" si="1"/>
        <v>46.913770573639319</v>
      </c>
      <c r="G31" s="133">
        <f t="shared" si="25"/>
        <v>0</v>
      </c>
      <c r="H31" s="143">
        <f t="shared" si="25"/>
        <v>0</v>
      </c>
      <c r="I31" s="135">
        <f t="shared" si="2"/>
        <v>46.913770573639319</v>
      </c>
      <c r="J31" s="135">
        <f t="shared" si="3"/>
        <v>127.81</v>
      </c>
      <c r="K31" s="133">
        <f t="shared" si="26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24"/>
        <v>99.57</v>
      </c>
      <c r="E32" s="133">
        <f t="shared" si="24"/>
        <v>30.93</v>
      </c>
      <c r="F32" s="135">
        <f t="shared" si="1"/>
        <v>47.901158437210945</v>
      </c>
      <c r="G32" s="133">
        <f t="shared" si="25"/>
        <v>0</v>
      </c>
      <c r="H32" s="143">
        <f t="shared" si="25"/>
        <v>0</v>
      </c>
      <c r="I32" s="135">
        <f t="shared" si="2"/>
        <v>47.901158437210945</v>
      </c>
      <c r="J32" s="135">
        <f t="shared" si="3"/>
        <v>130.5</v>
      </c>
      <c r="K32" s="133">
        <f t="shared" si="26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24"/>
        <v>101.66</v>
      </c>
      <c r="E33" s="133">
        <f t="shared" si="24"/>
        <v>31.58</v>
      </c>
      <c r="F33" s="135">
        <f t="shared" si="1"/>
        <v>48.906899235049707</v>
      </c>
      <c r="G33" s="133">
        <f t="shared" si="25"/>
        <v>0</v>
      </c>
      <c r="H33" s="143">
        <f t="shared" si="25"/>
        <v>0</v>
      </c>
      <c r="I33" s="135">
        <f t="shared" si="2"/>
        <v>48.906899235049707</v>
      </c>
      <c r="J33" s="135">
        <f t="shared" si="3"/>
        <v>133.24</v>
      </c>
      <c r="K33" s="133">
        <f t="shared" si="26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24"/>
        <v>103.79</v>
      </c>
      <c r="E34" s="133">
        <f t="shared" si="24"/>
        <v>32.24</v>
      </c>
      <c r="F34" s="135">
        <f t="shared" ref="F34:F36" si="27">(D34+E34)/(8.76*$C$63)</f>
        <v>49.930992967155589</v>
      </c>
      <c r="G34" s="133">
        <f t="shared" si="25"/>
        <v>0</v>
      </c>
      <c r="H34" s="143">
        <f t="shared" si="25"/>
        <v>0</v>
      </c>
      <c r="I34" s="135">
        <f t="shared" si="2"/>
        <v>49.930992967155589</v>
      </c>
      <c r="J34" s="135">
        <f t="shared" si="3"/>
        <v>136.03</v>
      </c>
      <c r="K34" s="133">
        <f t="shared" si="26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24"/>
        <v>106.07</v>
      </c>
      <c r="E35" s="133">
        <f t="shared" si="24"/>
        <v>32.950000000000003</v>
      </c>
      <c r="F35" s="135">
        <f t="shared" si="27"/>
        <v>51.028498436329997</v>
      </c>
      <c r="G35" s="133">
        <f t="shared" si="25"/>
        <v>0</v>
      </c>
      <c r="H35" s="143">
        <f t="shared" si="25"/>
        <v>0</v>
      </c>
      <c r="I35" s="135">
        <f t="shared" si="2"/>
        <v>51.028498436329997</v>
      </c>
      <c r="J35" s="135">
        <f t="shared" si="3"/>
        <v>139.02000000000001</v>
      </c>
      <c r="K35" s="133">
        <f t="shared" si="26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24"/>
        <v>108.4</v>
      </c>
      <c r="E36" s="133">
        <f t="shared" si="24"/>
        <v>33.67</v>
      </c>
      <c r="F36" s="135">
        <f t="shared" si="27"/>
        <v>52.148027426624971</v>
      </c>
      <c r="G36" s="133">
        <f t="shared" si="25"/>
        <v>0</v>
      </c>
      <c r="H36" s="143">
        <f t="shared" si="25"/>
        <v>0</v>
      </c>
      <c r="I36" s="135">
        <f t="shared" si="2"/>
        <v>52.148027426624971</v>
      </c>
      <c r="J36" s="135">
        <f t="shared" si="3"/>
        <v>142.07</v>
      </c>
      <c r="K36" s="133">
        <f t="shared" si="26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OR Solar 2033'!D44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1165.8805905559132</v>
      </c>
      <c r="D55" s="122" t="s">
        <v>74</v>
      </c>
      <c r="H55" s="122" t="s">
        <v>9</v>
      </c>
    </row>
    <row r="56" spans="2:24">
      <c r="B56" s="86" t="s">
        <v>111</v>
      </c>
      <c r="C56" s="155">
        <v>19.691768539314772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28">C66+1</f>
        <v>2018</v>
      </c>
      <c r="D67" s="41">
        <v>2.3E-2</v>
      </c>
      <c r="E67" s="86"/>
      <c r="F67" s="88">
        <f t="shared" ref="F67:F74" si="29">F66+1</f>
        <v>2027</v>
      </c>
      <c r="G67" s="41">
        <v>2.1999999999999999E-2</v>
      </c>
      <c r="H67" s="86"/>
      <c r="I67" s="88">
        <f t="shared" ref="I67:I74" si="30">I66+1</f>
        <v>2036</v>
      </c>
      <c r="J67" s="88"/>
      <c r="K67" s="41">
        <v>0.02</v>
      </c>
    </row>
    <row r="68" spans="3:11">
      <c r="C68" s="88">
        <f t="shared" si="28"/>
        <v>2019</v>
      </c>
      <c r="D68" s="41">
        <v>2.1999999999999999E-2</v>
      </c>
      <c r="E68" s="86"/>
      <c r="F68" s="88">
        <f t="shared" si="29"/>
        <v>2028</v>
      </c>
      <c r="G68" s="41">
        <v>2.1999999999999999E-2</v>
      </c>
      <c r="H68" s="86"/>
      <c r="I68" s="88">
        <f t="shared" si="30"/>
        <v>2037</v>
      </c>
      <c r="J68" s="88"/>
      <c r="K68" s="41">
        <v>2.1000000000000001E-2</v>
      </c>
    </row>
    <row r="69" spans="3:11">
      <c r="C69" s="88">
        <f t="shared" si="28"/>
        <v>2020</v>
      </c>
      <c r="D69" s="41">
        <v>2.5000000000000001E-2</v>
      </c>
      <c r="E69" s="86"/>
      <c r="F69" s="88">
        <f t="shared" si="29"/>
        <v>2029</v>
      </c>
      <c r="G69" s="41">
        <v>2.1000000000000001E-2</v>
      </c>
      <c r="H69" s="86"/>
      <c r="I69" s="88">
        <f t="shared" si="30"/>
        <v>2038</v>
      </c>
      <c r="J69" s="88"/>
      <c r="K69" s="41">
        <v>2.1000000000000001E-2</v>
      </c>
    </row>
    <row r="70" spans="3:11">
      <c r="C70" s="88">
        <f t="shared" si="28"/>
        <v>2021</v>
      </c>
      <c r="D70" s="41">
        <v>2.4E-2</v>
      </c>
      <c r="E70" s="86"/>
      <c r="F70" s="88">
        <f t="shared" si="29"/>
        <v>2030</v>
      </c>
      <c r="G70" s="41">
        <v>0.02</v>
      </c>
      <c r="H70" s="86"/>
      <c r="I70" s="88">
        <f t="shared" si="30"/>
        <v>2039</v>
      </c>
      <c r="J70" s="88"/>
      <c r="K70" s="41">
        <v>2.1000000000000001E-2</v>
      </c>
    </row>
    <row r="71" spans="3:11">
      <c r="C71" s="88">
        <f t="shared" si="28"/>
        <v>2022</v>
      </c>
      <c r="D71" s="41">
        <v>2.4E-2</v>
      </c>
      <c r="E71" s="86"/>
      <c r="F71" s="88">
        <f t="shared" si="29"/>
        <v>2031</v>
      </c>
      <c r="G71" s="41">
        <v>0.02</v>
      </c>
      <c r="H71" s="86"/>
      <c r="I71" s="88">
        <f t="shared" si="30"/>
        <v>2040</v>
      </c>
      <c r="J71" s="88"/>
      <c r="K71" s="41">
        <v>2.1000000000000001E-2</v>
      </c>
    </row>
    <row r="72" spans="3:11" s="124" customFormat="1">
      <c r="C72" s="88">
        <f t="shared" si="28"/>
        <v>2023</v>
      </c>
      <c r="D72" s="41">
        <v>2.4E-2</v>
      </c>
      <c r="E72" s="87"/>
      <c r="F72" s="88">
        <f t="shared" si="29"/>
        <v>2032</v>
      </c>
      <c r="G72" s="41">
        <v>0.02</v>
      </c>
      <c r="H72" s="87"/>
      <c r="I72" s="88">
        <f t="shared" si="30"/>
        <v>2041</v>
      </c>
      <c r="J72" s="88"/>
      <c r="K72" s="41">
        <v>2.1999999999999999E-2</v>
      </c>
    </row>
    <row r="73" spans="3:11" s="124" customFormat="1">
      <c r="C73" s="88">
        <f t="shared" si="28"/>
        <v>2024</v>
      </c>
      <c r="D73" s="41">
        <v>2.3E-2</v>
      </c>
      <c r="E73" s="87"/>
      <c r="F73" s="88">
        <f t="shared" si="29"/>
        <v>2033</v>
      </c>
      <c r="G73" s="41">
        <v>0.02</v>
      </c>
      <c r="H73" s="87"/>
      <c r="I73" s="88">
        <f t="shared" si="30"/>
        <v>2042</v>
      </c>
      <c r="J73" s="88"/>
      <c r="K73" s="41">
        <v>2.1999999999999999E-2</v>
      </c>
    </row>
    <row r="74" spans="3:11" s="124" customFormat="1">
      <c r="C74" s="88">
        <f t="shared" si="28"/>
        <v>2025</v>
      </c>
      <c r="D74" s="41">
        <v>2.3E-2</v>
      </c>
      <c r="E74" s="87"/>
      <c r="F74" s="88">
        <f t="shared" si="29"/>
        <v>2034</v>
      </c>
      <c r="G74" s="41">
        <v>0.02</v>
      </c>
      <c r="H74" s="87"/>
      <c r="I74" s="88">
        <f t="shared" si="30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135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6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20.14</v>
      </c>
      <c r="F12" s="135">
        <f t="shared" si="1"/>
        <v>7.3925619228002182</v>
      </c>
      <c r="G12" s="133">
        <f t="shared" si="4"/>
        <v>0</v>
      </c>
      <c r="H12" s="143">
        <f t="shared" si="4"/>
        <v>0</v>
      </c>
      <c r="I12" s="135">
        <f t="shared" si="2"/>
        <v>7.3925619228002182</v>
      </c>
      <c r="J12" s="135">
        <f t="shared" si="3"/>
        <v>20.14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20.58</v>
      </c>
      <c r="F13" s="135">
        <f t="shared" si="1"/>
        <v>7.5540677443509665</v>
      </c>
      <c r="G13" s="133">
        <f t="shared" si="4"/>
        <v>0</v>
      </c>
      <c r="H13" s="143">
        <f t="shared" si="4"/>
        <v>0</v>
      </c>
      <c r="I13" s="135">
        <f t="shared" si="2"/>
        <v>7.5540677443509665</v>
      </c>
      <c r="J13" s="135">
        <f t="shared" si="3"/>
        <v>20.58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21.09</v>
      </c>
      <c r="F14" s="135">
        <f t="shared" si="1"/>
        <v>7.7412676738756998</v>
      </c>
      <c r="G14" s="133">
        <f t="shared" si="4"/>
        <v>0</v>
      </c>
      <c r="H14" s="143">
        <f t="shared" si="4"/>
        <v>0</v>
      </c>
      <c r="I14" s="135">
        <f t="shared" si="2"/>
        <v>7.7412676738756998</v>
      </c>
      <c r="J14" s="135">
        <f t="shared" si="3"/>
        <v>21.09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</v>
      </c>
      <c r="F15" s="135">
        <f t="shared" si="1"/>
        <v>7.9284676034004322</v>
      </c>
      <c r="G15" s="133">
        <f t="shared" si="4"/>
        <v>0</v>
      </c>
      <c r="H15" s="143">
        <f t="shared" si="4"/>
        <v>0</v>
      </c>
      <c r="I15" s="135">
        <f t="shared" si="2"/>
        <v>7.9284676034004322</v>
      </c>
      <c r="J15" s="135">
        <f t="shared" si="3"/>
        <v>21.6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22.12</v>
      </c>
      <c r="F16" s="135">
        <f t="shared" si="1"/>
        <v>8.1193381197785914</v>
      </c>
      <c r="G16" s="133">
        <f t="shared" si="4"/>
        <v>0</v>
      </c>
      <c r="H16" s="143">
        <f t="shared" si="4"/>
        <v>0</v>
      </c>
      <c r="I16" s="135">
        <f t="shared" si="2"/>
        <v>8.1193381197785914</v>
      </c>
      <c r="J16" s="135">
        <f t="shared" si="3"/>
        <v>22.12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22.65</v>
      </c>
      <c r="F17" s="135">
        <f t="shared" si="1"/>
        <v>8.3138792230101739</v>
      </c>
      <c r="G17" s="133">
        <f t="shared" si="4"/>
        <v>0</v>
      </c>
      <c r="H17" s="143">
        <f t="shared" si="4"/>
        <v>0</v>
      </c>
      <c r="I17" s="135">
        <f t="shared" si="2"/>
        <v>8.3138792230101739</v>
      </c>
      <c r="J17" s="135">
        <f t="shared" si="3"/>
        <v>22.65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23.17</v>
      </c>
      <c r="F18" s="135">
        <f t="shared" si="1"/>
        <v>8.504749739388334</v>
      </c>
      <c r="G18" s="133">
        <f t="shared" si="4"/>
        <v>0</v>
      </c>
      <c r="H18" s="143">
        <f t="shared" si="4"/>
        <v>0</v>
      </c>
      <c r="I18" s="135">
        <f t="shared" si="2"/>
        <v>8.504749739388334</v>
      </c>
      <c r="J18" s="135">
        <f t="shared" si="3"/>
        <v>23.17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23.7</v>
      </c>
      <c r="F19" s="135">
        <f t="shared" si="1"/>
        <v>8.6992908426199183</v>
      </c>
      <c r="G19" s="133">
        <f t="shared" si="4"/>
        <v>0</v>
      </c>
      <c r="H19" s="143">
        <f t="shared" si="4"/>
        <v>0</v>
      </c>
      <c r="I19" s="135">
        <f t="shared" si="2"/>
        <v>8.6992908426199183</v>
      </c>
      <c r="J19" s="135">
        <f t="shared" si="3"/>
        <v>23.7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24.22</v>
      </c>
      <c r="F20" s="135">
        <f t="shared" si="1"/>
        <v>8.8901613589980766</v>
      </c>
      <c r="G20" s="133">
        <f>ROUND(G19*(1+$G66),2)</f>
        <v>0</v>
      </c>
      <c r="H20" s="143">
        <f>ROUND(H19*(1+$G66),2)</f>
        <v>0</v>
      </c>
      <c r="I20" s="135">
        <f t="shared" si="2"/>
        <v>8.8901613589980766</v>
      </c>
      <c r="J20" s="135">
        <f t="shared" si="3"/>
        <v>24.22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24.75</v>
      </c>
      <c r="F21" s="135">
        <f t="shared" si="1"/>
        <v>9.0847024622296608</v>
      </c>
      <c r="G21" s="133">
        <f t="shared" si="7"/>
        <v>0</v>
      </c>
      <c r="H21" s="143">
        <f t="shared" si="7"/>
        <v>0</v>
      </c>
      <c r="I21" s="135">
        <f t="shared" si="2"/>
        <v>9.0847024622296608</v>
      </c>
      <c r="J21" s="135">
        <f t="shared" si="3"/>
        <v>24.75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25.29</v>
      </c>
      <c r="F22" s="135">
        <f t="shared" si="1"/>
        <v>9.2829141523146728</v>
      </c>
      <c r="G22" s="133">
        <f t="shared" si="7"/>
        <v>0</v>
      </c>
      <c r="H22" s="143">
        <f t="shared" si="7"/>
        <v>0</v>
      </c>
      <c r="I22" s="135">
        <f t="shared" si="2"/>
        <v>9.2829141523146728</v>
      </c>
      <c r="J22" s="135">
        <f t="shared" si="3"/>
        <v>25.29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25.82</v>
      </c>
      <c r="F23" s="135">
        <f t="shared" si="1"/>
        <v>9.477455255546257</v>
      </c>
      <c r="G23" s="133">
        <f t="shared" si="7"/>
        <v>0</v>
      </c>
      <c r="H23" s="143">
        <f t="shared" si="7"/>
        <v>0</v>
      </c>
      <c r="I23" s="135">
        <f t="shared" si="2"/>
        <v>9.477455255546257</v>
      </c>
      <c r="J23" s="135">
        <f t="shared" si="3"/>
        <v>25.82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26.34</v>
      </c>
      <c r="F24" s="135">
        <f t="shared" si="1"/>
        <v>9.6683257719244153</v>
      </c>
      <c r="G24" s="133">
        <f t="shared" si="7"/>
        <v>0</v>
      </c>
      <c r="H24" s="143">
        <f t="shared" si="7"/>
        <v>0</v>
      </c>
      <c r="I24" s="135">
        <f t="shared" si="2"/>
        <v>9.6683257719244153</v>
      </c>
      <c r="J24" s="135">
        <f t="shared" si="3"/>
        <v>26.34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26.87</v>
      </c>
      <c r="F25" s="135">
        <f t="shared" si="1"/>
        <v>9.8628668751560014</v>
      </c>
      <c r="G25" s="133">
        <f t="shared" si="7"/>
        <v>0</v>
      </c>
      <c r="H25" s="143">
        <f t="shared" si="7"/>
        <v>0</v>
      </c>
      <c r="I25" s="135">
        <f t="shared" si="2"/>
        <v>9.8628668751560014</v>
      </c>
      <c r="J25" s="135">
        <f t="shared" si="3"/>
        <v>26.87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27.41</v>
      </c>
      <c r="F26" s="135">
        <f t="shared" si="1"/>
        <v>10.061078565241012</v>
      </c>
      <c r="G26" s="133">
        <f t="shared" si="7"/>
        <v>0</v>
      </c>
      <c r="H26" s="143">
        <f t="shared" si="7"/>
        <v>0</v>
      </c>
      <c r="I26" s="135">
        <f t="shared" si="2"/>
        <v>10.061078565241012</v>
      </c>
      <c r="J26" s="135">
        <f t="shared" si="3"/>
        <v>27.41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ref="D27" si="8">ROUND(D26*(1+$G73),2)</f>
        <v>0</v>
      </c>
      <c r="E27" s="133">
        <f t="shared" si="7"/>
        <v>27.96</v>
      </c>
      <c r="F27" s="135">
        <f t="shared" si="1"/>
        <v>10.262960842179448</v>
      </c>
      <c r="G27" s="133">
        <f t="shared" si="7"/>
        <v>0</v>
      </c>
      <c r="H27" s="143">
        <f t="shared" si="7"/>
        <v>0</v>
      </c>
      <c r="I27" s="135">
        <f t="shared" si="2"/>
        <v>10.262960842179448</v>
      </c>
      <c r="J27" s="135">
        <f t="shared" si="3"/>
        <v>27.96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9">ROUND(D27*(1+$G74),2)</f>
        <v>0</v>
      </c>
      <c r="E28" s="133">
        <f t="shared" si="7"/>
        <v>28.52</v>
      </c>
      <c r="F28" s="135">
        <f t="shared" si="1"/>
        <v>10.468513705971311</v>
      </c>
      <c r="G28" s="133">
        <f t="shared" si="7"/>
        <v>0</v>
      </c>
      <c r="H28" s="143">
        <f t="shared" si="7"/>
        <v>0</v>
      </c>
      <c r="I28" s="135">
        <f t="shared" si="2"/>
        <v>10.468513705971311</v>
      </c>
      <c r="J28" s="135">
        <f t="shared" si="3"/>
        <v>28.52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1152.6274312839628</v>
      </c>
      <c r="D29" s="133">
        <f>C29*$C$62</f>
        <v>88.978921536334539</v>
      </c>
      <c r="E29" s="133">
        <f t="shared" ref="D29:E36" si="10">ROUND(E28*(1+$K66),2)</f>
        <v>29.09</v>
      </c>
      <c r="F29" s="135">
        <f t="shared" si="1"/>
        <v>43.338223118947035</v>
      </c>
      <c r="G29" s="133">
        <f t="shared" ref="G29:H36" si="11">ROUND(G28*(1+$K66),2)</f>
        <v>0</v>
      </c>
      <c r="H29" s="143">
        <f t="shared" si="11"/>
        <v>0</v>
      </c>
      <c r="I29" s="135">
        <f t="shared" si="2"/>
        <v>43.338223118947035</v>
      </c>
      <c r="J29" s="135">
        <f t="shared" si="3"/>
        <v>118.07</v>
      </c>
      <c r="K29" s="133">
        <f t="shared" ref="K29:K36" si="12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0"/>
        <v>90.76</v>
      </c>
      <c r="E30" s="133">
        <f t="shared" si="10"/>
        <v>29.67</v>
      </c>
      <c r="F30" s="135">
        <f t="shared" si="1"/>
        <v>44.204877475810839</v>
      </c>
      <c r="G30" s="133">
        <f t="shared" si="11"/>
        <v>0</v>
      </c>
      <c r="H30" s="143">
        <f t="shared" si="11"/>
        <v>0</v>
      </c>
      <c r="I30" s="135">
        <f t="shared" si="2"/>
        <v>44.204877475810839</v>
      </c>
      <c r="J30" s="135">
        <f t="shared" si="3"/>
        <v>120.43</v>
      </c>
      <c r="K30" s="133">
        <f t="shared" si="12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0"/>
        <v>92.67</v>
      </c>
      <c r="E31" s="133">
        <f t="shared" si="10"/>
        <v>30.29</v>
      </c>
      <c r="F31" s="135">
        <f t="shared" si="1"/>
        <v>45.133535949727644</v>
      </c>
      <c r="G31" s="133">
        <f t="shared" si="11"/>
        <v>0</v>
      </c>
      <c r="H31" s="143">
        <f t="shared" si="11"/>
        <v>0</v>
      </c>
      <c r="I31" s="135">
        <f t="shared" si="2"/>
        <v>45.133535949727644</v>
      </c>
      <c r="J31" s="135">
        <f t="shared" si="3"/>
        <v>122.96</v>
      </c>
      <c r="K31" s="133">
        <f t="shared" si="12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0"/>
        <v>94.62</v>
      </c>
      <c r="E32" s="133">
        <f t="shared" si="10"/>
        <v>30.93</v>
      </c>
      <c r="F32" s="135">
        <f t="shared" si="1"/>
        <v>46.084217944765015</v>
      </c>
      <c r="G32" s="133">
        <f t="shared" si="11"/>
        <v>0</v>
      </c>
      <c r="H32" s="143">
        <f t="shared" si="11"/>
        <v>0</v>
      </c>
      <c r="I32" s="135">
        <f t="shared" si="2"/>
        <v>46.084217944765015</v>
      </c>
      <c r="J32" s="135">
        <f t="shared" si="3"/>
        <v>125.55</v>
      </c>
      <c r="K32" s="133">
        <f t="shared" si="12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0"/>
        <v>96.61</v>
      </c>
      <c r="E33" s="133">
        <f t="shared" si="10"/>
        <v>31.58</v>
      </c>
      <c r="F33" s="135">
        <f t="shared" si="1"/>
        <v>47.053252874069507</v>
      </c>
      <c r="G33" s="133">
        <f t="shared" si="11"/>
        <v>0</v>
      </c>
      <c r="H33" s="143">
        <f t="shared" si="11"/>
        <v>0</v>
      </c>
      <c r="I33" s="135">
        <f t="shared" si="2"/>
        <v>47.053252874069507</v>
      </c>
      <c r="J33" s="135">
        <f t="shared" si="3"/>
        <v>128.19</v>
      </c>
      <c r="K33" s="133">
        <f t="shared" si="12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0"/>
        <v>98.64</v>
      </c>
      <c r="E34" s="133">
        <f t="shared" si="10"/>
        <v>32.24</v>
      </c>
      <c r="F34" s="135">
        <f t="shared" si="1"/>
        <v>48.040640737641134</v>
      </c>
      <c r="G34" s="133">
        <f t="shared" si="11"/>
        <v>0</v>
      </c>
      <c r="H34" s="143">
        <f t="shared" si="11"/>
        <v>0</v>
      </c>
      <c r="I34" s="135">
        <f t="shared" si="2"/>
        <v>48.040640737641134</v>
      </c>
      <c r="J34" s="135">
        <f t="shared" si="3"/>
        <v>130.88</v>
      </c>
      <c r="K34" s="133">
        <f t="shared" si="12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0"/>
        <v>100.81</v>
      </c>
      <c r="E35" s="133">
        <f t="shared" si="10"/>
        <v>32.950000000000003</v>
      </c>
      <c r="F35" s="135">
        <f t="shared" si="1"/>
        <v>49.097769751427855</v>
      </c>
      <c r="G35" s="133">
        <f t="shared" si="11"/>
        <v>0</v>
      </c>
      <c r="H35" s="143">
        <f t="shared" si="11"/>
        <v>0</v>
      </c>
      <c r="I35" s="135">
        <f t="shared" si="2"/>
        <v>49.097769751427855</v>
      </c>
      <c r="J35" s="135">
        <f t="shared" si="3"/>
        <v>133.76</v>
      </c>
      <c r="K35" s="133">
        <f t="shared" si="12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0"/>
        <v>103.03</v>
      </c>
      <c r="E36" s="133">
        <f t="shared" si="10"/>
        <v>33.67</v>
      </c>
      <c r="F36" s="135">
        <f t="shared" si="1"/>
        <v>50.176922286335135</v>
      </c>
      <c r="G36" s="133">
        <f t="shared" si="11"/>
        <v>0</v>
      </c>
      <c r="H36" s="143">
        <f t="shared" si="11"/>
        <v>0</v>
      </c>
      <c r="I36" s="135">
        <f t="shared" si="2"/>
        <v>50.176922286335135</v>
      </c>
      <c r="J36" s="135">
        <f t="shared" si="3"/>
        <v>136.69999999999999</v>
      </c>
      <c r="K36" s="133">
        <f t="shared" si="12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UT Solar 2033 ST'!D44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1152.6274312839628</v>
      </c>
      <c r="D55" s="122" t="s">
        <v>74</v>
      </c>
      <c r="H55" s="122" t="s">
        <v>9</v>
      </c>
    </row>
    <row r="56" spans="2:24">
      <c r="B56" s="86" t="s">
        <v>111</v>
      </c>
      <c r="C56" s="155">
        <v>19.691768539314772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3">C66+1</f>
        <v>2018</v>
      </c>
      <c r="D67" s="41">
        <v>2.3E-2</v>
      </c>
      <c r="E67" s="86"/>
      <c r="F67" s="88">
        <f t="shared" ref="F67:F74" si="14">F66+1</f>
        <v>2027</v>
      </c>
      <c r="G67" s="41">
        <v>2.1999999999999999E-2</v>
      </c>
      <c r="H67" s="86"/>
      <c r="I67" s="88">
        <f t="shared" ref="I67:I74" si="15">I66+1</f>
        <v>2036</v>
      </c>
      <c r="J67" s="88"/>
      <c r="K67" s="41">
        <v>0.02</v>
      </c>
    </row>
    <row r="68" spans="3:11">
      <c r="C68" s="88">
        <f t="shared" si="13"/>
        <v>2019</v>
      </c>
      <c r="D68" s="41">
        <v>2.1999999999999999E-2</v>
      </c>
      <c r="E68" s="86"/>
      <c r="F68" s="88">
        <f t="shared" si="14"/>
        <v>2028</v>
      </c>
      <c r="G68" s="41">
        <v>2.1999999999999999E-2</v>
      </c>
      <c r="H68" s="86"/>
      <c r="I68" s="88">
        <f t="shared" si="15"/>
        <v>2037</v>
      </c>
      <c r="J68" s="88"/>
      <c r="K68" s="41">
        <v>2.1000000000000001E-2</v>
      </c>
    </row>
    <row r="69" spans="3:11">
      <c r="C69" s="88">
        <f t="shared" si="13"/>
        <v>2020</v>
      </c>
      <c r="D69" s="41">
        <v>2.5000000000000001E-2</v>
      </c>
      <c r="E69" s="86"/>
      <c r="F69" s="88">
        <f t="shared" si="14"/>
        <v>2029</v>
      </c>
      <c r="G69" s="41">
        <v>2.1000000000000001E-2</v>
      </c>
      <c r="H69" s="86"/>
      <c r="I69" s="88">
        <f t="shared" si="15"/>
        <v>2038</v>
      </c>
      <c r="J69" s="88"/>
      <c r="K69" s="41">
        <v>2.1000000000000001E-2</v>
      </c>
    </row>
    <row r="70" spans="3:11">
      <c r="C70" s="88">
        <f t="shared" si="13"/>
        <v>2021</v>
      </c>
      <c r="D70" s="41">
        <v>2.4E-2</v>
      </c>
      <c r="E70" s="86"/>
      <c r="F70" s="88">
        <f t="shared" si="14"/>
        <v>2030</v>
      </c>
      <c r="G70" s="41">
        <v>0.02</v>
      </c>
      <c r="H70" s="86"/>
      <c r="I70" s="88">
        <f t="shared" si="15"/>
        <v>2039</v>
      </c>
      <c r="J70" s="88"/>
      <c r="K70" s="41">
        <v>2.1000000000000001E-2</v>
      </c>
    </row>
    <row r="71" spans="3:11">
      <c r="C71" s="88">
        <f t="shared" si="13"/>
        <v>2022</v>
      </c>
      <c r="D71" s="41">
        <v>2.4E-2</v>
      </c>
      <c r="E71" s="86"/>
      <c r="F71" s="88">
        <f t="shared" si="14"/>
        <v>2031</v>
      </c>
      <c r="G71" s="41">
        <v>0.02</v>
      </c>
      <c r="H71" s="86"/>
      <c r="I71" s="88">
        <f t="shared" si="15"/>
        <v>2040</v>
      </c>
      <c r="J71" s="88"/>
      <c r="K71" s="41">
        <v>2.1000000000000001E-2</v>
      </c>
    </row>
    <row r="72" spans="3:11" s="124" customFormat="1">
      <c r="C72" s="88">
        <f t="shared" si="13"/>
        <v>2023</v>
      </c>
      <c r="D72" s="41">
        <v>2.4E-2</v>
      </c>
      <c r="E72" s="87"/>
      <c r="F72" s="88">
        <f t="shared" si="14"/>
        <v>2032</v>
      </c>
      <c r="G72" s="41">
        <v>0.02</v>
      </c>
      <c r="H72" s="87"/>
      <c r="I72" s="88">
        <f t="shared" si="15"/>
        <v>2041</v>
      </c>
      <c r="J72" s="88"/>
      <c r="K72" s="41">
        <v>2.1999999999999999E-2</v>
      </c>
    </row>
    <row r="73" spans="3:11" s="124" customFormat="1">
      <c r="C73" s="88">
        <f t="shared" si="13"/>
        <v>2024</v>
      </c>
      <c r="D73" s="41">
        <v>2.3E-2</v>
      </c>
      <c r="E73" s="87"/>
      <c r="F73" s="88">
        <f t="shared" si="14"/>
        <v>2033</v>
      </c>
      <c r="G73" s="41">
        <v>0.02</v>
      </c>
      <c r="H73" s="87"/>
      <c r="I73" s="88">
        <f t="shared" si="15"/>
        <v>2042</v>
      </c>
      <c r="J73" s="88"/>
      <c r="K73" s="41">
        <v>2.1999999999999999E-2</v>
      </c>
    </row>
    <row r="74" spans="3:11" s="124" customFormat="1">
      <c r="C74" s="88">
        <f t="shared" si="13"/>
        <v>2025</v>
      </c>
      <c r="D74" s="41">
        <v>2.3E-2</v>
      </c>
      <c r="E74" s="87"/>
      <c r="F74" s="88">
        <f t="shared" si="14"/>
        <v>2034</v>
      </c>
      <c r="G74" s="41">
        <v>0.02</v>
      </c>
      <c r="H74" s="87"/>
      <c r="I74" s="88">
        <f t="shared" si="1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134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27%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Resource-2035 - 27%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18.718009285501743</v>
      </c>
      <c r="F11" s="134">
        <f t="shared" ref="F11:F36" si="1">(D11+E11)/(8.76*$C$63)</f>
        <v>7.9729815330461324</v>
      </c>
      <c r="G11" s="134">
        <f>$C$58</f>
        <v>0</v>
      </c>
      <c r="H11" s="143">
        <f>$C$59</f>
        <v>0</v>
      </c>
      <c r="I11" s="135">
        <f t="shared" ref="I11:I36" si="2">F11+H11+G11</f>
        <v>7.9729815330461324</v>
      </c>
      <c r="J11" s="135">
        <f t="shared" ref="J11:J36" si="3">ROUND(I11*$C$63*8.76,2)</f>
        <v>18.72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19.149999999999999</v>
      </c>
      <c r="F12" s="135">
        <f t="shared" si="1"/>
        <v>8.1569890274654124</v>
      </c>
      <c r="G12" s="133">
        <f t="shared" si="4"/>
        <v>0</v>
      </c>
      <c r="H12" s="143">
        <f t="shared" si="4"/>
        <v>0</v>
      </c>
      <c r="I12" s="135">
        <f t="shared" si="2"/>
        <v>8.1569890274654124</v>
      </c>
      <c r="J12" s="135">
        <f t="shared" si="3"/>
        <v>19.149999999999999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19.57</v>
      </c>
      <c r="F13" s="135">
        <f t="shared" si="1"/>
        <v>8.3358890479111292</v>
      </c>
      <c r="G13" s="133">
        <f t="shared" si="4"/>
        <v>0</v>
      </c>
      <c r="H13" s="143">
        <f t="shared" si="4"/>
        <v>0</v>
      </c>
      <c r="I13" s="135">
        <f t="shared" si="2"/>
        <v>8.3358890479111292</v>
      </c>
      <c r="J13" s="135">
        <f t="shared" si="3"/>
        <v>19.57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20.059999999999999</v>
      </c>
      <c r="F14" s="135">
        <f t="shared" si="1"/>
        <v>8.544605738431132</v>
      </c>
      <c r="G14" s="133">
        <f t="shared" si="4"/>
        <v>0</v>
      </c>
      <c r="H14" s="143">
        <f t="shared" si="4"/>
        <v>0</v>
      </c>
      <c r="I14" s="135">
        <f t="shared" si="2"/>
        <v>8.544605738431132</v>
      </c>
      <c r="J14" s="135">
        <f t="shared" si="3"/>
        <v>20.059999999999999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20.54</v>
      </c>
      <c r="F15" s="135">
        <f t="shared" si="1"/>
        <v>8.7490629046548083</v>
      </c>
      <c r="G15" s="133">
        <f t="shared" si="4"/>
        <v>0</v>
      </c>
      <c r="H15" s="143">
        <f t="shared" si="4"/>
        <v>0</v>
      </c>
      <c r="I15" s="135">
        <f t="shared" si="2"/>
        <v>8.7490629046548083</v>
      </c>
      <c r="J15" s="135">
        <f t="shared" si="3"/>
        <v>20.54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21.03</v>
      </c>
      <c r="F16" s="135">
        <f t="shared" si="1"/>
        <v>8.9577795951748111</v>
      </c>
      <c r="G16" s="133">
        <f t="shared" si="4"/>
        <v>0</v>
      </c>
      <c r="H16" s="143">
        <f t="shared" si="4"/>
        <v>0</v>
      </c>
      <c r="I16" s="135">
        <f t="shared" si="2"/>
        <v>8.9577795951748111</v>
      </c>
      <c r="J16" s="135">
        <f t="shared" si="3"/>
        <v>21.03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21.53</v>
      </c>
      <c r="F17" s="135">
        <f t="shared" si="1"/>
        <v>9.1707558099911406</v>
      </c>
      <c r="G17" s="133">
        <f t="shared" si="4"/>
        <v>0</v>
      </c>
      <c r="H17" s="143">
        <f t="shared" si="4"/>
        <v>0</v>
      </c>
      <c r="I17" s="135">
        <f t="shared" si="2"/>
        <v>9.1707558099911406</v>
      </c>
      <c r="J17" s="135">
        <f t="shared" si="3"/>
        <v>21.53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22.03</v>
      </c>
      <c r="F18" s="135">
        <f t="shared" si="1"/>
        <v>9.38373202480747</v>
      </c>
      <c r="G18" s="133">
        <f t="shared" si="4"/>
        <v>0</v>
      </c>
      <c r="H18" s="143">
        <f t="shared" si="4"/>
        <v>0</v>
      </c>
      <c r="I18" s="135">
        <f t="shared" si="2"/>
        <v>9.38373202480747</v>
      </c>
      <c r="J18" s="135">
        <f t="shared" si="3"/>
        <v>22.03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22.54</v>
      </c>
      <c r="F19" s="135">
        <f t="shared" si="1"/>
        <v>9.6009677639201243</v>
      </c>
      <c r="G19" s="133">
        <f t="shared" si="4"/>
        <v>0</v>
      </c>
      <c r="H19" s="143">
        <f t="shared" si="4"/>
        <v>0</v>
      </c>
      <c r="I19" s="135">
        <f t="shared" si="2"/>
        <v>9.6009677639201243</v>
      </c>
      <c r="J19" s="135">
        <f t="shared" si="3"/>
        <v>22.54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23.04</v>
      </c>
      <c r="F20" s="135">
        <f t="shared" si="1"/>
        <v>9.8139439787364537</v>
      </c>
      <c r="G20" s="133">
        <f>ROUND(G19*(1+$G66),2)</f>
        <v>0</v>
      </c>
      <c r="H20" s="143">
        <f>ROUND(H19*(1+$G66),2)</f>
        <v>0</v>
      </c>
      <c r="I20" s="135">
        <f t="shared" si="2"/>
        <v>9.8139439787364537</v>
      </c>
      <c r="J20" s="135">
        <f t="shared" si="3"/>
        <v>23.04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23.55</v>
      </c>
      <c r="F21" s="135">
        <f t="shared" si="1"/>
        <v>10.031179717849112</v>
      </c>
      <c r="G21" s="133">
        <f t="shared" si="7"/>
        <v>0</v>
      </c>
      <c r="H21" s="143">
        <f t="shared" si="7"/>
        <v>0</v>
      </c>
      <c r="I21" s="135">
        <f t="shared" si="2"/>
        <v>10.031179717849112</v>
      </c>
      <c r="J21" s="135">
        <f t="shared" si="3"/>
        <v>23.55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24.07</v>
      </c>
      <c r="F22" s="135">
        <f t="shared" si="1"/>
        <v>10.252674981258092</v>
      </c>
      <c r="G22" s="133">
        <f t="shared" si="7"/>
        <v>0</v>
      </c>
      <c r="H22" s="143">
        <f t="shared" si="7"/>
        <v>0</v>
      </c>
      <c r="I22" s="135">
        <f t="shared" si="2"/>
        <v>10.252674981258092</v>
      </c>
      <c r="J22" s="135">
        <f t="shared" si="3"/>
        <v>24.07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24.58</v>
      </c>
      <c r="F23" s="135">
        <f t="shared" si="1"/>
        <v>10.469910720370748</v>
      </c>
      <c r="G23" s="133">
        <f t="shared" si="7"/>
        <v>0</v>
      </c>
      <c r="H23" s="143">
        <f t="shared" si="7"/>
        <v>0</v>
      </c>
      <c r="I23" s="135">
        <f t="shared" si="2"/>
        <v>10.469910720370748</v>
      </c>
      <c r="J23" s="135">
        <f t="shared" si="3"/>
        <v>24.58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25.07</v>
      </c>
      <c r="F24" s="135">
        <f t="shared" si="1"/>
        <v>10.678627410890751</v>
      </c>
      <c r="G24" s="133">
        <f t="shared" si="7"/>
        <v>0</v>
      </c>
      <c r="H24" s="143">
        <f t="shared" si="7"/>
        <v>0</v>
      </c>
      <c r="I24" s="135">
        <f t="shared" si="2"/>
        <v>10.678627410890751</v>
      </c>
      <c r="J24" s="135">
        <f t="shared" si="3"/>
        <v>25.07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25.57</v>
      </c>
      <c r="F25" s="135">
        <f t="shared" si="1"/>
        <v>10.891603625707081</v>
      </c>
      <c r="G25" s="133">
        <f t="shared" si="7"/>
        <v>0</v>
      </c>
      <c r="H25" s="143">
        <f t="shared" si="7"/>
        <v>0</v>
      </c>
      <c r="I25" s="135">
        <f t="shared" si="2"/>
        <v>10.891603625707081</v>
      </c>
      <c r="J25" s="135">
        <f t="shared" si="3"/>
        <v>25.57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26.08</v>
      </c>
      <c r="F26" s="135">
        <f t="shared" si="1"/>
        <v>11.108839364819737</v>
      </c>
      <c r="G26" s="133">
        <f t="shared" si="7"/>
        <v>0</v>
      </c>
      <c r="H26" s="143">
        <f t="shared" si="7"/>
        <v>0</v>
      </c>
      <c r="I26" s="135">
        <f t="shared" si="2"/>
        <v>11.108839364819737</v>
      </c>
      <c r="J26" s="135">
        <f t="shared" si="3"/>
        <v>26.08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si="7"/>
        <v>0</v>
      </c>
      <c r="E27" s="133">
        <f t="shared" si="7"/>
        <v>26.6</v>
      </c>
      <c r="F27" s="135">
        <f t="shared" si="1"/>
        <v>11.330334628228719</v>
      </c>
      <c r="G27" s="133">
        <f t="shared" si="7"/>
        <v>0</v>
      </c>
      <c r="H27" s="143">
        <f t="shared" si="7"/>
        <v>0</v>
      </c>
      <c r="I27" s="135">
        <f t="shared" si="2"/>
        <v>11.330334628228719</v>
      </c>
      <c r="J27" s="135">
        <f t="shared" si="3"/>
        <v>26.6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7"/>
        <v>0</v>
      </c>
      <c r="E28" s="133">
        <f t="shared" si="7"/>
        <v>27.13</v>
      </c>
      <c r="F28" s="135">
        <f t="shared" si="1"/>
        <v>11.556089415934029</v>
      </c>
      <c r="G28" s="133">
        <f t="shared" si="7"/>
        <v>0</v>
      </c>
      <c r="H28" s="143">
        <f t="shared" si="7"/>
        <v>0</v>
      </c>
      <c r="I28" s="135">
        <f t="shared" si="2"/>
        <v>11.556089415934029</v>
      </c>
      <c r="J28" s="135">
        <f t="shared" si="3"/>
        <v>27.13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1129.0663267642597</v>
      </c>
      <c r="D29" s="133">
        <f>C29*$C$62</f>
        <v>87.160084318455105</v>
      </c>
      <c r="E29" s="133">
        <f t="shared" ref="D29:E36" si="8">ROUND(E28*(1+$K66),2)</f>
        <v>27.67</v>
      </c>
      <c r="F29" s="135">
        <f t="shared" si="1"/>
        <v>48.912153410369008</v>
      </c>
      <c r="G29" s="133">
        <f t="shared" ref="G29:H36" si="9">ROUND(G28*(1+$K66),2)</f>
        <v>0</v>
      </c>
      <c r="H29" s="143">
        <f t="shared" si="9"/>
        <v>0</v>
      </c>
      <c r="I29" s="135">
        <f t="shared" si="2"/>
        <v>48.912153410369008</v>
      </c>
      <c r="J29" s="135">
        <f t="shared" si="3"/>
        <v>114.83</v>
      </c>
      <c r="K29" s="133">
        <f t="shared" ref="K29:K36" si="10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8"/>
        <v>88.9</v>
      </c>
      <c r="E30" s="133">
        <f t="shared" si="8"/>
        <v>28.22</v>
      </c>
      <c r="F30" s="135">
        <f t="shared" si="1"/>
        <v>49.887548558576981</v>
      </c>
      <c r="G30" s="133">
        <f t="shared" si="9"/>
        <v>0</v>
      </c>
      <c r="H30" s="143">
        <f t="shared" si="9"/>
        <v>0</v>
      </c>
      <c r="I30" s="135">
        <f t="shared" si="2"/>
        <v>49.887548558576981</v>
      </c>
      <c r="J30" s="135">
        <f t="shared" si="3"/>
        <v>117.12</v>
      </c>
      <c r="K30" s="133">
        <f t="shared" si="10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8"/>
        <v>90.77</v>
      </c>
      <c r="E31" s="133">
        <f t="shared" si="8"/>
        <v>28.81</v>
      </c>
      <c r="F31" s="135">
        <f t="shared" si="1"/>
        <v>50.935391535473315</v>
      </c>
      <c r="G31" s="133">
        <f t="shared" si="9"/>
        <v>0</v>
      </c>
      <c r="H31" s="143">
        <f t="shared" si="9"/>
        <v>0</v>
      </c>
      <c r="I31" s="135">
        <f t="shared" si="2"/>
        <v>50.935391535473315</v>
      </c>
      <c r="J31" s="135">
        <f t="shared" si="3"/>
        <v>119.58</v>
      </c>
      <c r="K31" s="133">
        <f t="shared" si="10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8"/>
        <v>92.68</v>
      </c>
      <c r="E32" s="133">
        <f t="shared" si="8"/>
        <v>29.42</v>
      </c>
      <c r="F32" s="135">
        <f t="shared" si="1"/>
        <v>52.008791658147622</v>
      </c>
      <c r="G32" s="133">
        <f t="shared" si="9"/>
        <v>0</v>
      </c>
      <c r="H32" s="143">
        <f t="shared" si="9"/>
        <v>0</v>
      </c>
      <c r="I32" s="135">
        <f t="shared" si="2"/>
        <v>52.008791658147622</v>
      </c>
      <c r="J32" s="135">
        <f t="shared" si="3"/>
        <v>122.1</v>
      </c>
      <c r="K32" s="133">
        <f t="shared" si="10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8"/>
        <v>94.63</v>
      </c>
      <c r="E33" s="133">
        <f t="shared" si="8"/>
        <v>30.04</v>
      </c>
      <c r="F33" s="135">
        <f t="shared" si="1"/>
        <v>53.103489402303545</v>
      </c>
      <c r="G33" s="133">
        <f t="shared" si="9"/>
        <v>0</v>
      </c>
      <c r="H33" s="143">
        <f t="shared" si="9"/>
        <v>0</v>
      </c>
      <c r="I33" s="135">
        <f t="shared" si="2"/>
        <v>53.103489402303545</v>
      </c>
      <c r="J33" s="135">
        <f t="shared" si="3"/>
        <v>124.67</v>
      </c>
      <c r="K33" s="133">
        <f t="shared" si="10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8"/>
        <v>96.62</v>
      </c>
      <c r="E34" s="133">
        <f t="shared" si="8"/>
        <v>30.67</v>
      </c>
      <c r="F34" s="135">
        <f t="shared" si="1"/>
        <v>54.219484767941118</v>
      </c>
      <c r="G34" s="133">
        <f t="shared" si="9"/>
        <v>0</v>
      </c>
      <c r="H34" s="143">
        <f t="shared" si="9"/>
        <v>0</v>
      </c>
      <c r="I34" s="135">
        <f t="shared" si="2"/>
        <v>54.219484767941118</v>
      </c>
      <c r="J34" s="135">
        <f t="shared" si="3"/>
        <v>127.29</v>
      </c>
      <c r="K34" s="133">
        <f t="shared" si="10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8"/>
        <v>98.75</v>
      </c>
      <c r="E35" s="133">
        <f t="shared" si="8"/>
        <v>31.34</v>
      </c>
      <c r="F35" s="135">
        <f t="shared" si="1"/>
        <v>55.412151570912563</v>
      </c>
      <c r="G35" s="133">
        <f t="shared" si="9"/>
        <v>0</v>
      </c>
      <c r="H35" s="143">
        <f t="shared" si="9"/>
        <v>0</v>
      </c>
      <c r="I35" s="135">
        <f t="shared" si="2"/>
        <v>55.412151570912563</v>
      </c>
      <c r="J35" s="135">
        <f t="shared" si="3"/>
        <v>130.09</v>
      </c>
      <c r="K35" s="133">
        <f t="shared" si="10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8"/>
        <v>100.92</v>
      </c>
      <c r="E36" s="133">
        <f t="shared" si="8"/>
        <v>32.03</v>
      </c>
      <c r="F36" s="135">
        <f t="shared" si="1"/>
        <v>56.63037551966196</v>
      </c>
      <c r="G36" s="133">
        <f t="shared" si="9"/>
        <v>0</v>
      </c>
      <c r="H36" s="143">
        <f t="shared" si="9"/>
        <v>0</v>
      </c>
      <c r="I36" s="135">
        <f t="shared" si="2"/>
        <v>56.63037551966196</v>
      </c>
      <c r="J36" s="135">
        <f t="shared" si="3"/>
        <v>132.94999999999999</v>
      </c>
      <c r="K36" s="133">
        <f t="shared" si="10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UT Solar 2035 ST'!D44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26.8%)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126</v>
      </c>
      <c r="C55" s="186">
        <v>1129.0663267642597</v>
      </c>
      <c r="D55" s="122" t="s">
        <v>74</v>
      </c>
      <c r="H55" s="122" t="s">
        <v>9</v>
      </c>
    </row>
    <row r="56" spans="2:24">
      <c r="B56" s="86" t="s">
        <v>111</v>
      </c>
      <c r="C56" s="155">
        <v>18.718009285501743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0.26800000000000002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1">C66+1</f>
        <v>2018</v>
      </c>
      <c r="D67" s="41">
        <v>2.3E-2</v>
      </c>
      <c r="E67" s="86"/>
      <c r="F67" s="88">
        <f t="shared" ref="F67:F74" si="12">F66+1</f>
        <v>2027</v>
      </c>
      <c r="G67" s="41">
        <v>2.1999999999999999E-2</v>
      </c>
      <c r="H67" s="86"/>
      <c r="I67" s="88">
        <f t="shared" ref="I67:I74" si="13">I66+1</f>
        <v>2036</v>
      </c>
      <c r="J67" s="88"/>
      <c r="K67" s="41">
        <v>0.02</v>
      </c>
    </row>
    <row r="68" spans="3:11">
      <c r="C68" s="88">
        <f t="shared" si="11"/>
        <v>2019</v>
      </c>
      <c r="D68" s="41">
        <v>2.1999999999999999E-2</v>
      </c>
      <c r="E68" s="86"/>
      <c r="F68" s="88">
        <f t="shared" si="12"/>
        <v>2028</v>
      </c>
      <c r="G68" s="41">
        <v>2.1999999999999999E-2</v>
      </c>
      <c r="H68" s="86"/>
      <c r="I68" s="88">
        <f t="shared" si="13"/>
        <v>2037</v>
      </c>
      <c r="J68" s="88"/>
      <c r="K68" s="41">
        <v>2.1000000000000001E-2</v>
      </c>
    </row>
    <row r="69" spans="3:11">
      <c r="C69" s="88">
        <f t="shared" si="11"/>
        <v>2020</v>
      </c>
      <c r="D69" s="41">
        <v>2.5000000000000001E-2</v>
      </c>
      <c r="E69" s="86"/>
      <c r="F69" s="88">
        <f t="shared" si="12"/>
        <v>2029</v>
      </c>
      <c r="G69" s="41">
        <v>2.1000000000000001E-2</v>
      </c>
      <c r="H69" s="86"/>
      <c r="I69" s="88">
        <f t="shared" si="13"/>
        <v>2038</v>
      </c>
      <c r="J69" s="88"/>
      <c r="K69" s="41">
        <v>2.1000000000000001E-2</v>
      </c>
    </row>
    <row r="70" spans="3:11">
      <c r="C70" s="88">
        <f t="shared" si="11"/>
        <v>2021</v>
      </c>
      <c r="D70" s="41">
        <v>2.4E-2</v>
      </c>
      <c r="E70" s="86"/>
      <c r="F70" s="88">
        <f t="shared" si="12"/>
        <v>2030</v>
      </c>
      <c r="G70" s="41">
        <v>0.02</v>
      </c>
      <c r="H70" s="86"/>
      <c r="I70" s="88">
        <f t="shared" si="13"/>
        <v>2039</v>
      </c>
      <c r="J70" s="88"/>
      <c r="K70" s="41">
        <v>2.1000000000000001E-2</v>
      </c>
    </row>
    <row r="71" spans="3:11">
      <c r="C71" s="88">
        <f t="shared" si="11"/>
        <v>2022</v>
      </c>
      <c r="D71" s="41">
        <v>2.4E-2</v>
      </c>
      <c r="E71" s="86"/>
      <c r="F71" s="88">
        <f t="shared" si="12"/>
        <v>2031</v>
      </c>
      <c r="G71" s="41">
        <v>0.02</v>
      </c>
      <c r="H71" s="86"/>
      <c r="I71" s="88">
        <f t="shared" si="13"/>
        <v>2040</v>
      </c>
      <c r="J71" s="88"/>
      <c r="K71" s="41">
        <v>2.1000000000000001E-2</v>
      </c>
    </row>
    <row r="72" spans="3:11" s="124" customFormat="1">
      <c r="C72" s="88">
        <f t="shared" si="11"/>
        <v>2023</v>
      </c>
      <c r="D72" s="41">
        <v>2.4E-2</v>
      </c>
      <c r="E72" s="87"/>
      <c r="F72" s="88">
        <f t="shared" si="12"/>
        <v>2032</v>
      </c>
      <c r="G72" s="41">
        <v>0.02</v>
      </c>
      <c r="H72" s="87"/>
      <c r="I72" s="88">
        <f t="shared" si="13"/>
        <v>2041</v>
      </c>
      <c r="J72" s="88"/>
      <c r="K72" s="41">
        <v>2.1999999999999999E-2</v>
      </c>
    </row>
    <row r="73" spans="3:11" s="124" customFormat="1">
      <c r="C73" s="88">
        <f t="shared" si="11"/>
        <v>2024</v>
      </c>
      <c r="D73" s="41">
        <v>2.3E-2</v>
      </c>
      <c r="E73" s="87"/>
      <c r="F73" s="88">
        <f t="shared" si="12"/>
        <v>2033</v>
      </c>
      <c r="G73" s="41">
        <v>0.02</v>
      </c>
      <c r="H73" s="87"/>
      <c r="I73" s="88">
        <f t="shared" si="13"/>
        <v>2042</v>
      </c>
      <c r="J73" s="88"/>
      <c r="K73" s="41">
        <v>2.1999999999999999E-2</v>
      </c>
    </row>
    <row r="74" spans="3:11" s="124" customFormat="1">
      <c r="C74" s="88">
        <f t="shared" si="11"/>
        <v>2025</v>
      </c>
      <c r="D74" s="41">
        <v>2.3E-2</v>
      </c>
      <c r="E74" s="87"/>
      <c r="F74" s="88">
        <f t="shared" si="12"/>
        <v>2034</v>
      </c>
      <c r="G74" s="41">
        <v>0.02</v>
      </c>
      <c r="H74" s="87"/>
      <c r="I74" s="88">
        <f t="shared" si="13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Resource-2030 - 29%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>
        <f>$C$55</f>
        <v>1215.4108609806308</v>
      </c>
      <c r="D24" s="133">
        <f>C24*$C$62</f>
        <v>93.825588996381754</v>
      </c>
      <c r="E24" s="133">
        <f t="shared" si="7"/>
        <v>26.39</v>
      </c>
      <c r="F24" s="135">
        <f t="shared" si="1"/>
        <v>47.650141503512558</v>
      </c>
      <c r="G24" s="133">
        <f t="shared" si="8"/>
        <v>0</v>
      </c>
      <c r="H24" s="143">
        <f t="shared" si="8"/>
        <v>0</v>
      </c>
      <c r="I24" s="135">
        <f t="shared" si="2"/>
        <v>47.650141503512558</v>
      </c>
      <c r="J24" s="135">
        <f t="shared" si="3"/>
        <v>120.22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0">ROUND(D24*(1+$G71),2)</f>
        <v>95.7</v>
      </c>
      <c r="E25" s="133">
        <f t="shared" si="7"/>
        <v>26.92</v>
      </c>
      <c r="F25" s="135">
        <f t="shared" si="1"/>
        <v>48.603183663115175</v>
      </c>
      <c r="G25" s="133">
        <f t="shared" si="8"/>
        <v>0</v>
      </c>
      <c r="H25" s="143">
        <f t="shared" si="8"/>
        <v>0</v>
      </c>
      <c r="I25" s="135">
        <f t="shared" si="2"/>
        <v>48.603183663115175</v>
      </c>
      <c r="J25" s="135">
        <f t="shared" si="3"/>
        <v>122.62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0"/>
        <v>97.61</v>
      </c>
      <c r="E26" s="133">
        <f t="shared" si="7"/>
        <v>27.46</v>
      </c>
      <c r="F26" s="135">
        <f t="shared" si="1"/>
        <v>49.574296042617959</v>
      </c>
      <c r="G26" s="133">
        <f t="shared" si="8"/>
        <v>0</v>
      </c>
      <c r="H26" s="143">
        <f t="shared" si="8"/>
        <v>0</v>
      </c>
      <c r="I26" s="135">
        <f t="shared" si="2"/>
        <v>49.574296042617959</v>
      </c>
      <c r="J26" s="135">
        <f t="shared" si="3"/>
        <v>125.07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99.56</v>
      </c>
      <c r="E27" s="133">
        <f t="shared" si="7"/>
        <v>28.01</v>
      </c>
      <c r="F27" s="135">
        <f t="shared" si="1"/>
        <v>50.565227042110614</v>
      </c>
      <c r="G27" s="133">
        <f t="shared" si="8"/>
        <v>0</v>
      </c>
      <c r="H27" s="143">
        <f t="shared" si="8"/>
        <v>0</v>
      </c>
      <c r="I27" s="135">
        <f t="shared" si="2"/>
        <v>50.565227042110614</v>
      </c>
      <c r="J27" s="135">
        <f t="shared" si="3"/>
        <v>127.57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101.55</v>
      </c>
      <c r="E28" s="133">
        <f t="shared" si="7"/>
        <v>28.57</v>
      </c>
      <c r="F28" s="135">
        <f t="shared" si="1"/>
        <v>51.575976661593103</v>
      </c>
      <c r="G28" s="133">
        <f t="shared" si="8"/>
        <v>0</v>
      </c>
      <c r="H28" s="143">
        <f t="shared" si="8"/>
        <v>0</v>
      </c>
      <c r="I28" s="135">
        <f t="shared" si="2"/>
        <v>51.575976661593103</v>
      </c>
      <c r="J28" s="135">
        <f t="shared" si="3"/>
        <v>130.12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103.58</v>
      </c>
      <c r="E29" s="133">
        <f t="shared" si="11"/>
        <v>29.14</v>
      </c>
      <c r="F29" s="135">
        <f t="shared" si="1"/>
        <v>52.606544901065455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52.606544901065455</v>
      </c>
      <c r="J29" s="135">
        <f t="shared" si="3"/>
        <v>132.72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105.65</v>
      </c>
      <c r="E30" s="133">
        <f t="shared" si="11"/>
        <v>29.72</v>
      </c>
      <c r="F30" s="135">
        <f t="shared" si="1"/>
        <v>53.656931760527655</v>
      </c>
      <c r="G30" s="133">
        <f t="shared" si="12"/>
        <v>0</v>
      </c>
      <c r="H30" s="143">
        <f t="shared" si="12"/>
        <v>0</v>
      </c>
      <c r="I30" s="135">
        <f t="shared" si="2"/>
        <v>53.656931760527655</v>
      </c>
      <c r="J30" s="135">
        <f t="shared" si="3"/>
        <v>135.37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107.87</v>
      </c>
      <c r="E31" s="133">
        <f t="shared" si="11"/>
        <v>30.34</v>
      </c>
      <c r="F31" s="135">
        <f t="shared" si="1"/>
        <v>54.782629375951302</v>
      </c>
      <c r="G31" s="133">
        <f t="shared" si="12"/>
        <v>0</v>
      </c>
      <c r="H31" s="143">
        <f t="shared" si="12"/>
        <v>0</v>
      </c>
      <c r="I31" s="135">
        <f t="shared" si="2"/>
        <v>54.782629375951302</v>
      </c>
      <c r="J31" s="135">
        <f t="shared" si="3"/>
        <v>138.21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110.14</v>
      </c>
      <c r="E32" s="133">
        <f t="shared" si="11"/>
        <v>30.98</v>
      </c>
      <c r="F32" s="135">
        <f t="shared" si="1"/>
        <v>55.936073059360737</v>
      </c>
      <c r="G32" s="133">
        <f t="shared" si="12"/>
        <v>0</v>
      </c>
      <c r="H32" s="143">
        <f t="shared" si="12"/>
        <v>0</v>
      </c>
      <c r="I32" s="135">
        <f t="shared" si="2"/>
        <v>55.936073059360737</v>
      </c>
      <c r="J32" s="135">
        <f t="shared" si="3"/>
        <v>141.12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112.45</v>
      </c>
      <c r="E33" s="133">
        <f t="shared" si="11"/>
        <v>31.63</v>
      </c>
      <c r="F33" s="135">
        <f t="shared" si="1"/>
        <v>57.109335362760028</v>
      </c>
      <c r="G33" s="133">
        <f t="shared" si="12"/>
        <v>0</v>
      </c>
      <c r="H33" s="143">
        <f t="shared" si="12"/>
        <v>0</v>
      </c>
      <c r="I33" s="135">
        <f t="shared" si="2"/>
        <v>57.109335362760028</v>
      </c>
      <c r="J33" s="135">
        <f t="shared" si="3"/>
        <v>144.08000000000001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114.81</v>
      </c>
      <c r="E34" s="133">
        <f t="shared" si="11"/>
        <v>32.29</v>
      </c>
      <c r="F34" s="135">
        <f t="shared" si="1"/>
        <v>58.306380010147137</v>
      </c>
      <c r="G34" s="133">
        <f t="shared" si="12"/>
        <v>0</v>
      </c>
      <c r="H34" s="143">
        <f t="shared" si="12"/>
        <v>0</v>
      </c>
      <c r="I34" s="135">
        <f t="shared" si="2"/>
        <v>58.306380010147137</v>
      </c>
      <c r="J34" s="135">
        <f t="shared" si="3"/>
        <v>147.1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117.34</v>
      </c>
      <c r="E35" s="133">
        <f t="shared" si="11"/>
        <v>33</v>
      </c>
      <c r="F35" s="135">
        <f t="shared" si="1"/>
        <v>59.590626585489602</v>
      </c>
      <c r="G35" s="133">
        <f t="shared" si="12"/>
        <v>0</v>
      </c>
      <c r="H35" s="143">
        <f t="shared" si="12"/>
        <v>0</v>
      </c>
      <c r="I35" s="135">
        <f t="shared" si="2"/>
        <v>59.590626585489602</v>
      </c>
      <c r="J35" s="135">
        <f t="shared" si="3"/>
        <v>150.34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119.92</v>
      </c>
      <c r="E36" s="133">
        <f t="shared" si="11"/>
        <v>33.729999999999997</v>
      </c>
      <c r="F36" s="135">
        <f t="shared" si="1"/>
        <v>60.902619228817869</v>
      </c>
      <c r="G36" s="133">
        <f t="shared" si="12"/>
        <v>0</v>
      </c>
      <c r="H36" s="143">
        <f t="shared" si="12"/>
        <v>0</v>
      </c>
      <c r="I36" s="135">
        <f t="shared" si="2"/>
        <v>60.902619228817869</v>
      </c>
      <c r="J36" s="135">
        <f t="shared" si="3"/>
        <v>153.65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YK Solar 2033'!D44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Resource-2030 - 29%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119</v>
      </c>
      <c r="C55" s="186">
        <v>1215.4108609806308</v>
      </c>
      <c r="D55" s="122" t="s">
        <v>74</v>
      </c>
      <c r="H55" s="122" t="s">
        <v>9</v>
      </c>
    </row>
    <row r="56" spans="2:24">
      <c r="B56" s="86" t="s">
        <v>111</v>
      </c>
      <c r="C56" s="155">
        <v>19.720289118454605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P345"/>
  <sheetViews>
    <sheetView topLeftCell="A2" workbookViewId="0">
      <selection activeCell="B3" sqref="B3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9.33203125" style="3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5" hidden="1" customWidth="1"/>
    <col min="12" max="12" width="10.33203125" style="95" hidden="1" customWidth="1"/>
    <col min="13" max="13" width="13.83203125" style="95" hidden="1" customWidth="1"/>
    <col min="14" max="14" width="12.83203125" style="3" hidden="1" customWidth="1"/>
    <col min="15" max="15" width="13.33203125" style="3" hidden="1" customWidth="1"/>
    <col min="16" max="16" width="9.33203125" style="3" hidden="1" customWidth="1"/>
    <col min="17" max="16384" width="9.33203125" style="3"/>
  </cols>
  <sheetData>
    <row r="1" spans="2:15" ht="15.75" hidden="1">
      <c r="B1" s="1" t="s">
        <v>37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58</v>
      </c>
      <c r="C3" s="1"/>
      <c r="G3" s="29"/>
    </row>
    <row r="4" spans="2:15" ht="15.75">
      <c r="B4" s="1" t="s">
        <v>32</v>
      </c>
      <c r="C4" s="1"/>
      <c r="G4" s="96" t="s">
        <v>31</v>
      </c>
    </row>
    <row r="5" spans="2:15" ht="15.75">
      <c r="B5" s="1" t="str">
        <f ca="1">'Table 1'!$B$5</f>
        <v>Kennecott Refinery Non Firm - 6.2 MW and 85.0% CF</v>
      </c>
      <c r="C5" s="1"/>
      <c r="G5" s="97">
        <v>43280</v>
      </c>
    </row>
    <row r="6" spans="2:15">
      <c r="B6" s="11"/>
      <c r="C6" s="11"/>
      <c r="G6" s="29"/>
    </row>
    <row r="7" spans="2:15" ht="14.25">
      <c r="B7" s="21"/>
      <c r="C7" s="28" t="s">
        <v>28</v>
      </c>
      <c r="G7" s="29"/>
    </row>
    <row r="8" spans="2:15">
      <c r="B8" s="22"/>
      <c r="C8" s="16" t="s">
        <v>29</v>
      </c>
      <c r="D8" s="16" t="s">
        <v>29</v>
      </c>
      <c r="E8" s="16" t="s">
        <v>29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23</v>
      </c>
      <c r="D10" s="24" t="s">
        <v>23</v>
      </c>
      <c r="E10" s="24" t="s">
        <v>23</v>
      </c>
      <c r="G10" s="98"/>
      <c r="H10" s="99"/>
    </row>
    <row r="11" spans="2:15" hidden="1">
      <c r="C11" s="12"/>
      <c r="G11" s="98"/>
      <c r="H11" s="99"/>
    </row>
    <row r="12" spans="2:15" hidden="1">
      <c r="C12" s="25"/>
      <c r="G12" s="98"/>
      <c r="H12" s="99"/>
    </row>
    <row r="13" spans="2:15" ht="6" customHeight="1">
      <c r="G13" s="100"/>
      <c r="H13" s="101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2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2.71</v>
      </c>
      <c r="D15" s="27">
        <f t="shared" ref="D15:D40" si="2">ROUND(SUMIF($K$17:$K$340,$B15,$I$17:$I$340)/COUNTIF($K$17:$K$340,$B15),2)</f>
        <v>2.77</v>
      </c>
      <c r="E15" s="27">
        <f t="shared" ref="E15:E40" si="3">ROUND(SUMIF($K$17:$K$340,$B15,$J$17:$J$340)/COUNTIF($K$17:$K$340,$B15),2)</f>
        <v>2.71</v>
      </c>
      <c r="G15" s="30"/>
      <c r="H15" s="34" t="s">
        <v>66</v>
      </c>
      <c r="I15" s="3" t="s">
        <v>67</v>
      </c>
      <c r="J15" s="3" t="s">
        <v>68</v>
      </c>
      <c r="N15" s="3" t="s">
        <v>67</v>
      </c>
    </row>
    <row r="16" spans="2:15" ht="13.5" thickBot="1">
      <c r="B16" s="26">
        <f t="shared" si="0"/>
        <v>2018</v>
      </c>
      <c r="C16" s="27">
        <f t="shared" si="1"/>
        <v>2.2799999999999998</v>
      </c>
      <c r="D16" s="27">
        <f t="shared" si="2"/>
        <v>2.16</v>
      </c>
      <c r="E16" s="27">
        <f t="shared" si="3"/>
        <v>2.2799999999999998</v>
      </c>
      <c r="G16" s="30" t="s">
        <v>30</v>
      </c>
      <c r="H16" s="34" t="s">
        <v>29</v>
      </c>
      <c r="I16" s="34" t="s">
        <v>29</v>
      </c>
      <c r="J16" s="34" t="s">
        <v>29</v>
      </c>
      <c r="K16" s="103" t="s">
        <v>0</v>
      </c>
      <c r="M16" s="104" t="str">
        <f>IF(_30_Geo_West&gt;0,"IRP - Wyo NE",IF(_436_CCCT_WestMain&gt;0,"West Side","IRP - Utah Greenfield"))</f>
        <v>IRP - Utah Greenfield</v>
      </c>
      <c r="N16" s="104" t="s">
        <v>113</v>
      </c>
      <c r="O16" s="104" t="s">
        <v>68</v>
      </c>
    </row>
    <row r="17" spans="2:15" ht="13.5" thickBot="1">
      <c r="B17" s="26">
        <f t="shared" si="0"/>
        <v>2019</v>
      </c>
      <c r="C17" s="27">
        <f t="shared" si="1"/>
        <v>2.09</v>
      </c>
      <c r="D17" s="27">
        <f t="shared" si="2"/>
        <v>1.99</v>
      </c>
      <c r="E17" s="27">
        <f t="shared" si="3"/>
        <v>2.02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5">
        <f t="shared" ref="K17:K64" si="4">YEAR(G17)</f>
        <v>2016</v>
      </c>
      <c r="M17" s="106">
        <v>47</v>
      </c>
      <c r="N17" s="106">
        <v>43</v>
      </c>
      <c r="O17" s="106">
        <v>46</v>
      </c>
    </row>
    <row r="18" spans="2:15">
      <c r="B18" s="26">
        <f t="shared" si="0"/>
        <v>2020</v>
      </c>
      <c r="C18" s="27">
        <f t="shared" si="1"/>
        <v>1.97</v>
      </c>
      <c r="D18" s="27">
        <f t="shared" si="2"/>
        <v>1.88</v>
      </c>
      <c r="E18" s="27">
        <f t="shared" si="3"/>
        <v>1.9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5">
        <f t="shared" si="4"/>
        <v>2016</v>
      </c>
    </row>
    <row r="19" spans="2:15">
      <c r="B19" s="26">
        <f t="shared" si="0"/>
        <v>2021</v>
      </c>
      <c r="C19" s="27">
        <f t="shared" si="1"/>
        <v>1.94</v>
      </c>
      <c r="D19" s="27">
        <f t="shared" si="2"/>
        <v>1.9</v>
      </c>
      <c r="E19" s="27">
        <f t="shared" si="3"/>
        <v>1.94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5">
        <f t="shared" si="4"/>
        <v>2016</v>
      </c>
    </row>
    <row r="20" spans="2:15">
      <c r="B20" s="26">
        <f t="shared" si="0"/>
        <v>2022</v>
      </c>
      <c r="C20" s="27">
        <f t="shared" si="1"/>
        <v>2.0099999999999998</v>
      </c>
      <c r="D20" s="27">
        <f t="shared" si="2"/>
        <v>2</v>
      </c>
      <c r="E20" s="27">
        <f t="shared" si="3"/>
        <v>2.0099999999999998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5">
        <f t="shared" si="4"/>
        <v>2016</v>
      </c>
    </row>
    <row r="21" spans="2:15">
      <c r="B21" s="26">
        <f t="shared" si="0"/>
        <v>2023</v>
      </c>
      <c r="C21" s="27">
        <f t="shared" si="1"/>
        <v>2.16</v>
      </c>
      <c r="D21" s="27">
        <f t="shared" si="2"/>
        <v>2.11</v>
      </c>
      <c r="E21" s="27">
        <f t="shared" si="3"/>
        <v>2.12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5">
        <f t="shared" si="4"/>
        <v>2016</v>
      </c>
    </row>
    <row r="22" spans="2:15">
      <c r="B22" s="26">
        <f t="shared" si="0"/>
        <v>2024</v>
      </c>
      <c r="C22" s="27">
        <f t="shared" si="1"/>
        <v>2.5499999999999998</v>
      </c>
      <c r="D22" s="27">
        <f t="shared" si="2"/>
        <v>2.5</v>
      </c>
      <c r="E22" s="27">
        <f t="shared" si="3"/>
        <v>2.5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5">
        <f t="shared" si="4"/>
        <v>2016</v>
      </c>
    </row>
    <row r="23" spans="2:15">
      <c r="B23" s="26">
        <f t="shared" si="0"/>
        <v>2025</v>
      </c>
      <c r="C23" s="27">
        <f t="shared" si="1"/>
        <v>3.34</v>
      </c>
      <c r="D23" s="27">
        <f t="shared" si="2"/>
        <v>3.3</v>
      </c>
      <c r="E23" s="27">
        <f t="shared" si="3"/>
        <v>3.28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5">
        <f t="shared" si="4"/>
        <v>2016</v>
      </c>
    </row>
    <row r="24" spans="2:15">
      <c r="B24" s="26">
        <f t="shared" si="0"/>
        <v>2026</v>
      </c>
      <c r="C24" s="27">
        <f t="shared" si="1"/>
        <v>3.81</v>
      </c>
      <c r="D24" s="27">
        <f t="shared" si="2"/>
        <v>3.79</v>
      </c>
      <c r="E24" s="27">
        <f t="shared" si="3"/>
        <v>3.74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5">
        <f t="shared" si="4"/>
        <v>2016</v>
      </c>
    </row>
    <row r="25" spans="2:15">
      <c r="B25" s="26">
        <f t="shared" si="0"/>
        <v>2027</v>
      </c>
      <c r="C25" s="27">
        <f t="shared" si="1"/>
        <v>3.93</v>
      </c>
      <c r="D25" s="27">
        <f t="shared" si="2"/>
        <v>3.92</v>
      </c>
      <c r="E25" s="27">
        <f t="shared" si="3"/>
        <v>3.86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5">
        <f t="shared" si="4"/>
        <v>2016</v>
      </c>
    </row>
    <row r="26" spans="2:15">
      <c r="B26" s="26">
        <f t="shared" si="0"/>
        <v>2028</v>
      </c>
      <c r="C26" s="27">
        <f t="shared" si="1"/>
        <v>4.1399999999999997</v>
      </c>
      <c r="D26" s="27">
        <f t="shared" si="2"/>
        <v>4.18</v>
      </c>
      <c r="E26" s="27">
        <f t="shared" si="3"/>
        <v>4.08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5">
        <f t="shared" si="4"/>
        <v>2016</v>
      </c>
    </row>
    <row r="27" spans="2:15">
      <c r="B27" s="26">
        <f t="shared" si="0"/>
        <v>2029</v>
      </c>
      <c r="C27" s="27">
        <f t="shared" si="1"/>
        <v>4.5199999999999996</v>
      </c>
      <c r="D27" s="27">
        <f t="shared" si="2"/>
        <v>4.62</v>
      </c>
      <c r="E27" s="27">
        <f t="shared" si="3"/>
        <v>4.4400000000000004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5">
        <f t="shared" si="4"/>
        <v>2016</v>
      </c>
    </row>
    <row r="28" spans="2:15">
      <c r="B28" s="26">
        <f t="shared" si="0"/>
        <v>2030</v>
      </c>
      <c r="C28" s="27">
        <f t="shared" si="1"/>
        <v>4.96</v>
      </c>
      <c r="D28" s="27">
        <f t="shared" si="2"/>
        <v>5.07</v>
      </c>
      <c r="E28" s="27">
        <f t="shared" si="3"/>
        <v>4.88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5">
        <f t="shared" si="4"/>
        <v>2016</v>
      </c>
    </row>
    <row r="29" spans="2:15">
      <c r="B29" s="26">
        <f t="shared" si="0"/>
        <v>2031</v>
      </c>
      <c r="C29" s="27">
        <f t="shared" si="1"/>
        <v>4.9800000000000004</v>
      </c>
      <c r="D29" s="27">
        <f t="shared" si="2"/>
        <v>5.0599999999999996</v>
      </c>
      <c r="E29" s="27">
        <f t="shared" si="3"/>
        <v>4.9000000000000004</v>
      </c>
      <c r="G29" s="31">
        <v>42736</v>
      </c>
      <c r="H29" s="35">
        <v>3.2524393877551017</v>
      </c>
      <c r="I29" s="35">
        <v>3.5318468800105713</v>
      </c>
      <c r="J29" s="35">
        <v>3.2192827656100813</v>
      </c>
      <c r="K29" s="105">
        <f t="shared" si="4"/>
        <v>2017</v>
      </c>
    </row>
    <row r="30" spans="2:15">
      <c r="B30" s="26">
        <f t="shared" si="0"/>
        <v>2032</v>
      </c>
      <c r="C30" s="27">
        <f t="shared" si="1"/>
        <v>5.36</v>
      </c>
      <c r="D30" s="27">
        <f t="shared" si="2"/>
        <v>5.44</v>
      </c>
      <c r="E30" s="27">
        <f t="shared" si="3"/>
        <v>5.27</v>
      </c>
      <c r="G30" s="31">
        <v>42767</v>
      </c>
      <c r="H30" s="35">
        <v>2.6306099416909614</v>
      </c>
      <c r="I30" s="35">
        <v>2.6903633755419278</v>
      </c>
      <c r="J30" s="35">
        <v>2.6163905589309167</v>
      </c>
      <c r="K30" s="105">
        <f t="shared" si="4"/>
        <v>2017</v>
      </c>
    </row>
    <row r="31" spans="2:15">
      <c r="B31" s="26">
        <f t="shared" si="0"/>
        <v>2033</v>
      </c>
      <c r="C31" s="27">
        <f t="shared" si="1"/>
        <v>5.63</v>
      </c>
      <c r="D31" s="27">
        <f t="shared" si="2"/>
        <v>5.73</v>
      </c>
      <c r="E31" s="27">
        <f t="shared" si="3"/>
        <v>5.54</v>
      </c>
      <c r="G31" s="31">
        <v>42795</v>
      </c>
      <c r="H31" s="35">
        <v>2.5701319486504275</v>
      </c>
      <c r="I31" s="35">
        <v>2.5432095807524639</v>
      </c>
      <c r="J31" s="35">
        <v>2.568842349667122</v>
      </c>
      <c r="K31" s="105">
        <f t="shared" si="4"/>
        <v>2017</v>
      </c>
    </row>
    <row r="32" spans="2:15">
      <c r="B32" s="26">
        <f t="shared" si="0"/>
        <v>2034</v>
      </c>
      <c r="C32" s="27">
        <f t="shared" si="1"/>
        <v>5.56</v>
      </c>
      <c r="D32" s="27">
        <f t="shared" si="2"/>
        <v>5.62</v>
      </c>
      <c r="E32" s="27">
        <f t="shared" si="3"/>
        <v>5.48</v>
      </c>
      <c r="G32" s="31">
        <v>42826</v>
      </c>
      <c r="H32" s="35">
        <v>2.7337319047619042</v>
      </c>
      <c r="I32" s="35">
        <v>2.7294485434555877</v>
      </c>
      <c r="J32" s="35">
        <v>2.7630022897935822</v>
      </c>
      <c r="K32" s="105">
        <f t="shared" si="4"/>
        <v>2017</v>
      </c>
    </row>
    <row r="33" spans="2:11">
      <c r="B33" s="26">
        <f t="shared" si="0"/>
        <v>2035</v>
      </c>
      <c r="C33" s="27">
        <f t="shared" si="1"/>
        <v>5.75</v>
      </c>
      <c r="D33" s="27">
        <f t="shared" si="2"/>
        <v>5.76</v>
      </c>
      <c r="E33" s="27">
        <f t="shared" si="3"/>
        <v>5.66</v>
      </c>
      <c r="G33" s="31">
        <v>42856</v>
      </c>
      <c r="H33" s="35">
        <v>2.793469670836076</v>
      </c>
      <c r="I33" s="35">
        <v>2.7211925722904748</v>
      </c>
      <c r="J33" s="35">
        <v>2.7948345482925934</v>
      </c>
      <c r="K33" s="105">
        <f t="shared" si="4"/>
        <v>2017</v>
      </c>
    </row>
    <row r="34" spans="2:11">
      <c r="B34" s="26">
        <f t="shared" si="0"/>
        <v>2036</v>
      </c>
      <c r="C34" s="27">
        <f t="shared" si="1"/>
        <v>5.69</v>
      </c>
      <c r="D34" s="27">
        <f t="shared" si="2"/>
        <v>5.71</v>
      </c>
      <c r="E34" s="27">
        <f t="shared" si="3"/>
        <v>5.61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5">
        <f t="shared" si="4"/>
        <v>2017</v>
      </c>
    </row>
    <row r="35" spans="2:11">
      <c r="B35" s="26">
        <f t="shared" si="0"/>
        <v>2037</v>
      </c>
      <c r="C35" s="27">
        <f t="shared" si="1"/>
        <v>6.03</v>
      </c>
      <c r="D35" s="27">
        <f t="shared" si="2"/>
        <v>6.09</v>
      </c>
      <c r="E35" s="27">
        <f t="shared" si="3"/>
        <v>5.94</v>
      </c>
      <c r="G35" s="31">
        <v>42917</v>
      </c>
      <c r="H35" s="35">
        <v>2.6189359863945567</v>
      </c>
      <c r="I35" s="35">
        <v>2.4945553517572598</v>
      </c>
      <c r="J35" s="35">
        <v>2.6362978437052949</v>
      </c>
      <c r="K35" s="105">
        <f t="shared" si="4"/>
        <v>2017</v>
      </c>
    </row>
    <row r="36" spans="2:11">
      <c r="B36" s="26">
        <f t="shared" si="0"/>
        <v>2038</v>
      </c>
      <c r="C36" s="27">
        <f t="shared" si="1"/>
        <v>6.44</v>
      </c>
      <c r="D36" s="27">
        <f t="shared" si="2"/>
        <v>6.53</v>
      </c>
      <c r="E36" s="27">
        <f t="shared" si="3"/>
        <v>6.35</v>
      </c>
      <c r="G36" s="31">
        <v>42948</v>
      </c>
      <c r="H36" s="35">
        <v>2.6204058600583098</v>
      </c>
      <c r="I36" s="35">
        <v>2.6662174520070065</v>
      </c>
      <c r="J36" s="35">
        <v>2.5882317308036979</v>
      </c>
      <c r="K36" s="105">
        <f t="shared" si="4"/>
        <v>2017</v>
      </c>
    </row>
    <row r="37" spans="2:11">
      <c r="B37" s="26">
        <f t="shared" si="0"/>
        <v>2039</v>
      </c>
      <c r="C37" s="27">
        <f t="shared" si="1"/>
        <v>6.68</v>
      </c>
      <c r="D37" s="27">
        <f t="shared" si="2"/>
        <v>6.81</v>
      </c>
      <c r="E37" s="27">
        <f t="shared" si="3"/>
        <v>6.59</v>
      </c>
      <c r="G37" s="31">
        <v>42979</v>
      </c>
      <c r="H37" s="35">
        <v>2.6225484658691061</v>
      </c>
      <c r="I37" s="35">
        <v>2.6887120624951599</v>
      </c>
      <c r="J37" s="35">
        <v>2.6331911977640843</v>
      </c>
      <c r="K37" s="105">
        <f t="shared" si="4"/>
        <v>2017</v>
      </c>
    </row>
    <row r="38" spans="2:11">
      <c r="B38" s="26">
        <f t="shared" si="0"/>
        <v>2040</v>
      </c>
      <c r="C38" s="27">
        <f t="shared" si="1"/>
        <v>7.08</v>
      </c>
      <c r="D38" s="27">
        <f t="shared" si="2"/>
        <v>7.22</v>
      </c>
      <c r="E38" s="27">
        <f t="shared" si="3"/>
        <v>6.98</v>
      </c>
      <c r="G38" s="31">
        <v>43009</v>
      </c>
      <c r="H38" s="35">
        <v>2.5740380272108854</v>
      </c>
      <c r="I38" s="35">
        <v>2.6534093301860455</v>
      </c>
      <c r="J38" s="35">
        <v>2.5597179350146151</v>
      </c>
      <c r="K38" s="105">
        <f t="shared" si="4"/>
        <v>2017</v>
      </c>
    </row>
    <row r="39" spans="2:11">
      <c r="B39" s="26">
        <f t="shared" si="0"/>
        <v>2041</v>
      </c>
      <c r="C39" s="27">
        <f t="shared" si="1"/>
        <v>7.23</v>
      </c>
      <c r="D39" s="27">
        <f t="shared" si="2"/>
        <v>7.38</v>
      </c>
      <c r="E39" s="27">
        <f t="shared" si="3"/>
        <v>7.13</v>
      </c>
      <c r="G39" s="31">
        <v>43040</v>
      </c>
      <c r="H39" s="35">
        <v>2.7398543537414972</v>
      </c>
      <c r="I39" s="35">
        <v>2.7910689165539582</v>
      </c>
      <c r="J39" s="35">
        <v>2.7286553860659333</v>
      </c>
      <c r="K39" s="105">
        <f t="shared" si="4"/>
        <v>2017</v>
      </c>
    </row>
    <row r="40" spans="2:11">
      <c r="B40" s="26">
        <f t="shared" si="0"/>
        <v>2042</v>
      </c>
      <c r="C40" s="27">
        <f>ROUND(SUMIF($K$17:$K$340,$B40,$H$17:$H$340)/COUNTIF($K$17:$K$340,$B40),2)</f>
        <v>4.84</v>
      </c>
      <c r="D40" s="27">
        <f t="shared" si="2"/>
        <v>4.91</v>
      </c>
      <c r="E40" s="27">
        <f t="shared" si="3"/>
        <v>4.7699999999999996</v>
      </c>
      <c r="G40" s="31">
        <v>43070</v>
      </c>
      <c r="H40" s="35">
        <v>2.5383676300197497</v>
      </c>
      <c r="I40" s="35">
        <v>2.822493172147158</v>
      </c>
      <c r="J40" s="35">
        <v>2.5087189745461411</v>
      </c>
      <c r="K40" s="105">
        <f t="shared" si="4"/>
        <v>2017</v>
      </c>
    </row>
    <row r="41" spans="2:11">
      <c r="B41" s="26"/>
      <c r="C41" s="27"/>
      <c r="G41" s="31">
        <v>43101</v>
      </c>
      <c r="H41" s="35">
        <v>2.9554183212639882</v>
      </c>
      <c r="I41" s="35">
        <v>2.8239902253470102</v>
      </c>
      <c r="J41" s="35">
        <v>3.0850235214374857</v>
      </c>
      <c r="K41" s="105">
        <f t="shared" si="4"/>
        <v>2018</v>
      </c>
    </row>
    <row r="42" spans="2:11">
      <c r="B42" s="26"/>
      <c r="C42" s="27"/>
      <c r="G42" s="31">
        <v>43132</v>
      </c>
      <c r="H42" s="35">
        <v>2.2568854518950432</v>
      </c>
      <c r="I42" s="35">
        <v>2.2686339840438139</v>
      </c>
      <c r="J42" s="35">
        <v>2.2460429047667154</v>
      </c>
      <c r="K42" s="105">
        <f t="shared" si="4"/>
        <v>2018</v>
      </c>
    </row>
    <row r="43" spans="2:11">
      <c r="G43" s="31">
        <v>43160</v>
      </c>
      <c r="H43" s="35">
        <v>2.1272418894009211</v>
      </c>
      <c r="I43" s="35">
        <v>2.1973902915865509</v>
      </c>
      <c r="J43" s="35">
        <v>2.1577548823765187</v>
      </c>
      <c r="K43" s="105">
        <f t="shared" si="4"/>
        <v>2018</v>
      </c>
    </row>
    <row r="44" spans="2:11">
      <c r="B44" s="107" t="str">
        <f>"Official Forward Price Curve Forecast dated   "&amp;TEXT(G5,"MMM dd, YYYY")</f>
        <v>Official Forward Price Curve Forecast dated   Jun 29, 2018</v>
      </c>
      <c r="G44" s="31">
        <v>43191</v>
      </c>
      <c r="H44" s="35">
        <v>1.9903645578231297</v>
      </c>
      <c r="I44" s="35">
        <v>2.0363267735276125</v>
      </c>
      <c r="J44" s="35">
        <v>2.0652887160319229</v>
      </c>
      <c r="K44" s="105">
        <f t="shared" si="4"/>
        <v>2018</v>
      </c>
    </row>
    <row r="45" spans="2:11">
      <c r="G45" s="31">
        <v>43221</v>
      </c>
      <c r="H45" s="35">
        <v>1.7946217445687955</v>
      </c>
      <c r="I45" s="35">
        <v>1.5864262468023287</v>
      </c>
      <c r="J45" s="35">
        <v>1.8740833482691301</v>
      </c>
      <c r="K45" s="105">
        <f t="shared" si="4"/>
        <v>2018</v>
      </c>
    </row>
    <row r="46" spans="2:11">
      <c r="G46" s="31">
        <v>43252</v>
      </c>
      <c r="H46" s="35">
        <v>2.1570312244897956</v>
      </c>
      <c r="I46" s="35">
        <v>1.8624662229306752</v>
      </c>
      <c r="J46" s="35">
        <v>2.2496507728053339</v>
      </c>
      <c r="K46" s="105">
        <f t="shared" si="4"/>
        <v>2018</v>
      </c>
    </row>
    <row r="47" spans="2:11">
      <c r="G47" s="31">
        <v>43282</v>
      </c>
      <c r="H47" s="35">
        <v>2.2284597959183672</v>
      </c>
      <c r="I47" s="35">
        <v>1.8469966731988667</v>
      </c>
      <c r="J47" s="35">
        <v>2.2294467117890697</v>
      </c>
      <c r="K47" s="105">
        <f t="shared" si="4"/>
        <v>2018</v>
      </c>
    </row>
    <row r="48" spans="2:11">
      <c r="G48" s="31">
        <v>43313</v>
      </c>
      <c r="H48" s="35">
        <v>2.3753985714285712</v>
      </c>
      <c r="I48" s="35">
        <v>2.1321520399218703</v>
      </c>
      <c r="J48" s="35">
        <v>2.3016762299222142</v>
      </c>
      <c r="K48" s="105">
        <f t="shared" si="4"/>
        <v>2018</v>
      </c>
    </row>
    <row r="49" spans="7:13">
      <c r="G49" s="31">
        <v>43344</v>
      </c>
      <c r="H49" s="35">
        <v>2.3417251020408161</v>
      </c>
      <c r="I49" s="35">
        <v>1.9949886989665016</v>
      </c>
      <c r="J49" s="35">
        <v>2.2683395292453783</v>
      </c>
      <c r="K49" s="105">
        <f t="shared" si="4"/>
        <v>2018</v>
      </c>
      <c r="L49" s="3"/>
      <c r="M49" s="3"/>
    </row>
    <row r="50" spans="7:13">
      <c r="G50" s="31">
        <v>43374</v>
      </c>
      <c r="H50" s="35">
        <v>2.2264189795918363</v>
      </c>
      <c r="I50" s="35">
        <v>2.0524838588030563</v>
      </c>
      <c r="J50" s="35">
        <v>2.1541865845034853</v>
      </c>
      <c r="K50" s="105">
        <f t="shared" si="4"/>
        <v>2018</v>
      </c>
      <c r="L50" s="3"/>
      <c r="M50" s="3"/>
    </row>
    <row r="51" spans="7:13">
      <c r="G51" s="31">
        <v>43405</v>
      </c>
      <c r="H51" s="35">
        <v>2.28866387755102</v>
      </c>
      <c r="I51" s="35">
        <v>2.3164975075592551</v>
      </c>
      <c r="J51" s="35">
        <v>2.1880283867057275</v>
      </c>
      <c r="K51" s="105">
        <f t="shared" si="4"/>
        <v>2018</v>
      </c>
      <c r="L51" s="3"/>
      <c r="M51" s="3"/>
    </row>
    <row r="52" spans="7:13">
      <c r="G52" s="31">
        <v>43435</v>
      </c>
      <c r="H52" s="35">
        <v>2.6289699999999998</v>
      </c>
      <c r="I52" s="35">
        <v>2.7480979450767133</v>
      </c>
      <c r="J52" s="35">
        <v>2.5299821194060006</v>
      </c>
      <c r="K52" s="105">
        <f t="shared" si="4"/>
        <v>2018</v>
      </c>
      <c r="L52" s="3"/>
      <c r="M52" s="3"/>
    </row>
    <row r="53" spans="7:13">
      <c r="G53" s="31">
        <v>43466</v>
      </c>
      <c r="H53" s="35">
        <v>2.7539699999999998</v>
      </c>
      <c r="I53" s="35">
        <v>2.710094417902237</v>
      </c>
      <c r="J53" s="35">
        <v>2.663834023638751</v>
      </c>
      <c r="K53" s="105">
        <f t="shared" si="4"/>
        <v>2019</v>
      </c>
      <c r="L53" s="3"/>
      <c r="M53" s="3"/>
    </row>
    <row r="54" spans="7:13">
      <c r="G54" s="31">
        <v>43497</v>
      </c>
      <c r="H54" s="35">
        <v>2.6371332653061219</v>
      </c>
      <c r="I54" s="35">
        <v>2.4714508307062037</v>
      </c>
      <c r="J54" s="35">
        <v>2.5481657743206383</v>
      </c>
      <c r="K54" s="105">
        <f t="shared" si="4"/>
        <v>2019</v>
      </c>
      <c r="L54" s="3"/>
      <c r="M54" s="3"/>
    </row>
    <row r="55" spans="7:13">
      <c r="G55" s="31">
        <v>43525</v>
      </c>
      <c r="H55" s="35">
        <v>2.204990408163265</v>
      </c>
      <c r="I55" s="35">
        <v>2.1932567613625138</v>
      </c>
      <c r="J55" s="35">
        <v>2.1354978280634409</v>
      </c>
      <c r="K55" s="105">
        <f t="shared" si="4"/>
        <v>2019</v>
      </c>
      <c r="L55" s="3"/>
      <c r="M55" s="3"/>
    </row>
    <row r="56" spans="7:13">
      <c r="G56" s="31">
        <v>43556</v>
      </c>
      <c r="H56" s="35">
        <v>1.7876434693877552</v>
      </c>
      <c r="I56" s="35">
        <v>1.576176422560672</v>
      </c>
      <c r="J56" s="35">
        <v>1.7400033336700675</v>
      </c>
      <c r="K56" s="105">
        <f t="shared" si="4"/>
        <v>2019</v>
      </c>
      <c r="L56" s="3"/>
      <c r="M56" s="3"/>
    </row>
    <row r="57" spans="7:13">
      <c r="G57" s="31">
        <v>43586</v>
      </c>
      <c r="H57" s="35">
        <v>1.7651944897959184</v>
      </c>
      <c r="I57" s="35">
        <v>1.545752974754782</v>
      </c>
      <c r="J57" s="35">
        <v>1.7177788665521767</v>
      </c>
      <c r="K57" s="105">
        <f t="shared" si="4"/>
        <v>2019</v>
      </c>
      <c r="L57" s="3"/>
      <c r="M57" s="3"/>
    </row>
    <row r="58" spans="7:13">
      <c r="G58" s="31">
        <v>43617</v>
      </c>
      <c r="H58" s="35">
        <v>1.7963169387755102</v>
      </c>
      <c r="I58" s="35">
        <v>1.5758670315660361</v>
      </c>
      <c r="J58" s="35">
        <v>1.7662686129912111</v>
      </c>
      <c r="K58" s="105">
        <f t="shared" si="4"/>
        <v>2019</v>
      </c>
      <c r="L58" s="3"/>
      <c r="M58" s="3"/>
    </row>
    <row r="59" spans="7:13">
      <c r="G59" s="31">
        <v>43647</v>
      </c>
      <c r="H59" s="35">
        <v>1.9606026530612246</v>
      </c>
      <c r="I59" s="35">
        <v>1.7709380536841417</v>
      </c>
      <c r="J59" s="35">
        <v>1.8607225982422464</v>
      </c>
      <c r="K59" s="105">
        <f t="shared" si="4"/>
        <v>2019</v>
      </c>
      <c r="L59" s="3"/>
      <c r="M59" s="3"/>
    </row>
    <row r="60" spans="7:13">
      <c r="G60" s="31">
        <v>43678</v>
      </c>
      <c r="H60" s="35">
        <v>1.9738679591836736</v>
      </c>
      <c r="I60" s="35">
        <v>1.7920797716509465</v>
      </c>
      <c r="J60" s="35">
        <v>1.8789062531568843</v>
      </c>
      <c r="K60" s="105">
        <f t="shared" si="4"/>
        <v>2019</v>
      </c>
      <c r="L60" s="3"/>
      <c r="M60" s="3"/>
    </row>
    <row r="61" spans="7:13">
      <c r="G61" s="31">
        <v>43709</v>
      </c>
      <c r="H61" s="35">
        <v>1.9478475510204083</v>
      </c>
      <c r="I61" s="35">
        <v>1.7767133522506833</v>
      </c>
      <c r="J61" s="35">
        <v>1.8859776745125769</v>
      </c>
      <c r="K61" s="105">
        <f t="shared" si="4"/>
        <v>2019</v>
      </c>
      <c r="L61" s="3"/>
      <c r="M61" s="3"/>
    </row>
    <row r="62" spans="7:13">
      <c r="G62" s="31">
        <v>43739</v>
      </c>
      <c r="H62" s="35">
        <v>1.9488679591836735</v>
      </c>
      <c r="I62" s="35">
        <v>1.8518953639472726</v>
      </c>
      <c r="J62" s="35">
        <v>1.9299215072229516</v>
      </c>
      <c r="K62" s="105">
        <f t="shared" si="4"/>
        <v>2019</v>
      </c>
      <c r="L62" s="3"/>
      <c r="M62" s="3"/>
    </row>
    <row r="63" spans="7:13">
      <c r="G63" s="31">
        <v>43770</v>
      </c>
      <c r="H63" s="35">
        <v>2.0621332653061222</v>
      </c>
      <c r="I63" s="35">
        <v>2.1023989392710254</v>
      </c>
      <c r="J63" s="35">
        <v>1.9763908475603593</v>
      </c>
      <c r="K63" s="105">
        <f t="shared" si="4"/>
        <v>2019</v>
      </c>
      <c r="L63" s="3"/>
      <c r="M63" s="3"/>
    </row>
    <row r="64" spans="7:13">
      <c r="G64" s="31">
        <v>43800</v>
      </c>
      <c r="H64" s="35">
        <v>2.2958067346938775</v>
      </c>
      <c r="I64" s="35">
        <v>2.469388224075296</v>
      </c>
      <c r="J64" s="35">
        <v>2.1950998080614204</v>
      </c>
      <c r="K64" s="105">
        <f t="shared" si="4"/>
        <v>2019</v>
      </c>
      <c r="L64" s="3"/>
      <c r="M64" s="3"/>
    </row>
    <row r="65" spans="7:13">
      <c r="G65" s="31">
        <v>43831</v>
      </c>
      <c r="H65" s="35">
        <v>2.3774393877551021</v>
      </c>
      <c r="I65" s="35">
        <v>2.4004455974372028</v>
      </c>
      <c r="J65" s="35">
        <v>2.3163241741590057</v>
      </c>
      <c r="K65" s="105">
        <f t="shared" ref="K65:K112" si="5">YEAR(G65)</f>
        <v>2020</v>
      </c>
      <c r="L65" s="3"/>
      <c r="M65" s="3"/>
    </row>
    <row r="66" spans="7:13">
      <c r="G66" s="31">
        <v>43862</v>
      </c>
      <c r="H66" s="35">
        <v>2.2723373469387753</v>
      </c>
      <c r="I66" s="35">
        <v>2.2974183962233576</v>
      </c>
      <c r="J66" s="35">
        <v>2.2350028285685419</v>
      </c>
      <c r="K66" s="105">
        <f t="shared" si="5"/>
        <v>2020</v>
      </c>
      <c r="L66" s="3"/>
      <c r="M66" s="3"/>
    </row>
    <row r="67" spans="7:13">
      <c r="G67" s="31">
        <v>43891</v>
      </c>
      <c r="H67" s="35">
        <v>2.1060108163265303</v>
      </c>
      <c r="I67" s="35">
        <v>2.1042037200730692</v>
      </c>
      <c r="J67" s="35">
        <v>2.0046765329831295</v>
      </c>
      <c r="K67" s="105">
        <f t="shared" si="5"/>
        <v>2020</v>
      </c>
      <c r="L67" s="3"/>
      <c r="M67" s="3"/>
    </row>
    <row r="68" spans="7:13">
      <c r="G68" s="31">
        <v>43922</v>
      </c>
      <c r="H68" s="35">
        <v>1.7386638775510204</v>
      </c>
      <c r="I68" s="35">
        <v>1.5498266228508251</v>
      </c>
      <c r="J68" s="35">
        <v>1.6814115567229011</v>
      </c>
      <c r="K68" s="105">
        <f t="shared" si="5"/>
        <v>2020</v>
      </c>
      <c r="L68" s="3"/>
      <c r="M68" s="3"/>
    </row>
    <row r="69" spans="7:13">
      <c r="G69" s="31">
        <v>43952</v>
      </c>
      <c r="H69" s="35">
        <v>1.7075414285714285</v>
      </c>
      <c r="I69" s="35">
        <v>1.5087291857299872</v>
      </c>
      <c r="J69" s="35">
        <v>1.6556513789271641</v>
      </c>
      <c r="K69" s="105">
        <f t="shared" si="5"/>
        <v>2020</v>
      </c>
      <c r="L69" s="3"/>
      <c r="M69" s="3"/>
    </row>
    <row r="70" spans="7:13">
      <c r="G70" s="31">
        <v>43983</v>
      </c>
      <c r="H70" s="35">
        <v>1.7350924489795918</v>
      </c>
      <c r="I70" s="35">
        <v>1.5423496738137845</v>
      </c>
      <c r="J70" s="35">
        <v>1.6829268612991208</v>
      </c>
      <c r="K70" s="105">
        <f t="shared" si="5"/>
        <v>2020</v>
      </c>
      <c r="L70" s="3"/>
      <c r="M70" s="3"/>
    </row>
    <row r="71" spans="7:13">
      <c r="G71" s="31">
        <v>44013</v>
      </c>
      <c r="H71" s="35">
        <v>1.8677455102040816</v>
      </c>
      <c r="I71" s="35">
        <v>1.6745111936892019</v>
      </c>
      <c r="J71" s="35">
        <v>1.7662686129912111</v>
      </c>
      <c r="K71" s="105">
        <f t="shared" si="5"/>
        <v>2020</v>
      </c>
      <c r="L71" s="3"/>
      <c r="M71" s="3"/>
    </row>
    <row r="72" spans="7:13">
      <c r="G72" s="31">
        <v>44044</v>
      </c>
      <c r="H72" s="35">
        <v>1.8774393877551021</v>
      </c>
      <c r="I72" s="35">
        <v>1.6952403903298252</v>
      </c>
      <c r="J72" s="35">
        <v>1.7733400343469035</v>
      </c>
      <c r="K72" s="105">
        <f t="shared" si="5"/>
        <v>2020</v>
      </c>
      <c r="L72" s="3"/>
      <c r="M72" s="3"/>
    </row>
    <row r="73" spans="7:13">
      <c r="G73" s="31">
        <v>44075</v>
      </c>
      <c r="H73" s="35">
        <v>1.8503985714285716</v>
      </c>
      <c r="I73" s="35">
        <v>1.6975608227895964</v>
      </c>
      <c r="J73" s="35">
        <v>1.7566716840084855</v>
      </c>
      <c r="K73" s="105">
        <f t="shared" si="5"/>
        <v>2020</v>
      </c>
      <c r="L73" s="3"/>
      <c r="M73" s="3"/>
    </row>
    <row r="74" spans="7:13">
      <c r="G74" s="31">
        <v>44105</v>
      </c>
      <c r="H74" s="35">
        <v>1.8162148979591837</v>
      </c>
      <c r="I74" s="35">
        <v>1.7184962800933108</v>
      </c>
      <c r="J74" s="35">
        <v>1.811222648752399</v>
      </c>
      <c r="K74" s="105">
        <f t="shared" si="5"/>
        <v>2020</v>
      </c>
      <c r="L74" s="3"/>
      <c r="M74" s="3"/>
    </row>
    <row r="75" spans="7:13">
      <c r="G75" s="31">
        <v>44136</v>
      </c>
      <c r="H75" s="35">
        <v>2.0611128571428572</v>
      </c>
      <c r="I75" s="35">
        <v>2.067798713037547</v>
      </c>
      <c r="J75" s="35">
        <v>1.965278614001414</v>
      </c>
      <c r="K75" s="105">
        <f t="shared" si="5"/>
        <v>2020</v>
      </c>
      <c r="L75" s="3"/>
      <c r="M75" s="3"/>
    </row>
    <row r="76" spans="7:13">
      <c r="G76" s="31">
        <v>44166</v>
      </c>
      <c r="H76" s="35">
        <v>2.2733577551020407</v>
      </c>
      <c r="I76" s="35">
        <v>2.3345453155796982</v>
      </c>
      <c r="J76" s="35">
        <v>2.1602478028083643</v>
      </c>
      <c r="K76" s="105">
        <f t="shared" si="5"/>
        <v>2020</v>
      </c>
      <c r="L76" s="3"/>
      <c r="M76" s="3"/>
    </row>
    <row r="77" spans="7:13">
      <c r="G77" s="31">
        <v>44197</v>
      </c>
      <c r="H77" s="35">
        <v>2.3452965306122451</v>
      </c>
      <c r="I77" s="35">
        <v>2.3279449743607934</v>
      </c>
      <c r="J77" s="35">
        <v>2.2617732094150926</v>
      </c>
      <c r="K77" s="105">
        <f t="shared" si="5"/>
        <v>2021</v>
      </c>
      <c r="L77" s="3"/>
      <c r="M77" s="3"/>
    </row>
    <row r="78" spans="7:13">
      <c r="G78" s="31">
        <v>44228</v>
      </c>
      <c r="H78" s="35">
        <v>2.3039700000000001</v>
      </c>
      <c r="I78" s="35">
        <v>2.2378606297558949</v>
      </c>
      <c r="J78" s="35">
        <v>2.2612681078896859</v>
      </c>
      <c r="K78" s="105">
        <f t="shared" si="5"/>
        <v>2021</v>
      </c>
      <c r="L78" s="3"/>
      <c r="M78" s="3"/>
    </row>
    <row r="79" spans="7:13">
      <c r="G79" s="31">
        <v>44256</v>
      </c>
      <c r="H79" s="35">
        <v>2.1850924489795918</v>
      </c>
      <c r="I79" s="35">
        <v>2.0635703694441858</v>
      </c>
      <c r="J79" s="35">
        <v>2.1536814829780786</v>
      </c>
      <c r="K79" s="105">
        <f t="shared" si="5"/>
        <v>2021</v>
      </c>
      <c r="L79" s="3"/>
      <c r="M79" s="3"/>
    </row>
    <row r="80" spans="7:13">
      <c r="G80" s="31">
        <v>44287</v>
      </c>
      <c r="H80" s="35">
        <v>1.657031224489796</v>
      </c>
      <c r="I80" s="35">
        <v>1.6065483052007896</v>
      </c>
      <c r="J80" s="35">
        <v>1.7647533084149911</v>
      </c>
      <c r="K80" s="105">
        <f t="shared" si="5"/>
        <v>2021</v>
      </c>
      <c r="L80" s="3"/>
      <c r="M80" s="3"/>
    </row>
    <row r="81" spans="7:13">
      <c r="G81" s="31">
        <v>44317</v>
      </c>
      <c r="H81" s="35">
        <v>1.6299904081632652</v>
      </c>
      <c r="I81" s="35">
        <v>1.5631304356201803</v>
      </c>
      <c r="J81" s="35">
        <v>1.6622176987574502</v>
      </c>
      <c r="K81" s="105">
        <f t="shared" si="5"/>
        <v>2021</v>
      </c>
      <c r="L81" s="3"/>
      <c r="M81" s="3"/>
    </row>
    <row r="82" spans="7:13">
      <c r="G82" s="31">
        <v>44348</v>
      </c>
      <c r="H82" s="35">
        <v>1.6575414285714287</v>
      </c>
      <c r="I82" s="35">
        <v>1.5928835362710256</v>
      </c>
      <c r="J82" s="35">
        <v>1.702120719264572</v>
      </c>
      <c r="K82" s="105">
        <f t="shared" si="5"/>
        <v>2021</v>
      </c>
      <c r="L82" s="3"/>
      <c r="M82" s="3"/>
    </row>
    <row r="83" spans="7:13">
      <c r="G83" s="31">
        <v>44378</v>
      </c>
      <c r="H83" s="35">
        <v>1.7901944897959183</v>
      </c>
      <c r="I83" s="35">
        <v>1.7057081189816823</v>
      </c>
      <c r="J83" s="35">
        <v>1.7753604404485299</v>
      </c>
      <c r="K83" s="105">
        <f t="shared" si="5"/>
        <v>2021</v>
      </c>
      <c r="L83" s="3"/>
      <c r="M83" s="3"/>
    </row>
    <row r="84" spans="7:13">
      <c r="G84" s="31">
        <v>44409</v>
      </c>
      <c r="H84" s="35">
        <v>1.8039700000000001</v>
      </c>
      <c r="I84" s="35">
        <v>1.7331407871727562</v>
      </c>
      <c r="J84" s="35">
        <v>1.7864726740074752</v>
      </c>
      <c r="K84" s="105">
        <f t="shared" si="5"/>
        <v>2021</v>
      </c>
      <c r="L84" s="3"/>
      <c r="M84" s="3"/>
    </row>
    <row r="85" spans="7:13">
      <c r="G85" s="31">
        <v>44440</v>
      </c>
      <c r="H85" s="35">
        <v>1.7901944897959183</v>
      </c>
      <c r="I85" s="35">
        <v>1.7437116461561586</v>
      </c>
      <c r="J85" s="35">
        <v>1.798090009091827</v>
      </c>
      <c r="K85" s="105">
        <f t="shared" si="5"/>
        <v>2021</v>
      </c>
      <c r="L85" s="3"/>
      <c r="M85" s="3"/>
    </row>
    <row r="86" spans="7:13">
      <c r="G86" s="31">
        <v>44470</v>
      </c>
      <c r="H86" s="35">
        <v>1.7692761224489797</v>
      </c>
      <c r="I86" s="35">
        <v>1.7754242231063659</v>
      </c>
      <c r="J86" s="35">
        <v>1.8379930295989491</v>
      </c>
      <c r="K86" s="105">
        <f t="shared" si="5"/>
        <v>2021</v>
      </c>
      <c r="L86" s="3"/>
      <c r="M86" s="3"/>
    </row>
    <row r="87" spans="7:13">
      <c r="G87" s="31">
        <v>44501</v>
      </c>
      <c r="H87" s="35">
        <v>2.0958067346938773</v>
      </c>
      <c r="I87" s="35">
        <v>2.0829073066089467</v>
      </c>
      <c r="J87" s="35">
        <v>2.0147785634912618</v>
      </c>
      <c r="K87" s="105">
        <f t="shared" si="5"/>
        <v>2021</v>
      </c>
      <c r="L87" s="3"/>
      <c r="M87" s="3"/>
    </row>
    <row r="88" spans="7:13">
      <c r="G88" s="31">
        <v>44531</v>
      </c>
      <c r="H88" s="35">
        <v>2.3106026530612245</v>
      </c>
      <c r="I88" s="35">
        <v>2.3535212965840504</v>
      </c>
      <c r="J88" s="35">
        <v>2.2147987675522782</v>
      </c>
      <c r="K88" s="105">
        <f t="shared" si="5"/>
        <v>2021</v>
      </c>
      <c r="L88" s="3"/>
      <c r="M88" s="3"/>
    </row>
    <row r="89" spans="7:13">
      <c r="G89" s="31">
        <v>44562</v>
      </c>
      <c r="H89" s="35">
        <v>2.393255714285714</v>
      </c>
      <c r="I89" s="35">
        <v>2.3506336473007794</v>
      </c>
      <c r="J89" s="35">
        <v>2.337033336700677</v>
      </c>
      <c r="K89" s="105">
        <f t="shared" si="5"/>
        <v>2022</v>
      </c>
      <c r="L89" s="3"/>
      <c r="M89" s="3"/>
    </row>
    <row r="90" spans="7:13">
      <c r="G90" s="31">
        <v>44593</v>
      </c>
      <c r="H90" s="35">
        <v>2.3575414285714285</v>
      </c>
      <c r="I90" s="35">
        <v>2.2720483346631921</v>
      </c>
      <c r="J90" s="35">
        <v>2.3294568138195775</v>
      </c>
      <c r="K90" s="105">
        <f t="shared" si="5"/>
        <v>2022</v>
      </c>
      <c r="L90" s="3"/>
      <c r="M90" s="3"/>
    </row>
    <row r="91" spans="7:13">
      <c r="G91" s="31">
        <v>44621</v>
      </c>
      <c r="H91" s="35">
        <v>2.255500612244898</v>
      </c>
      <c r="I91" s="35">
        <v>2.1173012721793341</v>
      </c>
      <c r="J91" s="35">
        <v>2.2612681078896859</v>
      </c>
      <c r="K91" s="105">
        <f t="shared" si="5"/>
        <v>2022</v>
      </c>
      <c r="L91" s="3"/>
      <c r="M91" s="3"/>
    </row>
    <row r="92" spans="7:13">
      <c r="G92" s="31">
        <v>44652</v>
      </c>
      <c r="H92" s="35">
        <v>1.7146842857142859</v>
      </c>
      <c r="I92" s="35">
        <v>1.723498101173262</v>
      </c>
      <c r="J92" s="35">
        <v>1.826880796040004</v>
      </c>
      <c r="K92" s="105">
        <f t="shared" si="5"/>
        <v>2022</v>
      </c>
      <c r="L92" s="3"/>
      <c r="M92" s="3"/>
    </row>
    <row r="93" spans="7:13">
      <c r="G93" s="31">
        <v>44682</v>
      </c>
      <c r="H93" s="35">
        <v>1.7228475510204084</v>
      </c>
      <c r="I93" s="35">
        <v>1.6834319673678779</v>
      </c>
      <c r="J93" s="35">
        <v>1.7743502373977167</v>
      </c>
      <c r="K93" s="105">
        <f t="shared" si="5"/>
        <v>2022</v>
      </c>
      <c r="L93" s="3"/>
      <c r="M93" s="3"/>
    </row>
    <row r="94" spans="7:13">
      <c r="G94" s="31">
        <v>44713</v>
      </c>
      <c r="H94" s="35">
        <v>1.7151944897959184</v>
      </c>
      <c r="I94" s="35">
        <v>1.7104521142327704</v>
      </c>
      <c r="J94" s="35">
        <v>1.7591971916355185</v>
      </c>
      <c r="K94" s="105">
        <f t="shared" si="5"/>
        <v>2022</v>
      </c>
      <c r="L94" s="3"/>
      <c r="M94" s="3"/>
    </row>
    <row r="95" spans="7:13">
      <c r="G95" s="31">
        <v>44743</v>
      </c>
      <c r="H95" s="35">
        <v>1.8422353061224492</v>
      </c>
      <c r="I95" s="35">
        <v>1.8182233106977028</v>
      </c>
      <c r="J95" s="35">
        <v>1.836982826548136</v>
      </c>
      <c r="K95" s="105">
        <f t="shared" si="5"/>
        <v>2022</v>
      </c>
      <c r="L95" s="3"/>
      <c r="M95" s="3"/>
    </row>
    <row r="96" spans="7:13">
      <c r="G96" s="31">
        <v>44774</v>
      </c>
      <c r="H96" s="35">
        <v>1.8606026530612245</v>
      </c>
      <c r="I96" s="35">
        <v>1.8458106743860949</v>
      </c>
      <c r="J96" s="35">
        <v>1.8501154662087078</v>
      </c>
      <c r="K96" s="105">
        <f t="shared" si="5"/>
        <v>2022</v>
      </c>
      <c r="L96" s="3"/>
      <c r="M96" s="3"/>
    </row>
    <row r="97" spans="7:13">
      <c r="G97" s="31">
        <v>44805</v>
      </c>
      <c r="H97" s="35">
        <v>1.8488679591836736</v>
      </c>
      <c r="I97" s="35">
        <v>1.8578253580111328</v>
      </c>
      <c r="J97" s="35">
        <v>1.8435491463784219</v>
      </c>
      <c r="K97" s="105">
        <f t="shared" si="5"/>
        <v>2022</v>
      </c>
      <c r="L97" s="3"/>
      <c r="M97" s="3"/>
    </row>
    <row r="98" spans="7:13">
      <c r="G98" s="31">
        <v>44835</v>
      </c>
      <c r="H98" s="35">
        <v>1.8253985714285714</v>
      </c>
      <c r="I98" s="35">
        <v>1.8908270641056577</v>
      </c>
      <c r="J98" s="35">
        <v>1.9011307202747749</v>
      </c>
      <c r="K98" s="105">
        <f t="shared" si="5"/>
        <v>2022</v>
      </c>
      <c r="L98" s="3"/>
      <c r="M98" s="3"/>
    </row>
    <row r="99" spans="7:13">
      <c r="G99" s="31">
        <v>44866</v>
      </c>
      <c r="H99" s="35">
        <v>2.1799904081632651</v>
      </c>
      <c r="I99" s="35">
        <v>2.2034150990197348</v>
      </c>
      <c r="J99" s="35">
        <v>2.1183243761996158</v>
      </c>
      <c r="K99" s="105">
        <f t="shared" si="5"/>
        <v>2022</v>
      </c>
      <c r="L99" s="3"/>
      <c r="M99" s="3"/>
    </row>
    <row r="100" spans="7:13">
      <c r="G100" s="31">
        <v>44896</v>
      </c>
      <c r="H100" s="35">
        <v>2.4003985714285712</v>
      </c>
      <c r="I100" s="35">
        <v>2.4680990949309787</v>
      </c>
      <c r="J100" s="35">
        <v>2.3062221436508734</v>
      </c>
      <c r="K100" s="105">
        <f t="shared" si="5"/>
        <v>2022</v>
      </c>
      <c r="L100" s="3"/>
      <c r="M100" s="3"/>
    </row>
    <row r="101" spans="7:13">
      <c r="G101" s="31">
        <v>44927</v>
      </c>
      <c r="H101" s="35">
        <v>2.4901944897959183</v>
      </c>
      <c r="I101" s="35">
        <v>2.4770198686096552</v>
      </c>
      <c r="J101" s="35">
        <v>2.4077475502576018</v>
      </c>
      <c r="K101" s="105">
        <f t="shared" si="5"/>
        <v>2023</v>
      </c>
      <c r="L101" s="3"/>
      <c r="M101" s="3"/>
    </row>
    <row r="102" spans="7:13">
      <c r="G102" s="31">
        <v>44958</v>
      </c>
      <c r="H102" s="35">
        <v>2.4549904081632654</v>
      </c>
      <c r="I102" s="35">
        <v>2.3976095133197046</v>
      </c>
      <c r="J102" s="35">
        <v>2.4107781594100417</v>
      </c>
      <c r="K102" s="105">
        <f t="shared" si="5"/>
        <v>2023</v>
      </c>
      <c r="L102" s="3"/>
      <c r="M102" s="3"/>
    </row>
    <row r="103" spans="7:13">
      <c r="G103" s="31">
        <v>44986</v>
      </c>
      <c r="H103" s="35">
        <v>2.3606026530612243</v>
      </c>
      <c r="I103" s="35">
        <v>2.2525567020011139</v>
      </c>
      <c r="J103" s="35">
        <v>2.3274364077179515</v>
      </c>
      <c r="K103" s="105">
        <f t="shared" si="5"/>
        <v>2023</v>
      </c>
      <c r="L103" s="3"/>
      <c r="M103" s="3"/>
    </row>
    <row r="104" spans="7:13">
      <c r="G104" s="31">
        <v>45017</v>
      </c>
      <c r="H104" s="35">
        <v>1.9065210204081633</v>
      </c>
      <c r="I104" s="35">
        <v>1.8238954789326995</v>
      </c>
      <c r="J104" s="35">
        <v>1.9486102636629958</v>
      </c>
      <c r="K104" s="105">
        <f t="shared" si="5"/>
        <v>2023</v>
      </c>
      <c r="L104" s="3"/>
      <c r="M104" s="3"/>
    </row>
    <row r="105" spans="7:13">
      <c r="G105" s="31">
        <v>45047</v>
      </c>
      <c r="H105" s="35">
        <v>1.8856026530612247</v>
      </c>
      <c r="I105" s="35">
        <v>1.787954558389131</v>
      </c>
      <c r="J105" s="35">
        <v>1.8672889180725323</v>
      </c>
      <c r="K105" s="105">
        <f t="shared" si="5"/>
        <v>2023</v>
      </c>
      <c r="L105" s="3"/>
      <c r="M105" s="3"/>
    </row>
    <row r="106" spans="7:13">
      <c r="G106" s="31">
        <v>45078</v>
      </c>
      <c r="H106" s="35">
        <v>1.9111128571428573</v>
      </c>
      <c r="I106" s="35">
        <v>1.8169341815533857</v>
      </c>
      <c r="J106" s="35">
        <v>1.8950695019698958</v>
      </c>
      <c r="K106" s="105">
        <f t="shared" si="5"/>
        <v>2023</v>
      </c>
      <c r="L106" s="3"/>
      <c r="M106" s="3"/>
    </row>
    <row r="107" spans="7:13">
      <c r="G107" s="31">
        <v>45108</v>
      </c>
      <c r="H107" s="35">
        <v>2.033051632653061</v>
      </c>
      <c r="I107" s="35">
        <v>1.9163518211631416</v>
      </c>
      <c r="J107" s="35">
        <v>1.9374980301040508</v>
      </c>
      <c r="K107" s="105">
        <f t="shared" si="5"/>
        <v>2023</v>
      </c>
      <c r="L107" s="3"/>
      <c r="M107" s="3"/>
    </row>
    <row r="108" spans="7:13">
      <c r="G108" s="31">
        <v>45139</v>
      </c>
      <c r="H108" s="35">
        <v>2.0519291836734692</v>
      </c>
      <c r="I108" s="35">
        <v>1.9464143128086226</v>
      </c>
      <c r="J108" s="35">
        <v>1.9536612789170622</v>
      </c>
      <c r="K108" s="105">
        <f t="shared" si="5"/>
        <v>2023</v>
      </c>
      <c r="L108" s="3"/>
      <c r="M108" s="3"/>
    </row>
    <row r="109" spans="7:13">
      <c r="G109" s="31">
        <v>45170</v>
      </c>
      <c r="H109" s="35">
        <v>2.0412148979591835</v>
      </c>
      <c r="I109" s="35">
        <v>1.961316645716932</v>
      </c>
      <c r="J109" s="35">
        <v>1.9582071926457216</v>
      </c>
      <c r="K109" s="105">
        <f t="shared" si="5"/>
        <v>2023</v>
      </c>
      <c r="L109" s="3"/>
      <c r="M109" s="3"/>
    </row>
    <row r="110" spans="7:13">
      <c r="G110" s="31">
        <v>45200</v>
      </c>
      <c r="H110" s="35">
        <v>2.0238679591836735</v>
      </c>
      <c r="I110" s="35">
        <v>1.991533832859731</v>
      </c>
      <c r="J110" s="35">
        <v>2.019324477219921</v>
      </c>
      <c r="K110" s="105">
        <f t="shared" si="5"/>
        <v>2023</v>
      </c>
      <c r="L110" s="3"/>
      <c r="M110" s="3"/>
    </row>
    <row r="111" spans="7:13">
      <c r="G111" s="31">
        <v>45231</v>
      </c>
      <c r="H111" s="35">
        <v>2.3003985714285715</v>
      </c>
      <c r="I111" s="35">
        <v>2.3109800348215765</v>
      </c>
      <c r="J111" s="35">
        <v>2.2602579048388729</v>
      </c>
      <c r="K111" s="105">
        <f t="shared" si="5"/>
        <v>2023</v>
      </c>
      <c r="L111" s="3"/>
      <c r="M111" s="3"/>
    </row>
    <row r="112" spans="7:13">
      <c r="G112" s="31">
        <v>45261</v>
      </c>
      <c r="H112" s="35">
        <v>2.518255714285714</v>
      </c>
      <c r="I112" s="35">
        <v>2.5813877641335896</v>
      </c>
      <c r="J112" s="35">
        <v>2.4229005960198</v>
      </c>
      <c r="K112" s="105">
        <f t="shared" si="5"/>
        <v>2023</v>
      </c>
      <c r="L112" s="3"/>
      <c r="M112" s="3"/>
    </row>
    <row r="113" spans="7:13">
      <c r="G113" s="31">
        <v>45292</v>
      </c>
      <c r="H113" s="35">
        <v>2.5405006122448976</v>
      </c>
      <c r="I113" s="35">
        <v>2.5708684703159599</v>
      </c>
      <c r="J113" s="35">
        <v>2.4895739973734718</v>
      </c>
      <c r="K113" s="105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2.623561836734694</v>
      </c>
      <c r="I114" s="35">
        <v>2.4914581150260098</v>
      </c>
      <c r="J114" s="35">
        <v>2.4926046065259118</v>
      </c>
      <c r="K114" s="105">
        <f t="shared" si="6"/>
        <v>2024</v>
      </c>
      <c r="L114" s="3"/>
      <c r="M114" s="3"/>
    </row>
    <row r="115" spans="7:13">
      <c r="G115" s="31">
        <v>45352</v>
      </c>
      <c r="H115" s="35">
        <v>2.4007046938775511</v>
      </c>
      <c r="I115" s="35">
        <v>2.3464053037074182</v>
      </c>
      <c r="J115" s="35">
        <v>2.4092628548338215</v>
      </c>
      <c r="K115" s="105">
        <f t="shared" si="6"/>
        <v>2024</v>
      </c>
      <c r="L115" s="3"/>
      <c r="M115" s="3"/>
    </row>
    <row r="116" spans="7:13">
      <c r="G116" s="31">
        <v>45383</v>
      </c>
      <c r="H116" s="35">
        <v>1.968357755102041</v>
      </c>
      <c r="I116" s="35">
        <v>1.902274530907196</v>
      </c>
      <c r="J116" s="35">
        <v>2.0152836650166681</v>
      </c>
      <c r="K116" s="105">
        <f t="shared" si="6"/>
        <v>2024</v>
      </c>
      <c r="L116" s="3"/>
      <c r="M116" s="3"/>
    </row>
    <row r="117" spans="7:13">
      <c r="G117" s="31">
        <v>45413</v>
      </c>
      <c r="H117" s="35">
        <v>1.9448883673469388</v>
      </c>
      <c r="I117" s="35">
        <v>1.8663336103636274</v>
      </c>
      <c r="J117" s="35">
        <v>1.9339623194262043</v>
      </c>
      <c r="K117" s="105">
        <f t="shared" si="6"/>
        <v>2024</v>
      </c>
      <c r="L117" s="3"/>
      <c r="M117" s="3"/>
    </row>
    <row r="118" spans="7:13">
      <c r="G118" s="31">
        <v>45444</v>
      </c>
      <c r="H118" s="35">
        <v>1.9735618367346939</v>
      </c>
      <c r="I118" s="35">
        <v>1.8953647986936546</v>
      </c>
      <c r="J118" s="35">
        <v>1.9617429033235678</v>
      </c>
      <c r="K118" s="105">
        <f t="shared" si="6"/>
        <v>2024</v>
      </c>
      <c r="L118" s="3"/>
      <c r="M118" s="3"/>
    </row>
    <row r="119" spans="7:13">
      <c r="G119" s="31">
        <v>45474</v>
      </c>
      <c r="H119" s="35">
        <v>2.1313169387755102</v>
      </c>
      <c r="I119" s="35">
        <v>2.0199978043662585</v>
      </c>
      <c r="J119" s="35">
        <v>2.0061918375593493</v>
      </c>
      <c r="K119" s="105">
        <f t="shared" si="6"/>
        <v>2024</v>
      </c>
      <c r="L119" s="3"/>
      <c r="M119" s="3"/>
    </row>
    <row r="120" spans="7:13">
      <c r="G120" s="31">
        <v>45505</v>
      </c>
      <c r="H120" s="35">
        <v>2.8661128571428569</v>
      </c>
      <c r="I120" s="35">
        <v>2.7780573063906489</v>
      </c>
      <c r="J120" s="35">
        <v>2.7597022931609252</v>
      </c>
      <c r="K120" s="105">
        <f t="shared" si="6"/>
        <v>2024</v>
      </c>
      <c r="L120" s="3"/>
      <c r="M120" s="3"/>
    </row>
    <row r="121" spans="7:13">
      <c r="G121" s="31">
        <v>45536</v>
      </c>
      <c r="H121" s="35">
        <v>2.8608067346938775</v>
      </c>
      <c r="I121" s="35">
        <v>2.7921861618123676</v>
      </c>
      <c r="J121" s="35">
        <v>2.7696022830588949</v>
      </c>
      <c r="K121" s="105">
        <f t="shared" si="6"/>
        <v>2024</v>
      </c>
      <c r="L121" s="3"/>
      <c r="M121" s="3"/>
    </row>
    <row r="122" spans="7:13">
      <c r="G122" s="31">
        <v>45566</v>
      </c>
      <c r="H122" s="35">
        <v>2.8323373469387754</v>
      </c>
      <c r="I122" s="35">
        <v>2.8106464911589928</v>
      </c>
      <c r="J122" s="35">
        <v>2.8197083543792303</v>
      </c>
      <c r="K122" s="105">
        <f t="shared" si="6"/>
        <v>2024</v>
      </c>
      <c r="L122" s="3"/>
      <c r="M122" s="3"/>
    </row>
    <row r="123" spans="7:13">
      <c r="G123" s="31">
        <v>45597</v>
      </c>
      <c r="H123" s="35">
        <v>3.1353985714285715</v>
      </c>
      <c r="I123" s="35">
        <v>3.1469545023285095</v>
      </c>
      <c r="J123" s="35">
        <v>3.0869070613193248</v>
      </c>
      <c r="K123" s="105">
        <f t="shared" si="6"/>
        <v>2024</v>
      </c>
      <c r="L123" s="3"/>
      <c r="M123" s="3"/>
    </row>
    <row r="124" spans="7:13">
      <c r="G124" s="31">
        <v>45627</v>
      </c>
      <c r="H124" s="35">
        <v>3.3168271428571425</v>
      </c>
      <c r="I124" s="35">
        <v>3.4254063975010629</v>
      </c>
      <c r="J124" s="35">
        <v>3.2134855035862206</v>
      </c>
      <c r="K124" s="105">
        <f t="shared" si="6"/>
        <v>2024</v>
      </c>
      <c r="L124" s="3"/>
      <c r="M124" s="3"/>
    </row>
    <row r="125" spans="7:13">
      <c r="G125" s="31">
        <v>45658</v>
      </c>
      <c r="H125" s="35">
        <v>3.3666230612244896</v>
      </c>
      <c r="I125" s="35">
        <v>3.4326770858750129</v>
      </c>
      <c r="J125" s="35">
        <v>3.3074343873118495</v>
      </c>
      <c r="K125" s="105">
        <f t="shared" si="6"/>
        <v>2025</v>
      </c>
      <c r="L125" s="3"/>
      <c r="M125" s="3"/>
    </row>
    <row r="126" spans="7:13">
      <c r="G126" s="31">
        <v>45689</v>
      </c>
      <c r="H126" s="35">
        <v>3.3879495918367346</v>
      </c>
      <c r="I126" s="35">
        <v>3.3317124912920759</v>
      </c>
      <c r="J126" s="35">
        <v>3.2493477118900898</v>
      </c>
      <c r="K126" s="105">
        <f t="shared" si="6"/>
        <v>2025</v>
      </c>
      <c r="L126" s="3"/>
      <c r="M126" s="3"/>
    </row>
    <row r="127" spans="7:13">
      <c r="G127" s="31">
        <v>45717</v>
      </c>
      <c r="H127" s="35">
        <v>3.0744802040816328</v>
      </c>
      <c r="I127" s="35">
        <v>3.0310875748372639</v>
      </c>
      <c r="J127" s="35">
        <v>3.0761989089807047</v>
      </c>
      <c r="K127" s="105">
        <f t="shared" si="6"/>
        <v>2025</v>
      </c>
      <c r="L127" s="3"/>
      <c r="M127" s="3"/>
    </row>
    <row r="128" spans="7:13">
      <c r="G128" s="31">
        <v>45748</v>
      </c>
      <c r="H128" s="35">
        <v>2.7167251020408161</v>
      </c>
      <c r="I128" s="35">
        <v>2.6115533861106166</v>
      </c>
      <c r="J128" s="35">
        <v>2.756166582483079</v>
      </c>
      <c r="K128" s="105">
        <f t="shared" si="6"/>
        <v>2025</v>
      </c>
      <c r="L128" s="3"/>
      <c r="M128" s="3"/>
    </row>
    <row r="129" spans="7:13">
      <c r="G129" s="31">
        <v>45778</v>
      </c>
      <c r="H129" s="35">
        <v>2.7251944897959182</v>
      </c>
      <c r="I129" s="35">
        <v>2.6174318150087039</v>
      </c>
      <c r="J129" s="35">
        <v>2.7064645923830692</v>
      </c>
      <c r="K129" s="105">
        <f t="shared" si="6"/>
        <v>2025</v>
      </c>
      <c r="L129" s="3"/>
      <c r="M129" s="3"/>
    </row>
    <row r="130" spans="7:13">
      <c r="G130" s="31">
        <v>45809</v>
      </c>
      <c r="H130" s="35">
        <v>2.7530516326530612</v>
      </c>
      <c r="I130" s="35">
        <v>2.6659546360008095</v>
      </c>
      <c r="J130" s="35">
        <v>2.7334370138397817</v>
      </c>
      <c r="K130" s="105">
        <f t="shared" si="6"/>
        <v>2025</v>
      </c>
      <c r="L130" s="3"/>
      <c r="M130" s="3"/>
    </row>
    <row r="131" spans="7:13">
      <c r="G131" s="31">
        <v>45839</v>
      </c>
      <c r="H131" s="35">
        <v>2.9194802040816326</v>
      </c>
      <c r="I131" s="35">
        <v>2.8440607185796987</v>
      </c>
      <c r="J131" s="35">
        <v>2.7864726740074754</v>
      </c>
      <c r="K131" s="105">
        <f t="shared" si="6"/>
        <v>2025</v>
      </c>
      <c r="L131" s="3"/>
      <c r="M131" s="3"/>
    </row>
    <row r="132" spans="7:13">
      <c r="G132" s="31">
        <v>45870</v>
      </c>
      <c r="H132" s="35">
        <v>3.6803985714285714</v>
      </c>
      <c r="I132" s="35">
        <v>3.6097518651384477</v>
      </c>
      <c r="J132" s="35">
        <v>3.5658443277098693</v>
      </c>
      <c r="K132" s="105">
        <f t="shared" si="6"/>
        <v>2025</v>
      </c>
      <c r="L132" s="3"/>
      <c r="M132" s="3"/>
    </row>
    <row r="133" spans="7:13">
      <c r="G133" s="31">
        <v>45901</v>
      </c>
      <c r="H133" s="35">
        <v>3.6803985714285714</v>
      </c>
      <c r="I133" s="35">
        <v>3.6231072430735756</v>
      </c>
      <c r="J133" s="35">
        <v>3.5809973734720679</v>
      </c>
      <c r="K133" s="105">
        <f t="shared" si="6"/>
        <v>2025</v>
      </c>
      <c r="L133" s="3"/>
      <c r="M133" s="3"/>
    </row>
    <row r="134" spans="7:13">
      <c r="G134" s="31">
        <v>45931</v>
      </c>
      <c r="H134" s="35">
        <v>3.6408067346938773</v>
      </c>
      <c r="I134" s="35">
        <v>3.6297591494582528</v>
      </c>
      <c r="J134" s="35">
        <v>3.6200922315385391</v>
      </c>
      <c r="K134" s="105">
        <f t="shared" si="6"/>
        <v>2025</v>
      </c>
      <c r="L134" s="3"/>
      <c r="M134" s="3"/>
    </row>
    <row r="135" spans="7:13">
      <c r="G135" s="31">
        <v>45962</v>
      </c>
      <c r="H135" s="35">
        <v>3.9703985714285714</v>
      </c>
      <c r="I135" s="35">
        <v>3.9828774046696691</v>
      </c>
      <c r="J135" s="35">
        <v>3.9135562177997776</v>
      </c>
      <c r="K135" s="105">
        <f t="shared" si="6"/>
        <v>2025</v>
      </c>
      <c r="L135" s="3"/>
      <c r="M135" s="3"/>
    </row>
    <row r="136" spans="7:13">
      <c r="G136" s="31">
        <v>45992</v>
      </c>
      <c r="H136" s="35">
        <v>4.1155006122448983</v>
      </c>
      <c r="I136" s="35">
        <v>4.2694250308685353</v>
      </c>
      <c r="J136" s="35">
        <v>4.0041714314577224</v>
      </c>
      <c r="K136" s="105">
        <f t="shared" si="6"/>
        <v>2025</v>
      </c>
      <c r="L136" s="3"/>
      <c r="M136" s="3"/>
    </row>
    <row r="137" spans="7:13">
      <c r="G137" s="31">
        <v>46023</v>
      </c>
      <c r="H137" s="35">
        <v>4.192745510204082</v>
      </c>
      <c r="I137" s="35">
        <v>4.2945372665998383</v>
      </c>
      <c r="J137" s="35">
        <v>4.1252947772502262</v>
      </c>
      <c r="K137" s="105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4.1523373469387757</v>
      </c>
      <c r="I138" s="35">
        <v>4.1719668675581421</v>
      </c>
      <c r="J138" s="35">
        <v>4.0061918375593493</v>
      </c>
      <c r="K138" s="105">
        <f t="shared" si="7"/>
        <v>2026</v>
      </c>
      <c r="L138" s="3"/>
      <c r="M138" s="3"/>
    </row>
    <row r="139" spans="7:13">
      <c r="G139" s="31">
        <v>46082</v>
      </c>
      <c r="H139" s="35">
        <v>3.7481536734693872</v>
      </c>
      <c r="I139" s="35">
        <v>3.7157698459671087</v>
      </c>
      <c r="J139" s="35">
        <v>3.7431349631275883</v>
      </c>
      <c r="K139" s="105">
        <f t="shared" si="7"/>
        <v>2026</v>
      </c>
      <c r="L139" s="3"/>
      <c r="M139" s="3"/>
    </row>
    <row r="140" spans="7:13">
      <c r="G140" s="31">
        <v>46113</v>
      </c>
      <c r="H140" s="35">
        <v>3.4651944897959179</v>
      </c>
      <c r="I140" s="35">
        <v>3.3207806761482646</v>
      </c>
      <c r="J140" s="35">
        <v>3.497150520254571</v>
      </c>
      <c r="K140" s="105">
        <f t="shared" si="7"/>
        <v>2026</v>
      </c>
      <c r="L140" s="3"/>
      <c r="M140" s="3"/>
    </row>
    <row r="141" spans="7:13">
      <c r="G141" s="31">
        <v>46143</v>
      </c>
      <c r="H141" s="35">
        <v>3.5056026530612243</v>
      </c>
      <c r="I141" s="35">
        <v>3.3684784544880073</v>
      </c>
      <c r="J141" s="35">
        <v>3.4790678856450143</v>
      </c>
      <c r="K141" s="105">
        <f t="shared" si="7"/>
        <v>2026</v>
      </c>
      <c r="L141" s="3"/>
      <c r="M141" s="3"/>
    </row>
    <row r="142" spans="7:13">
      <c r="G142" s="31">
        <v>46174</v>
      </c>
      <c r="H142" s="35">
        <v>3.5325414285714287</v>
      </c>
      <c r="I142" s="35">
        <v>3.4365960384737377</v>
      </c>
      <c r="J142" s="35">
        <v>3.5051311243559957</v>
      </c>
      <c r="K142" s="105">
        <f t="shared" si="7"/>
        <v>2026</v>
      </c>
      <c r="L142" s="3"/>
      <c r="M142" s="3"/>
    </row>
    <row r="143" spans="7:13">
      <c r="G143" s="31">
        <v>46204</v>
      </c>
      <c r="H143" s="35">
        <v>3.7077455102040817</v>
      </c>
      <c r="I143" s="35">
        <v>3.6680720676273655</v>
      </c>
      <c r="J143" s="35">
        <v>3.5667535104556016</v>
      </c>
      <c r="K143" s="105">
        <f t="shared" si="7"/>
        <v>2026</v>
      </c>
      <c r="L143" s="3"/>
      <c r="M143" s="3"/>
    </row>
    <row r="144" spans="7:13">
      <c r="G144" s="31">
        <v>46235</v>
      </c>
      <c r="H144" s="35">
        <v>3.7212148979591837</v>
      </c>
      <c r="I144" s="35">
        <v>3.66126546574537</v>
      </c>
      <c r="J144" s="35">
        <v>3.606252449742398</v>
      </c>
      <c r="K144" s="105">
        <f t="shared" si="7"/>
        <v>2026</v>
      </c>
      <c r="L144" s="3"/>
      <c r="M144" s="3"/>
    </row>
    <row r="145" spans="7:13">
      <c r="G145" s="31">
        <v>46266</v>
      </c>
      <c r="H145" s="35">
        <v>3.7212148979591837</v>
      </c>
      <c r="I145" s="35">
        <v>3.6476522619813787</v>
      </c>
      <c r="J145" s="35">
        <v>3.6214054955045962</v>
      </c>
      <c r="K145" s="105">
        <f t="shared" si="7"/>
        <v>2026</v>
      </c>
      <c r="L145" s="3"/>
      <c r="M145" s="3"/>
    </row>
    <row r="146" spans="7:13">
      <c r="G146" s="31">
        <v>46296</v>
      </c>
      <c r="H146" s="35">
        <v>3.6807046938775509</v>
      </c>
      <c r="I146" s="35">
        <v>3.6748786695093614</v>
      </c>
      <c r="J146" s="35">
        <v>3.6595911708253355</v>
      </c>
      <c r="K146" s="105">
        <f t="shared" si="7"/>
        <v>2026</v>
      </c>
      <c r="L146" s="3"/>
      <c r="M146" s="3"/>
    </row>
    <row r="147" spans="7:13">
      <c r="G147" s="31">
        <v>46327</v>
      </c>
      <c r="H147" s="35">
        <v>4.0445822448979589</v>
      </c>
      <c r="I147" s="35">
        <v>4.0766228760444285</v>
      </c>
      <c r="J147" s="35">
        <v>3.9869979795938981</v>
      </c>
      <c r="K147" s="105">
        <f t="shared" si="7"/>
        <v>2026</v>
      </c>
      <c r="L147" s="3"/>
      <c r="M147" s="3"/>
    </row>
    <row r="148" spans="7:13">
      <c r="G148" s="31">
        <v>46357</v>
      </c>
      <c r="H148" s="35">
        <v>4.2332557142857148</v>
      </c>
      <c r="I148" s="35">
        <v>4.4443856383352909</v>
      </c>
      <c r="J148" s="35">
        <v>4.120748863521567</v>
      </c>
      <c r="K148" s="105">
        <f t="shared" si="7"/>
        <v>2026</v>
      </c>
      <c r="L148" s="3"/>
      <c r="M148" s="3"/>
    </row>
    <row r="149" spans="7:13">
      <c r="G149" s="31">
        <v>46388</v>
      </c>
      <c r="H149" s="35">
        <v>4.2852965306122455</v>
      </c>
      <c r="I149" s="35">
        <v>4.4370118196297952</v>
      </c>
      <c r="J149" s="35">
        <v>4.2168191736539038</v>
      </c>
      <c r="K149" s="105">
        <f t="shared" si="6"/>
        <v>2027</v>
      </c>
      <c r="L149" s="3"/>
      <c r="M149" s="3"/>
    </row>
    <row r="150" spans="7:13">
      <c r="G150" s="31">
        <v>46419</v>
      </c>
      <c r="H150" s="35">
        <v>4.2301944897959185</v>
      </c>
      <c r="I150" s="35">
        <v>4.2908761398299768</v>
      </c>
      <c r="J150" s="35">
        <v>4.083169310031316</v>
      </c>
      <c r="K150" s="105">
        <f t="shared" si="6"/>
        <v>2027</v>
      </c>
      <c r="L150" s="3"/>
      <c r="M150" s="3"/>
    </row>
    <row r="151" spans="7:13">
      <c r="G151" s="31">
        <v>46447</v>
      </c>
      <c r="H151" s="35">
        <v>3.8445822448979587</v>
      </c>
      <c r="I151" s="35">
        <v>3.8524691004305236</v>
      </c>
      <c r="J151" s="35">
        <v>3.8387001717345184</v>
      </c>
      <c r="K151" s="105">
        <f t="shared" si="6"/>
        <v>2027</v>
      </c>
      <c r="L151" s="3"/>
      <c r="M151" s="3"/>
    </row>
    <row r="152" spans="7:13">
      <c r="G152" s="31">
        <v>46478</v>
      </c>
      <c r="H152" s="35">
        <v>3.5967251020408164</v>
      </c>
      <c r="I152" s="35">
        <v>3.5045073617963771</v>
      </c>
      <c r="J152" s="35">
        <v>3.6273656935043945</v>
      </c>
      <c r="K152" s="105">
        <f t="shared" si="6"/>
        <v>2027</v>
      </c>
      <c r="L152" s="3"/>
      <c r="M152" s="3"/>
    </row>
    <row r="153" spans="7:13">
      <c r="G153" s="31">
        <v>46508</v>
      </c>
      <c r="H153" s="35">
        <v>3.638051632653061</v>
      </c>
      <c r="I153" s="35">
        <v>3.5253912539343188</v>
      </c>
      <c r="J153" s="35">
        <v>3.6101922416405698</v>
      </c>
      <c r="K153" s="105">
        <f t="shared" si="6"/>
        <v>2027</v>
      </c>
      <c r="L153" s="3"/>
      <c r="M153" s="3"/>
    </row>
    <row r="154" spans="7:13">
      <c r="G154" s="31">
        <v>46539</v>
      </c>
      <c r="H154" s="35">
        <v>3.6656026530612245</v>
      </c>
      <c r="I154" s="35">
        <v>3.4975460644170635</v>
      </c>
      <c r="J154" s="35">
        <v>3.6368616021820386</v>
      </c>
      <c r="K154" s="105">
        <f t="shared" si="6"/>
        <v>2027</v>
      </c>
      <c r="L154" s="3"/>
      <c r="M154" s="3"/>
    </row>
    <row r="155" spans="7:13">
      <c r="G155" s="31">
        <v>46569</v>
      </c>
      <c r="H155" s="35">
        <v>3.8583577551020407</v>
      </c>
      <c r="I155" s="35">
        <v>3.7759463944238436</v>
      </c>
      <c r="J155" s="35">
        <v>3.7159605010607129</v>
      </c>
      <c r="K155" s="105">
        <f t="shared" si="6"/>
        <v>2027</v>
      </c>
      <c r="L155" s="3"/>
      <c r="M155" s="3"/>
    </row>
    <row r="156" spans="7:13">
      <c r="G156" s="31">
        <v>46600</v>
      </c>
      <c r="H156" s="35">
        <v>3.8721332653061222</v>
      </c>
      <c r="I156" s="35">
        <v>3.7898689891824713</v>
      </c>
      <c r="J156" s="35">
        <v>3.7556614809576723</v>
      </c>
      <c r="K156" s="105">
        <f t="shared" si="6"/>
        <v>2027</v>
      </c>
      <c r="L156" s="3"/>
      <c r="M156" s="3"/>
    </row>
    <row r="157" spans="7:13">
      <c r="G157" s="31">
        <v>46631</v>
      </c>
      <c r="H157" s="35">
        <v>3.8445822448979587</v>
      </c>
      <c r="I157" s="35">
        <v>3.7619722344994435</v>
      </c>
      <c r="J157" s="35">
        <v>3.7435390443479135</v>
      </c>
      <c r="K157" s="105">
        <f t="shared" si="6"/>
        <v>2027</v>
      </c>
      <c r="L157" s="3"/>
      <c r="M157" s="3"/>
    </row>
    <row r="158" spans="7:13">
      <c r="G158" s="31">
        <v>46661</v>
      </c>
      <c r="H158" s="35">
        <v>3.8170312244897961</v>
      </c>
      <c r="I158" s="35">
        <v>3.7898689891824713</v>
      </c>
      <c r="J158" s="35">
        <v>3.7945542984139808</v>
      </c>
      <c r="K158" s="105">
        <f t="shared" si="6"/>
        <v>2027</v>
      </c>
      <c r="L158" s="3"/>
      <c r="M158" s="3"/>
    </row>
    <row r="159" spans="7:13">
      <c r="G159" s="31">
        <v>46692</v>
      </c>
      <c r="H159" s="35">
        <v>4.1475414285714285</v>
      </c>
      <c r="I159" s="35">
        <v>4.2421470581747807</v>
      </c>
      <c r="J159" s="35">
        <v>4.0889274674209508</v>
      </c>
      <c r="K159" s="105">
        <f t="shared" si="6"/>
        <v>2027</v>
      </c>
      <c r="L159" s="3"/>
      <c r="M159" s="3"/>
    </row>
    <row r="160" spans="7:13">
      <c r="G160" s="31">
        <v>46722</v>
      </c>
      <c r="H160" s="35">
        <v>4.3817251020408161</v>
      </c>
      <c r="I160" s="35">
        <v>4.6318765810848088</v>
      </c>
      <c r="J160" s="35">
        <v>4.2677334074148892</v>
      </c>
      <c r="K160" s="105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4.4361128571428567</v>
      </c>
      <c r="I161" s="35">
        <v>4.6406426592661685</v>
      </c>
      <c r="J161" s="35">
        <v>4.3662282048691781</v>
      </c>
      <c r="K161" s="105">
        <f t="shared" si="8"/>
        <v>2028</v>
      </c>
      <c r="L161" s="3"/>
      <c r="M161" s="3"/>
    </row>
    <row r="162" spans="7:13">
      <c r="G162" s="31">
        <v>46784</v>
      </c>
      <c r="H162" s="35">
        <v>4.3516230612244895</v>
      </c>
      <c r="I162" s="35">
        <v>4.4414464238862461</v>
      </c>
      <c r="J162" s="35">
        <v>4.2034844933831694</v>
      </c>
      <c r="K162" s="105">
        <f t="shared" si="8"/>
        <v>2028</v>
      </c>
      <c r="L162" s="3"/>
      <c r="M162" s="3"/>
    </row>
    <row r="163" spans="7:13">
      <c r="G163" s="31">
        <v>46813</v>
      </c>
      <c r="H163" s="35">
        <v>4.0701944897959184</v>
      </c>
      <c r="I163" s="35">
        <v>4.1285489979775329</v>
      </c>
      <c r="J163" s="35">
        <v>4.0619550459642388</v>
      </c>
      <c r="K163" s="105">
        <f t="shared" si="8"/>
        <v>2028</v>
      </c>
      <c r="L163" s="3"/>
      <c r="M163" s="3"/>
    </row>
    <row r="164" spans="7:13">
      <c r="G164" s="31">
        <v>46844</v>
      </c>
      <c r="H164" s="35">
        <v>3.8027455102040815</v>
      </c>
      <c r="I164" s="35">
        <v>3.7017956860427086</v>
      </c>
      <c r="J164" s="35">
        <v>3.8313256894635819</v>
      </c>
      <c r="K164" s="105">
        <f t="shared" si="8"/>
        <v>2028</v>
      </c>
      <c r="L164" s="3"/>
      <c r="M164" s="3"/>
    </row>
    <row r="165" spans="7:13">
      <c r="G165" s="31">
        <v>46874</v>
      </c>
      <c r="H165" s="35">
        <v>3.8027455102040815</v>
      </c>
      <c r="I165" s="35">
        <v>3.7089116789193404</v>
      </c>
      <c r="J165" s="35">
        <v>3.7732390140418226</v>
      </c>
      <c r="K165" s="105">
        <f t="shared" si="8"/>
        <v>2028</v>
      </c>
      <c r="L165" s="3"/>
      <c r="M165" s="3"/>
    </row>
    <row r="166" spans="7:13">
      <c r="G166" s="31">
        <v>46905</v>
      </c>
      <c r="H166" s="35">
        <v>3.830908775510204</v>
      </c>
      <c r="I166" s="35">
        <v>3.7373756504258684</v>
      </c>
      <c r="J166" s="35">
        <v>3.8005144964137787</v>
      </c>
      <c r="K166" s="105">
        <f t="shared" si="8"/>
        <v>2028</v>
      </c>
      <c r="L166" s="3"/>
      <c r="M166" s="3"/>
    </row>
    <row r="167" spans="7:13">
      <c r="G167" s="31">
        <v>46935</v>
      </c>
      <c r="H167" s="35">
        <v>3.9997863265306122</v>
      </c>
      <c r="I167" s="35">
        <v>4.0503246415003549</v>
      </c>
      <c r="J167" s="35">
        <v>3.8559746439034241</v>
      </c>
      <c r="K167" s="105">
        <f t="shared" si="8"/>
        <v>2028</v>
      </c>
      <c r="L167" s="3"/>
      <c r="M167" s="3"/>
    </row>
    <row r="168" spans="7:13">
      <c r="G168" s="31">
        <v>46966</v>
      </c>
      <c r="H168" s="35">
        <v>4.0701944897959184</v>
      </c>
      <c r="I168" s="35">
        <v>4.0859046058835133</v>
      </c>
      <c r="J168" s="35">
        <v>3.9517418931205173</v>
      </c>
      <c r="K168" s="105">
        <f t="shared" si="8"/>
        <v>2028</v>
      </c>
      <c r="L168" s="3"/>
      <c r="M168" s="3"/>
    </row>
    <row r="169" spans="7:13">
      <c r="G169" s="31">
        <v>46997</v>
      </c>
      <c r="H169" s="35">
        <v>4.0561128571428569</v>
      </c>
      <c r="I169" s="35">
        <v>4.0218606699938269</v>
      </c>
      <c r="J169" s="35">
        <v>3.9529541367814929</v>
      </c>
      <c r="K169" s="105">
        <f t="shared" si="8"/>
        <v>2028</v>
      </c>
      <c r="L169" s="3"/>
      <c r="M169" s="3"/>
    </row>
    <row r="170" spans="7:13">
      <c r="G170" s="31">
        <v>47027</v>
      </c>
      <c r="H170" s="35">
        <v>4.1405006122448977</v>
      </c>
      <c r="I170" s="35">
        <v>4.1285489979775329</v>
      </c>
      <c r="J170" s="35">
        <v>4.1147886655217691</v>
      </c>
      <c r="K170" s="105">
        <f t="shared" si="8"/>
        <v>2028</v>
      </c>
      <c r="L170" s="3"/>
      <c r="M170" s="3"/>
    </row>
    <row r="171" spans="7:13">
      <c r="G171" s="31">
        <v>47058</v>
      </c>
      <c r="H171" s="35">
        <v>4.3797863265306116</v>
      </c>
      <c r="I171" s="35">
        <v>4.4983743668993021</v>
      </c>
      <c r="J171" s="35">
        <v>4.3188496817860385</v>
      </c>
      <c r="K171" s="105">
        <f t="shared" si="8"/>
        <v>2028</v>
      </c>
      <c r="L171" s="3"/>
      <c r="M171" s="3"/>
    </row>
    <row r="172" spans="7:13">
      <c r="G172" s="31">
        <v>47088</v>
      </c>
      <c r="H172" s="35">
        <v>4.7879495918367345</v>
      </c>
      <c r="I172" s="35">
        <v>5.0104680281879368</v>
      </c>
      <c r="J172" s="35">
        <v>4.6698952419436299</v>
      </c>
      <c r="K172" s="105">
        <f t="shared" si="8"/>
        <v>2028</v>
      </c>
      <c r="L172" s="3"/>
      <c r="M172" s="3"/>
    </row>
    <row r="173" spans="7:13">
      <c r="G173" s="31">
        <v>47119</v>
      </c>
      <c r="H173" s="35">
        <v>4.6588679591836728</v>
      </c>
      <c r="I173" s="35">
        <v>4.9697831123932801</v>
      </c>
      <c r="J173" s="35">
        <v>4.5866545105566212</v>
      </c>
      <c r="K173" s="105">
        <f t="shared" si="8"/>
        <v>2029</v>
      </c>
      <c r="L173" s="3"/>
      <c r="M173" s="3"/>
    </row>
    <row r="174" spans="7:13">
      <c r="G174" s="31">
        <v>47150</v>
      </c>
      <c r="H174" s="35">
        <v>4.6444802040816322</v>
      </c>
      <c r="I174" s="35">
        <v>4.8027635404555209</v>
      </c>
      <c r="J174" s="35">
        <v>4.4933117486614798</v>
      </c>
      <c r="K174" s="105">
        <f t="shared" si="8"/>
        <v>2029</v>
      </c>
      <c r="L174" s="3"/>
      <c r="M174" s="3"/>
    </row>
    <row r="175" spans="7:13">
      <c r="G175" s="31">
        <v>47178</v>
      </c>
      <c r="H175" s="35">
        <v>4.4001944897959184</v>
      </c>
      <c r="I175" s="35">
        <v>4.5268383384058302</v>
      </c>
      <c r="J175" s="35">
        <v>4.3886547125972308</v>
      </c>
      <c r="K175" s="105">
        <f t="shared" si="8"/>
        <v>2029</v>
      </c>
      <c r="L175" s="3"/>
      <c r="M175" s="3"/>
    </row>
    <row r="176" spans="7:13">
      <c r="G176" s="31">
        <v>47209</v>
      </c>
      <c r="H176" s="35">
        <v>4.112745510204082</v>
      </c>
      <c r="I176" s="35">
        <v>4.0911126876265564</v>
      </c>
      <c r="J176" s="35">
        <v>4.1382253763006362</v>
      </c>
      <c r="K176" s="105">
        <f t="shared" si="8"/>
        <v>2029</v>
      </c>
      <c r="L176" s="3"/>
      <c r="M176" s="3"/>
    </row>
    <row r="177" spans="7:13">
      <c r="G177" s="31">
        <v>47239</v>
      </c>
      <c r="H177" s="35">
        <v>4.112745510204082</v>
      </c>
      <c r="I177" s="35">
        <v>4.1056540643744555</v>
      </c>
      <c r="J177" s="35">
        <v>4.0801387008788756</v>
      </c>
      <c r="K177" s="105">
        <f t="shared" si="8"/>
        <v>2029</v>
      </c>
      <c r="L177" s="3"/>
      <c r="M177" s="3"/>
    </row>
    <row r="178" spans="7:13">
      <c r="G178" s="31">
        <v>47270</v>
      </c>
      <c r="H178" s="35">
        <v>4.2277455102040822</v>
      </c>
      <c r="I178" s="35">
        <v>4.1927991945303109</v>
      </c>
      <c r="J178" s="35">
        <v>4.1933824628750367</v>
      </c>
      <c r="K178" s="105">
        <f t="shared" si="8"/>
        <v>2029</v>
      </c>
      <c r="L178" s="3"/>
      <c r="M178" s="3"/>
    </row>
    <row r="179" spans="7:13">
      <c r="G179" s="31">
        <v>47300</v>
      </c>
      <c r="H179" s="35">
        <v>4.500806734693878</v>
      </c>
      <c r="I179" s="35">
        <v>4.5849007150658849</v>
      </c>
      <c r="J179" s="35">
        <v>4.3518833215476302</v>
      </c>
      <c r="K179" s="105">
        <f t="shared" si="8"/>
        <v>2029</v>
      </c>
      <c r="L179" s="3"/>
      <c r="M179" s="3"/>
    </row>
    <row r="180" spans="7:13">
      <c r="G180" s="31">
        <v>47331</v>
      </c>
      <c r="H180" s="35">
        <v>4.5869291836734689</v>
      </c>
      <c r="I180" s="35">
        <v>4.6284732801438118</v>
      </c>
      <c r="J180" s="35">
        <v>4.4633087180523274</v>
      </c>
      <c r="K180" s="105">
        <f t="shared" si="8"/>
        <v>2029</v>
      </c>
      <c r="L180" s="3"/>
      <c r="M180" s="3"/>
    </row>
    <row r="181" spans="7:13">
      <c r="G181" s="31">
        <v>47362</v>
      </c>
      <c r="H181" s="35">
        <v>4.4432557142857148</v>
      </c>
      <c r="I181" s="35">
        <v>4.4759950849539525</v>
      </c>
      <c r="J181" s="35">
        <v>4.3362251742600257</v>
      </c>
      <c r="K181" s="105">
        <f t="shared" si="8"/>
        <v>2029</v>
      </c>
      <c r="L181" s="3"/>
      <c r="M181" s="3"/>
    </row>
    <row r="182" spans="7:13">
      <c r="G182" s="31">
        <v>47392</v>
      </c>
      <c r="H182" s="35">
        <v>4.5150924489795914</v>
      </c>
      <c r="I182" s="35">
        <v>4.5776300266919341</v>
      </c>
      <c r="J182" s="35">
        <v>4.4856342054753</v>
      </c>
      <c r="K182" s="105">
        <f t="shared" si="8"/>
        <v>2029</v>
      </c>
      <c r="L182" s="3"/>
      <c r="M182" s="3"/>
    </row>
    <row r="183" spans="7:13">
      <c r="G183" s="31">
        <v>47423</v>
      </c>
      <c r="H183" s="35">
        <v>4.8025414285714287</v>
      </c>
      <c r="I183" s="35">
        <v>5.0060849890972579</v>
      </c>
      <c r="J183" s="35">
        <v>4.7373768057379522</v>
      </c>
      <c r="K183" s="105">
        <f t="shared" si="8"/>
        <v>2029</v>
      </c>
      <c r="L183" s="3"/>
      <c r="M183" s="3"/>
    </row>
    <row r="184" spans="7:13">
      <c r="G184" s="31">
        <v>47453</v>
      </c>
      <c r="H184" s="35">
        <v>5.1905006122448976</v>
      </c>
      <c r="I184" s="35">
        <v>5.4998730165365854</v>
      </c>
      <c r="J184" s="35">
        <v>5.068420345489443</v>
      </c>
      <c r="K184" s="105">
        <f t="shared" si="8"/>
        <v>2029</v>
      </c>
      <c r="L184" s="3"/>
      <c r="M184" s="3"/>
    </row>
    <row r="185" spans="7:13">
      <c r="G185" s="31">
        <v>47484</v>
      </c>
      <c r="H185" s="35">
        <v>5.1039700000000003</v>
      </c>
      <c r="I185" s="35">
        <v>5.4684698305810144</v>
      </c>
      <c r="J185" s="35">
        <v>5.0274061016264255</v>
      </c>
      <c r="K185" s="105">
        <f t="shared" si="8"/>
        <v>2030</v>
      </c>
      <c r="L185" s="3"/>
      <c r="M185" s="3"/>
    </row>
    <row r="186" spans="7:13">
      <c r="G186" s="31">
        <v>47515</v>
      </c>
      <c r="H186" s="35">
        <v>5.030704693877551</v>
      </c>
      <c r="I186" s="35">
        <v>5.2537009151377392</v>
      </c>
      <c r="J186" s="35">
        <v>4.8756736033942811</v>
      </c>
      <c r="K186" s="105">
        <f t="shared" si="8"/>
        <v>2030</v>
      </c>
      <c r="L186" s="3"/>
      <c r="M186" s="3"/>
    </row>
    <row r="187" spans="7:13">
      <c r="G187" s="31">
        <v>47543</v>
      </c>
      <c r="H187" s="35">
        <v>4.7815210204081637</v>
      </c>
      <c r="I187" s="35">
        <v>4.9055844810062741</v>
      </c>
      <c r="J187" s="35">
        <v>4.76626861299121</v>
      </c>
      <c r="K187" s="105">
        <f t="shared" si="8"/>
        <v>2030</v>
      </c>
      <c r="L187" s="3"/>
      <c r="M187" s="3"/>
    </row>
    <row r="188" spans="7:13">
      <c r="G188" s="31">
        <v>47574</v>
      </c>
      <c r="H188" s="35">
        <v>4.5030516326530607</v>
      </c>
      <c r="I188" s="35">
        <v>4.5130188739787469</v>
      </c>
      <c r="J188" s="35">
        <v>4.5246280432366905</v>
      </c>
      <c r="K188" s="105">
        <f t="shared" si="8"/>
        <v>2030</v>
      </c>
      <c r="L188" s="3"/>
      <c r="M188" s="3"/>
    </row>
    <row r="189" spans="7:13">
      <c r="G189" s="31">
        <v>47604</v>
      </c>
      <c r="H189" s="35">
        <v>4.5177455102040813</v>
      </c>
      <c r="I189" s="35">
        <v>4.5352434604267788</v>
      </c>
      <c r="J189" s="35">
        <v>4.4810882917466399</v>
      </c>
      <c r="K189" s="105">
        <f t="shared" si="8"/>
        <v>2030</v>
      </c>
      <c r="L189" s="3"/>
      <c r="M189" s="3"/>
    </row>
    <row r="190" spans="7:13">
      <c r="G190" s="31">
        <v>47635</v>
      </c>
      <c r="H190" s="35">
        <v>4.5910108163265306</v>
      </c>
      <c r="I190" s="35">
        <v>4.5944918358996061</v>
      </c>
      <c r="J190" s="35">
        <v>4.5530147489645412</v>
      </c>
      <c r="K190" s="105">
        <f t="shared" si="8"/>
        <v>2030</v>
      </c>
      <c r="L190" s="3"/>
      <c r="M190" s="3"/>
    </row>
    <row r="191" spans="7:13">
      <c r="G191" s="31">
        <v>47665</v>
      </c>
      <c r="H191" s="35">
        <v>4.9721332653061223</v>
      </c>
      <c r="I191" s="35">
        <v>5.0759042235534872</v>
      </c>
      <c r="J191" s="35">
        <v>4.8184961107182538</v>
      </c>
      <c r="K191" s="105">
        <f t="shared" si="8"/>
        <v>2030</v>
      </c>
      <c r="L191" s="3"/>
      <c r="M191" s="3"/>
    </row>
    <row r="192" spans="7:13">
      <c r="G192" s="31">
        <v>47696</v>
      </c>
      <c r="H192" s="35">
        <v>5.0160108163265313</v>
      </c>
      <c r="I192" s="35">
        <v>5.1203533964495502</v>
      </c>
      <c r="J192" s="35">
        <v>4.888099100919284</v>
      </c>
      <c r="K192" s="105">
        <f t="shared" si="8"/>
        <v>2030</v>
      </c>
      <c r="L192" s="3"/>
      <c r="M192" s="3"/>
    </row>
    <row r="193" spans="7:13">
      <c r="G193" s="31">
        <v>47727</v>
      </c>
      <c r="H193" s="35">
        <v>4.9574393877551017</v>
      </c>
      <c r="I193" s="35">
        <v>5.0018566455038966</v>
      </c>
      <c r="J193" s="35">
        <v>4.8452664915648036</v>
      </c>
      <c r="K193" s="105">
        <f t="shared" si="8"/>
        <v>2030</v>
      </c>
      <c r="L193" s="3"/>
      <c r="M193" s="3"/>
    </row>
    <row r="194" spans="7:13">
      <c r="G194" s="31">
        <v>47757</v>
      </c>
      <c r="H194" s="35">
        <v>4.9867251020408156</v>
      </c>
      <c r="I194" s="35">
        <v>5.0389319996944639</v>
      </c>
      <c r="J194" s="35">
        <v>4.9525500555611668</v>
      </c>
      <c r="K194" s="105">
        <f t="shared" si="8"/>
        <v>2030</v>
      </c>
      <c r="L194" s="3"/>
      <c r="M194" s="3"/>
    </row>
    <row r="195" spans="7:13">
      <c r="G195" s="31">
        <v>47788</v>
      </c>
      <c r="H195" s="35">
        <v>5.3824393877551024</v>
      </c>
      <c r="I195" s="35">
        <v>5.498119800900314</v>
      </c>
      <c r="J195" s="35">
        <v>5.3114751995151011</v>
      </c>
      <c r="K195" s="105">
        <f t="shared" si="8"/>
        <v>2030</v>
      </c>
      <c r="L195" s="3"/>
      <c r="M195" s="3"/>
    </row>
    <row r="196" spans="7:13">
      <c r="G196" s="31">
        <v>47818</v>
      </c>
      <c r="H196" s="35">
        <v>5.6463169387755094</v>
      </c>
      <c r="I196" s="35">
        <v>5.8906854079278421</v>
      </c>
      <c r="J196" s="35">
        <v>5.5196780482877053</v>
      </c>
      <c r="K196" s="105">
        <f t="shared" si="8"/>
        <v>2030</v>
      </c>
      <c r="L196" s="3"/>
      <c r="M196" s="3"/>
    </row>
    <row r="197" spans="7:13">
      <c r="G197" s="31">
        <v>47849</v>
      </c>
      <c r="H197" s="35">
        <v>5.654786326530612</v>
      </c>
      <c r="I197" s="35">
        <v>5.8945012301950213</v>
      </c>
      <c r="J197" s="35">
        <v>5.5727137084553986</v>
      </c>
      <c r="K197" s="105">
        <f t="shared" si="8"/>
        <v>2031</v>
      </c>
      <c r="L197" s="3"/>
      <c r="M197" s="3"/>
    </row>
    <row r="198" spans="7:13">
      <c r="G198" s="31">
        <v>47880</v>
      </c>
      <c r="H198" s="35">
        <v>5.490398571428571</v>
      </c>
      <c r="I198" s="35">
        <v>5.6754524059926119</v>
      </c>
      <c r="J198" s="35">
        <v>5.3307700777856342</v>
      </c>
      <c r="K198" s="105">
        <f t="shared" si="8"/>
        <v>2031</v>
      </c>
      <c r="L198" s="3"/>
      <c r="M198" s="3"/>
    </row>
    <row r="199" spans="7:13">
      <c r="G199" s="31">
        <v>47908</v>
      </c>
      <c r="H199" s="35">
        <v>4.8026434693877551</v>
      </c>
      <c r="I199" s="35">
        <v>4.9123910828882709</v>
      </c>
      <c r="J199" s="35">
        <v>4.7871798161430448</v>
      </c>
      <c r="K199" s="105">
        <f t="shared" si="8"/>
        <v>2031</v>
      </c>
      <c r="L199" s="3"/>
      <c r="M199" s="3"/>
    </row>
    <row r="200" spans="7:13">
      <c r="G200" s="31">
        <v>47939</v>
      </c>
      <c r="H200" s="35">
        <v>4.5185618367346931</v>
      </c>
      <c r="I200" s="35">
        <v>4.4590817105805085</v>
      </c>
      <c r="J200" s="35">
        <v>4.53998312960905</v>
      </c>
      <c r="K200" s="105">
        <f t="shared" si="8"/>
        <v>2031</v>
      </c>
      <c r="L200" s="3"/>
      <c r="M200" s="3"/>
    </row>
    <row r="201" spans="7:13">
      <c r="G201" s="31">
        <v>47969</v>
      </c>
      <c r="H201" s="35">
        <v>4.5185618367346931</v>
      </c>
      <c r="I201" s="35">
        <v>4.4666617899490948</v>
      </c>
      <c r="J201" s="35">
        <v>4.4818964541872912</v>
      </c>
      <c r="K201" s="105">
        <f t="shared" si="8"/>
        <v>2031</v>
      </c>
      <c r="L201" s="3"/>
      <c r="M201" s="3"/>
    </row>
    <row r="202" spans="7:13">
      <c r="G202" s="31">
        <v>48000</v>
      </c>
      <c r="H202" s="35">
        <v>4.5783577551020409</v>
      </c>
      <c r="I202" s="35">
        <v>4.4892988977233079</v>
      </c>
      <c r="J202" s="35">
        <v>4.5404882311344572</v>
      </c>
      <c r="K202" s="105">
        <f t="shared" si="8"/>
        <v>2031</v>
      </c>
      <c r="L202" s="3"/>
      <c r="M202" s="3"/>
    </row>
    <row r="203" spans="7:13">
      <c r="G203" s="31">
        <v>48030</v>
      </c>
      <c r="H203" s="35">
        <v>4.7727455102040812</v>
      </c>
      <c r="I203" s="35">
        <v>4.8293196008284589</v>
      </c>
      <c r="J203" s="35">
        <v>4.6212034548944327</v>
      </c>
      <c r="K203" s="105">
        <f t="shared" si="8"/>
        <v>2031</v>
      </c>
      <c r="L203" s="3"/>
      <c r="M203" s="3"/>
    </row>
    <row r="204" spans="7:13">
      <c r="G204" s="31">
        <v>48061</v>
      </c>
      <c r="H204" s="35">
        <v>4.8923373469387759</v>
      </c>
      <c r="I204" s="35">
        <v>4.9048625686854574</v>
      </c>
      <c r="J204" s="35">
        <v>4.7656624911607226</v>
      </c>
      <c r="K204" s="105">
        <f t="shared" si="8"/>
        <v>2031</v>
      </c>
      <c r="L204" s="3"/>
      <c r="M204" s="3"/>
    </row>
    <row r="205" spans="7:13">
      <c r="G205" s="31">
        <v>48092</v>
      </c>
      <c r="H205" s="35">
        <v>4.8774393877551017</v>
      </c>
      <c r="I205" s="35">
        <v>4.8821738957454714</v>
      </c>
      <c r="J205" s="35">
        <v>4.7660665723810478</v>
      </c>
      <c r="K205" s="105">
        <f t="shared" si="8"/>
        <v>2031</v>
      </c>
      <c r="L205" s="3"/>
      <c r="M205" s="3"/>
    </row>
    <row r="206" spans="7:13">
      <c r="G206" s="31">
        <v>48122</v>
      </c>
      <c r="H206" s="35">
        <v>4.9372353061224485</v>
      </c>
      <c r="I206" s="35">
        <v>4.9501883493996557</v>
      </c>
      <c r="J206" s="35">
        <v>4.9035552075967264</v>
      </c>
      <c r="K206" s="105">
        <f t="shared" si="8"/>
        <v>2031</v>
      </c>
      <c r="L206" s="3"/>
      <c r="M206" s="3"/>
    </row>
    <row r="207" spans="7:13">
      <c r="G207" s="31">
        <v>48153</v>
      </c>
      <c r="H207" s="35">
        <v>5.1764189795918369</v>
      </c>
      <c r="I207" s="35">
        <v>5.3354832680532329</v>
      </c>
      <c r="J207" s="35">
        <v>5.1075152035559146</v>
      </c>
      <c r="K207" s="105">
        <f t="shared" si="8"/>
        <v>2031</v>
      </c>
      <c r="L207" s="3"/>
      <c r="M207" s="3"/>
    </row>
    <row r="208" spans="7:13">
      <c r="G208" s="31">
        <v>48183</v>
      </c>
      <c r="H208" s="35">
        <v>5.5650924489795921</v>
      </c>
      <c r="I208" s="35">
        <v>5.8718641224208081</v>
      </c>
      <c r="J208" s="35">
        <v>5.439265885442973</v>
      </c>
      <c r="K208" s="105">
        <f t="shared" si="8"/>
        <v>2031</v>
      </c>
      <c r="L208" s="3"/>
      <c r="M208" s="3"/>
    </row>
    <row r="209" spans="7:13">
      <c r="G209" s="31">
        <v>48214</v>
      </c>
      <c r="H209" s="35">
        <v>5.524174081632653</v>
      </c>
      <c r="I209" s="35">
        <v>5.7883285538690421</v>
      </c>
      <c r="J209" s="35">
        <v>5.4433066976462268</v>
      </c>
      <c r="K209" s="105">
        <f t="shared" si="8"/>
        <v>2032</v>
      </c>
      <c r="L209" s="3"/>
      <c r="M209" s="3"/>
    </row>
    <row r="210" spans="7:13">
      <c r="G210" s="31">
        <v>48245</v>
      </c>
      <c r="H210" s="35">
        <v>5.3564189795918367</v>
      </c>
      <c r="I210" s="35">
        <v>5.5494271408441449</v>
      </c>
      <c r="J210" s="35">
        <v>5.1981304172138589</v>
      </c>
      <c r="K210" s="105">
        <f t="shared" si="8"/>
        <v>2032</v>
      </c>
      <c r="L210" s="3"/>
      <c r="M210" s="3"/>
    </row>
    <row r="211" spans="7:13">
      <c r="G211" s="31">
        <v>48274</v>
      </c>
      <c r="H211" s="35">
        <v>5.1886638775510203</v>
      </c>
      <c r="I211" s="35">
        <v>5.2951077432532134</v>
      </c>
      <c r="J211" s="35">
        <v>5.1693396302656822</v>
      </c>
      <c r="K211" s="105">
        <f t="shared" si="8"/>
        <v>2032</v>
      </c>
      <c r="L211" s="3"/>
      <c r="M211" s="3"/>
    </row>
    <row r="212" spans="7:13">
      <c r="G212" s="31">
        <v>48305</v>
      </c>
      <c r="H212" s="35">
        <v>4.9141740816326536</v>
      </c>
      <c r="I212" s="35">
        <v>4.8789768554675641</v>
      </c>
      <c r="J212" s="35">
        <v>4.9316388524093338</v>
      </c>
      <c r="K212" s="105">
        <f t="shared" si="8"/>
        <v>2032</v>
      </c>
      <c r="L212" s="3"/>
      <c r="M212" s="3"/>
    </row>
    <row r="213" spans="7:13">
      <c r="G213" s="31">
        <v>48335</v>
      </c>
      <c r="H213" s="35">
        <v>4.9141740816326536</v>
      </c>
      <c r="I213" s="35">
        <v>4.8867116303334699</v>
      </c>
      <c r="J213" s="35">
        <v>4.873552176987574</v>
      </c>
      <c r="K213" s="105">
        <f t="shared" si="8"/>
        <v>2032</v>
      </c>
      <c r="L213" s="3"/>
      <c r="M213" s="3"/>
    </row>
    <row r="214" spans="7:13">
      <c r="G214" s="31">
        <v>48366</v>
      </c>
      <c r="H214" s="35">
        <v>4.9903985714285719</v>
      </c>
      <c r="I214" s="35">
        <v>4.9560152131319715</v>
      </c>
      <c r="J214" s="35">
        <v>4.9484082230528328</v>
      </c>
      <c r="K214" s="105">
        <f t="shared" si="8"/>
        <v>2032</v>
      </c>
      <c r="L214" s="3"/>
      <c r="M214" s="3"/>
    </row>
    <row r="215" spans="7:13">
      <c r="G215" s="31">
        <v>48396</v>
      </c>
      <c r="H215" s="35">
        <v>5.2801944897959183</v>
      </c>
      <c r="I215" s="35">
        <v>5.3567796815173567</v>
      </c>
      <c r="J215" s="35">
        <v>5.1234764117587623</v>
      </c>
      <c r="K215" s="105">
        <f t="shared" si="8"/>
        <v>2032</v>
      </c>
      <c r="L215" s="3"/>
      <c r="M215" s="3"/>
    </row>
    <row r="216" spans="7:13">
      <c r="G216" s="31">
        <v>48427</v>
      </c>
      <c r="H216" s="35">
        <v>5.4174393877551017</v>
      </c>
      <c r="I216" s="35">
        <v>5.4492360237477993</v>
      </c>
      <c r="J216" s="35">
        <v>5.2855129811092025</v>
      </c>
      <c r="K216" s="105">
        <f t="shared" si="8"/>
        <v>2032</v>
      </c>
      <c r="L216" s="3"/>
      <c r="M216" s="3"/>
    </row>
    <row r="217" spans="7:13">
      <c r="G217" s="31">
        <v>48458</v>
      </c>
      <c r="H217" s="35">
        <v>5.402133265306122</v>
      </c>
      <c r="I217" s="35">
        <v>5.410716844915596</v>
      </c>
      <c r="J217" s="35">
        <v>5.2855129811092025</v>
      </c>
      <c r="K217" s="105">
        <f t="shared" si="8"/>
        <v>2032</v>
      </c>
      <c r="L217" s="3"/>
      <c r="M217" s="3"/>
    </row>
    <row r="218" spans="7:13">
      <c r="G218" s="31">
        <v>48488</v>
      </c>
      <c r="H218" s="35">
        <v>5.4479495918367347</v>
      </c>
      <c r="I218" s="35">
        <v>5.5031731871460376</v>
      </c>
      <c r="J218" s="35">
        <v>5.4091618345287396</v>
      </c>
      <c r="K218" s="105">
        <f t="shared" si="8"/>
        <v>2032</v>
      </c>
      <c r="L218" s="3"/>
      <c r="M218" s="3"/>
    </row>
    <row r="219" spans="7:13">
      <c r="G219" s="31">
        <v>48519</v>
      </c>
      <c r="H219" s="35">
        <v>5.6919291836734693</v>
      </c>
      <c r="I219" s="35">
        <v>5.8576837018333174</v>
      </c>
      <c r="J219" s="35">
        <v>5.6178697848267491</v>
      </c>
      <c r="K219" s="105">
        <f t="shared" si="8"/>
        <v>2032</v>
      </c>
      <c r="L219" s="3"/>
      <c r="M219" s="3"/>
    </row>
    <row r="220" spans="7:13">
      <c r="G220" s="31">
        <v>48549</v>
      </c>
      <c r="H220" s="35">
        <v>6.134072040816327</v>
      </c>
      <c r="I220" s="35">
        <v>6.3893721261155765</v>
      </c>
      <c r="J220" s="35">
        <v>6.0025551065764207</v>
      </c>
      <c r="K220" s="105">
        <f t="shared" si="8"/>
        <v>2032</v>
      </c>
      <c r="L220" s="3"/>
      <c r="M220" s="3"/>
    </row>
    <row r="221" spans="7:13">
      <c r="G221" s="31">
        <v>48580</v>
      </c>
      <c r="H221" s="35">
        <v>6.1015210204081631</v>
      </c>
      <c r="I221" s="35">
        <v>6.3593611996358668</v>
      </c>
      <c r="J221" s="35">
        <v>6.0148795837963416</v>
      </c>
      <c r="K221" s="105">
        <f t="shared" si="8"/>
        <v>2033</v>
      </c>
      <c r="L221" s="3"/>
      <c r="M221" s="3"/>
    </row>
    <row r="222" spans="7:13">
      <c r="G222" s="31">
        <v>48611</v>
      </c>
      <c r="H222" s="35">
        <v>6.0081536734693879</v>
      </c>
      <c r="I222" s="35">
        <v>6.1785221632710261</v>
      </c>
      <c r="J222" s="35">
        <v>5.8433471057682587</v>
      </c>
      <c r="K222" s="105">
        <f t="shared" si="8"/>
        <v>2033</v>
      </c>
      <c r="L222" s="3"/>
      <c r="M222" s="3"/>
    </row>
    <row r="223" spans="7:13">
      <c r="G223" s="31">
        <v>48639</v>
      </c>
      <c r="H223" s="35">
        <v>5.463765918367347</v>
      </c>
      <c r="I223" s="35">
        <v>5.6047565637182464</v>
      </c>
      <c r="J223" s="35">
        <v>5.4416903727649251</v>
      </c>
      <c r="K223" s="105">
        <f t="shared" si="8"/>
        <v>2033</v>
      </c>
      <c r="L223" s="3"/>
      <c r="M223" s="3"/>
    </row>
    <row r="224" spans="7:13">
      <c r="G224" s="31">
        <v>48670</v>
      </c>
      <c r="H224" s="35">
        <v>5.1371332653061224</v>
      </c>
      <c r="I224" s="35">
        <v>5.1410310279244005</v>
      </c>
      <c r="J224" s="35">
        <v>5.152368219012021</v>
      </c>
      <c r="K224" s="105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5.1060108163265303</v>
      </c>
      <c r="I225" s="35">
        <v>5.1095762768030566</v>
      </c>
      <c r="J225" s="35">
        <v>5.0634703505404577</v>
      </c>
      <c r="K225" s="105">
        <f t="shared" si="9"/>
        <v>2033</v>
      </c>
      <c r="L225" s="3"/>
      <c r="M225" s="3"/>
    </row>
    <row r="226" spans="7:13">
      <c r="G226" s="31">
        <v>48731</v>
      </c>
      <c r="H226" s="35">
        <v>5.1837659183673468</v>
      </c>
      <c r="I226" s="35">
        <v>5.1724342138799706</v>
      </c>
      <c r="J226" s="35">
        <v>5.1398417011819371</v>
      </c>
      <c r="K226" s="105">
        <f t="shared" si="9"/>
        <v>2033</v>
      </c>
      <c r="L226" s="3"/>
      <c r="M226" s="3"/>
    </row>
    <row r="227" spans="7:13">
      <c r="G227" s="31">
        <v>48761</v>
      </c>
      <c r="H227" s="35">
        <v>5.5103985714285715</v>
      </c>
      <c r="I227" s="35">
        <v>5.6204839392789196</v>
      </c>
      <c r="J227" s="35">
        <v>5.351479240327305</v>
      </c>
      <c r="K227" s="105">
        <f t="shared" si="9"/>
        <v>2033</v>
      </c>
      <c r="L227" s="3"/>
      <c r="M227" s="3"/>
    </row>
    <row r="228" spans="7:13">
      <c r="G228" s="31">
        <v>48792</v>
      </c>
      <c r="H228" s="35">
        <v>5.6348883673469388</v>
      </c>
      <c r="I228" s="35">
        <v>5.7069071571139567</v>
      </c>
      <c r="J228" s="35">
        <v>5.5007872512374982</v>
      </c>
      <c r="K228" s="105">
        <f t="shared" si="9"/>
        <v>2033</v>
      </c>
      <c r="L228" s="3"/>
      <c r="M228" s="3"/>
    </row>
    <row r="229" spans="7:13">
      <c r="G229" s="31">
        <v>48823</v>
      </c>
      <c r="H229" s="35">
        <v>5.5571332653061223</v>
      </c>
      <c r="I229" s="35">
        <v>5.5890291881575758</v>
      </c>
      <c r="J229" s="35">
        <v>5.4389628245277297</v>
      </c>
      <c r="K229" s="105">
        <f t="shared" si="9"/>
        <v>2033</v>
      </c>
      <c r="L229" s="3"/>
      <c r="M229" s="3"/>
    </row>
    <row r="230" spans="7:13">
      <c r="G230" s="31">
        <v>48853</v>
      </c>
      <c r="H230" s="35">
        <v>5.588153673469388</v>
      </c>
      <c r="I230" s="35">
        <v>5.6362113148395911</v>
      </c>
      <c r="J230" s="35">
        <v>5.5479637337104757</v>
      </c>
      <c r="K230" s="105">
        <f t="shared" si="9"/>
        <v>2033</v>
      </c>
      <c r="L230" s="3"/>
      <c r="M230" s="3"/>
    </row>
    <row r="231" spans="7:13">
      <c r="G231" s="31">
        <v>48884</v>
      </c>
      <c r="H231" s="35">
        <v>5.9303985714285714</v>
      </c>
      <c r="I231" s="35">
        <v>6.0763715698753167</v>
      </c>
      <c r="J231" s="35">
        <v>5.8539542378017968</v>
      </c>
      <c r="K231" s="105">
        <f t="shared" si="9"/>
        <v>2033</v>
      </c>
      <c r="L231" s="3"/>
      <c r="M231" s="3"/>
    </row>
    <row r="232" spans="7:13">
      <c r="G232" s="31">
        <v>48914</v>
      </c>
      <c r="H232" s="35">
        <v>6.3036638775510205</v>
      </c>
      <c r="I232" s="35">
        <v>6.5872792323511788</v>
      </c>
      <c r="J232" s="35">
        <v>6.1704508536215776</v>
      </c>
      <c r="K232" s="105">
        <f t="shared" si="9"/>
        <v>2033</v>
      </c>
      <c r="L232" s="3"/>
      <c r="M232" s="3"/>
    </row>
    <row r="233" spans="7:13">
      <c r="G233" s="31">
        <v>48945</v>
      </c>
      <c r="H233" s="35">
        <v>6.255500612244898</v>
      </c>
      <c r="I233" s="35">
        <v>6.5420050168027526</v>
      </c>
      <c r="J233" s="35">
        <v>6.1673192241640562</v>
      </c>
      <c r="K233" s="105">
        <f t="shared" si="9"/>
        <v>2034</v>
      </c>
      <c r="L233" s="3"/>
      <c r="M233" s="3"/>
    </row>
    <row r="234" spans="7:13">
      <c r="G234" s="31">
        <v>48976</v>
      </c>
      <c r="H234" s="35">
        <v>6.1920312244897957</v>
      </c>
      <c r="I234" s="35">
        <v>6.3656521498601366</v>
      </c>
      <c r="J234" s="35">
        <v>6.0253856955247995</v>
      </c>
      <c r="K234" s="105">
        <f t="shared" si="9"/>
        <v>2034</v>
      </c>
      <c r="L234" s="3"/>
      <c r="M234" s="3"/>
    </row>
    <row r="235" spans="7:13">
      <c r="G235" s="31">
        <v>49004</v>
      </c>
      <c r="H235" s="35">
        <v>5.3670312244897955</v>
      </c>
      <c r="I235" s="35">
        <v>5.4676963530944249</v>
      </c>
      <c r="J235" s="35">
        <v>5.3458221032427513</v>
      </c>
      <c r="K235" s="105">
        <f t="shared" si="9"/>
        <v>2034</v>
      </c>
      <c r="L235" s="3"/>
      <c r="M235" s="3"/>
    </row>
    <row r="236" spans="7:13">
      <c r="G236" s="31">
        <v>49035</v>
      </c>
      <c r="H236" s="35">
        <v>5.0338679591836728</v>
      </c>
      <c r="I236" s="35">
        <v>4.9626155543508759</v>
      </c>
      <c r="J236" s="35">
        <v>5.0501356702697242</v>
      </c>
      <c r="K236" s="105">
        <f t="shared" si="9"/>
        <v>2034</v>
      </c>
      <c r="L236" s="3"/>
      <c r="M236" s="3"/>
    </row>
    <row r="237" spans="7:13">
      <c r="G237" s="31">
        <v>49065</v>
      </c>
      <c r="H237" s="35">
        <v>5.0179495918367349</v>
      </c>
      <c r="I237" s="35">
        <v>4.9706081550456442</v>
      </c>
      <c r="J237" s="35">
        <v>4.976289827255278</v>
      </c>
      <c r="K237" s="105">
        <f t="shared" si="9"/>
        <v>2034</v>
      </c>
      <c r="L237" s="3"/>
      <c r="M237" s="3"/>
    </row>
    <row r="238" spans="7:13">
      <c r="G238" s="31">
        <v>49096</v>
      </c>
      <c r="H238" s="35">
        <v>5.0814189795918372</v>
      </c>
      <c r="I238" s="35">
        <v>5.0186668895457949</v>
      </c>
      <c r="J238" s="35">
        <v>5.0385183351853708</v>
      </c>
      <c r="K238" s="105">
        <f t="shared" si="9"/>
        <v>2034</v>
      </c>
      <c r="L238" s="3"/>
      <c r="M238" s="3"/>
    </row>
    <row r="239" spans="7:13">
      <c r="G239" s="31">
        <v>49126</v>
      </c>
      <c r="H239" s="35">
        <v>5.3987659183673467</v>
      </c>
      <c r="I239" s="35">
        <v>5.4356228199838075</v>
      </c>
      <c r="J239" s="35">
        <v>5.2408620062632583</v>
      </c>
      <c r="K239" s="105">
        <f t="shared" si="9"/>
        <v>2034</v>
      </c>
      <c r="L239" s="3"/>
      <c r="M239" s="3"/>
    </row>
    <row r="240" spans="7:13">
      <c r="G240" s="31">
        <v>49157</v>
      </c>
      <c r="H240" s="35">
        <v>5.5257046938775511</v>
      </c>
      <c r="I240" s="35">
        <v>5.5237992534551168</v>
      </c>
      <c r="J240" s="35">
        <v>5.3926955248004838</v>
      </c>
      <c r="K240" s="105">
        <f t="shared" si="9"/>
        <v>2034</v>
      </c>
      <c r="L240" s="3"/>
      <c r="M240" s="3"/>
    </row>
    <row r="241" spans="7:13">
      <c r="G241" s="31">
        <v>49188</v>
      </c>
      <c r="H241" s="35">
        <v>5.4463169387755102</v>
      </c>
      <c r="I241" s="35">
        <v>5.4034977217074189</v>
      </c>
      <c r="J241" s="35">
        <v>5.3292547732094144</v>
      </c>
      <c r="K241" s="105">
        <f t="shared" si="9"/>
        <v>2034</v>
      </c>
      <c r="L241" s="3"/>
      <c r="M241" s="3"/>
    </row>
    <row r="242" spans="7:13">
      <c r="G242" s="31">
        <v>49218</v>
      </c>
      <c r="H242" s="35">
        <v>5.4780516326530613</v>
      </c>
      <c r="I242" s="35">
        <v>5.4355712548180355</v>
      </c>
      <c r="J242" s="35">
        <v>5.4389628245277297</v>
      </c>
      <c r="K242" s="105">
        <f t="shared" si="9"/>
        <v>2034</v>
      </c>
      <c r="L242" s="3"/>
      <c r="M242" s="3"/>
    </row>
    <row r="243" spans="7:13">
      <c r="G243" s="31">
        <v>49249</v>
      </c>
      <c r="H243" s="35">
        <v>5.8112148979591831</v>
      </c>
      <c r="I243" s="35">
        <v>5.90863008561674</v>
      </c>
      <c r="J243" s="35">
        <v>5.7359625214668144</v>
      </c>
      <c r="K243" s="105">
        <f t="shared" si="9"/>
        <v>2034</v>
      </c>
      <c r="L243" s="3"/>
      <c r="M243" s="3"/>
    </row>
    <row r="244" spans="7:13">
      <c r="G244" s="31">
        <v>49279</v>
      </c>
      <c r="H244" s="35">
        <v>6.1602965306122446</v>
      </c>
      <c r="I244" s="35">
        <v>6.4297992160813688</v>
      </c>
      <c r="J244" s="35">
        <v>6.028517324982321</v>
      </c>
      <c r="K244" s="105">
        <f t="shared" si="9"/>
        <v>2034</v>
      </c>
      <c r="L244" s="3"/>
      <c r="M244" s="3"/>
    </row>
    <row r="245" spans="7:13">
      <c r="G245" s="31">
        <v>49310</v>
      </c>
      <c r="H245" s="35">
        <v>6.1380516326530614</v>
      </c>
      <c r="I245" s="35">
        <v>6.3696226676246335</v>
      </c>
      <c r="J245" s="35">
        <v>6.0511458733205368</v>
      </c>
      <c r="K245" s="105">
        <f t="shared" si="9"/>
        <v>2035</v>
      </c>
      <c r="L245" s="3"/>
      <c r="M245" s="3"/>
    </row>
    <row r="246" spans="7:13">
      <c r="G246" s="31">
        <v>49341</v>
      </c>
      <c r="H246" s="35">
        <v>6.1219291836734691</v>
      </c>
      <c r="I246" s="35">
        <v>6.2551479996092505</v>
      </c>
      <c r="J246" s="35">
        <v>5.9559847459339315</v>
      </c>
      <c r="K246" s="105">
        <f t="shared" si="9"/>
        <v>2035</v>
      </c>
      <c r="L246" s="3"/>
      <c r="M246" s="3"/>
    </row>
    <row r="247" spans="7:13">
      <c r="G247" s="31">
        <v>49369</v>
      </c>
      <c r="H247" s="35">
        <v>5.6525414285714284</v>
      </c>
      <c r="I247" s="35">
        <v>5.715415409466452</v>
      </c>
      <c r="J247" s="35">
        <v>5.6285779371653692</v>
      </c>
      <c r="K247" s="105">
        <f t="shared" si="9"/>
        <v>2035</v>
      </c>
      <c r="L247" s="3"/>
      <c r="M247" s="3"/>
    </row>
    <row r="248" spans="7:13">
      <c r="G248" s="31">
        <v>49400</v>
      </c>
      <c r="H248" s="35">
        <v>5.3613169387755102</v>
      </c>
      <c r="I248" s="35">
        <v>5.3147025062468378</v>
      </c>
      <c r="J248" s="35">
        <v>5.3743098292756839</v>
      </c>
      <c r="K248" s="105">
        <f t="shared" si="9"/>
        <v>2035</v>
      </c>
      <c r="L248" s="3"/>
      <c r="M248" s="3"/>
    </row>
    <row r="249" spans="7:13">
      <c r="G249" s="31">
        <v>49430</v>
      </c>
      <c r="H249" s="35">
        <v>5.3774393877551017</v>
      </c>
      <c r="I249" s="35">
        <v>5.2738113297890905</v>
      </c>
      <c r="J249" s="35">
        <v>5.3322853823618539</v>
      </c>
      <c r="K249" s="105">
        <f t="shared" si="9"/>
        <v>2035</v>
      </c>
      <c r="L249" s="3"/>
      <c r="M249" s="3"/>
    </row>
    <row r="250" spans="7:13">
      <c r="G250" s="31">
        <v>49461</v>
      </c>
      <c r="H250" s="35">
        <v>5.3774393877551017</v>
      </c>
      <c r="I250" s="35">
        <v>5.2738113297890905</v>
      </c>
      <c r="J250" s="35">
        <v>5.3315782402262855</v>
      </c>
      <c r="K250" s="105">
        <f t="shared" si="9"/>
        <v>2035</v>
      </c>
      <c r="L250" s="3"/>
      <c r="M250" s="3"/>
    </row>
    <row r="251" spans="7:13">
      <c r="G251" s="31">
        <v>49491</v>
      </c>
      <c r="H251" s="35">
        <v>5.587847551020408</v>
      </c>
      <c r="I251" s="35">
        <v>5.6254341951930975</v>
      </c>
      <c r="J251" s="35">
        <v>5.4281536518840277</v>
      </c>
      <c r="K251" s="105">
        <f t="shared" si="9"/>
        <v>2035</v>
      </c>
      <c r="L251" s="3"/>
      <c r="M251" s="3"/>
    </row>
    <row r="252" spans="7:13">
      <c r="G252" s="31">
        <v>49522</v>
      </c>
      <c r="H252" s="35">
        <v>5.7496842857142854</v>
      </c>
      <c r="I252" s="35">
        <v>5.7072165481085921</v>
      </c>
      <c r="J252" s="35">
        <v>5.6144350944539845</v>
      </c>
      <c r="K252" s="105">
        <f t="shared" si="9"/>
        <v>2035</v>
      </c>
      <c r="L252" s="3"/>
      <c r="M252" s="3"/>
    </row>
    <row r="253" spans="7:13">
      <c r="G253" s="31">
        <v>49553</v>
      </c>
      <c r="H253" s="35">
        <v>5.6525414285714284</v>
      </c>
      <c r="I253" s="35">
        <v>5.5682484263511798</v>
      </c>
      <c r="J253" s="35">
        <v>5.5334168097787648</v>
      </c>
      <c r="K253" s="105">
        <f t="shared" si="9"/>
        <v>2035</v>
      </c>
      <c r="L253" s="3"/>
      <c r="M253" s="3"/>
    </row>
    <row r="254" spans="7:13">
      <c r="G254" s="31">
        <v>49583</v>
      </c>
      <c r="H254" s="35">
        <v>5.7011128571428564</v>
      </c>
      <c r="I254" s="35">
        <v>5.5763957225432659</v>
      </c>
      <c r="J254" s="35">
        <v>5.6597932114354981</v>
      </c>
      <c r="K254" s="105">
        <f t="shared" si="9"/>
        <v>2035</v>
      </c>
      <c r="L254" s="3"/>
      <c r="M254" s="3"/>
    </row>
    <row r="255" spans="7:13">
      <c r="G255" s="31">
        <v>49614</v>
      </c>
      <c r="H255" s="35">
        <v>5.9600924489795917</v>
      </c>
      <c r="I255" s="35">
        <v>6.0016536446706823</v>
      </c>
      <c r="J255" s="35">
        <v>5.8833511465804618</v>
      </c>
      <c r="K255" s="105">
        <f t="shared" si="9"/>
        <v>2035</v>
      </c>
      <c r="L255" s="3"/>
      <c r="M255" s="3"/>
    </row>
    <row r="256" spans="7:13">
      <c r="G256" s="31">
        <v>49644</v>
      </c>
      <c r="H256" s="35">
        <v>6.2675414285714286</v>
      </c>
      <c r="I256" s="35">
        <v>6.4759500394479304</v>
      </c>
      <c r="J256" s="35">
        <v>6.1346896656227896</v>
      </c>
      <c r="K256" s="105">
        <f t="shared" si="9"/>
        <v>2035</v>
      </c>
      <c r="L256" s="3"/>
      <c r="M256" s="3"/>
    </row>
    <row r="257" spans="7:13">
      <c r="G257" s="31">
        <v>49675</v>
      </c>
      <c r="H257" s="35">
        <v>6.1785618367346942</v>
      </c>
      <c r="I257" s="35">
        <v>6.3712727529293591</v>
      </c>
      <c r="J257" s="35">
        <v>6.0911499141327399</v>
      </c>
      <c r="K257" s="105">
        <f t="shared" si="9"/>
        <v>2036</v>
      </c>
      <c r="L257" s="3"/>
      <c r="M257" s="3"/>
    </row>
    <row r="258" spans="7:13">
      <c r="G258" s="31">
        <v>49706</v>
      </c>
      <c r="H258" s="35">
        <v>6.1785618367346942</v>
      </c>
      <c r="I258" s="35">
        <v>6.2961938715643155</v>
      </c>
      <c r="J258" s="35">
        <v>6.0120510152540652</v>
      </c>
      <c r="K258" s="105">
        <f t="shared" si="9"/>
        <v>2036</v>
      </c>
      <c r="L258" s="3"/>
      <c r="M258" s="3"/>
    </row>
    <row r="259" spans="7:13">
      <c r="G259" s="31">
        <v>49735</v>
      </c>
      <c r="H259" s="35">
        <v>5.4687659183673469</v>
      </c>
      <c r="I259" s="35">
        <v>5.4703777417146044</v>
      </c>
      <c r="J259" s="35">
        <v>5.4466403677139095</v>
      </c>
      <c r="K259" s="105">
        <f t="shared" si="9"/>
        <v>2036</v>
      </c>
      <c r="L259" s="3"/>
      <c r="M259" s="3"/>
    </row>
    <row r="260" spans="7:13">
      <c r="G260" s="31">
        <v>49766</v>
      </c>
      <c r="H260" s="35">
        <v>5.2046842857142854</v>
      </c>
      <c r="I260" s="35">
        <v>5.1283975623100906</v>
      </c>
      <c r="J260" s="35">
        <v>5.2192436609758559</v>
      </c>
      <c r="K260" s="105">
        <f t="shared" si="9"/>
        <v>2036</v>
      </c>
      <c r="L260" s="3"/>
      <c r="M260" s="3"/>
    </row>
    <row r="261" spans="7:13">
      <c r="G261" s="31">
        <v>49796</v>
      </c>
      <c r="H261" s="35">
        <v>5.1881536734693876</v>
      </c>
      <c r="I261" s="35">
        <v>5.0783793515105762</v>
      </c>
      <c r="J261" s="35">
        <v>5.1447916961309215</v>
      </c>
      <c r="K261" s="105">
        <f t="shared" si="9"/>
        <v>2036</v>
      </c>
      <c r="L261" s="3"/>
      <c r="M261" s="3"/>
    </row>
    <row r="262" spans="7:13">
      <c r="G262" s="31">
        <v>49827</v>
      </c>
      <c r="H262" s="35">
        <v>5.2046842857142854</v>
      </c>
      <c r="I262" s="35">
        <v>5.1117420137655092</v>
      </c>
      <c r="J262" s="35">
        <v>5.1605508637236071</v>
      </c>
      <c r="K262" s="105">
        <f t="shared" si="9"/>
        <v>2036</v>
      </c>
      <c r="L262" s="3"/>
      <c r="M262" s="3"/>
    </row>
    <row r="263" spans="7:13">
      <c r="G263" s="31">
        <v>49857</v>
      </c>
      <c r="H263" s="35">
        <v>5.6008067346938768</v>
      </c>
      <c r="I263" s="35">
        <v>5.5872244073555315</v>
      </c>
      <c r="J263" s="35">
        <v>5.4409832306293557</v>
      </c>
      <c r="K263" s="105">
        <f t="shared" si="9"/>
        <v>2036</v>
      </c>
      <c r="L263" s="3"/>
      <c r="M263" s="3"/>
    </row>
    <row r="264" spans="7:13">
      <c r="G264" s="31">
        <v>49888</v>
      </c>
      <c r="H264" s="35">
        <v>5.6998883673469383</v>
      </c>
      <c r="I264" s="35">
        <v>5.6789588372651547</v>
      </c>
      <c r="J264" s="35">
        <v>5.565137185574299</v>
      </c>
      <c r="K264" s="105">
        <f t="shared" si="9"/>
        <v>2036</v>
      </c>
      <c r="L264" s="3"/>
      <c r="M264" s="3"/>
    </row>
    <row r="265" spans="7:13">
      <c r="G265" s="31">
        <v>49919</v>
      </c>
      <c r="H265" s="35">
        <v>5.5842761224489799</v>
      </c>
      <c r="I265" s="35">
        <v>5.5621637367900014</v>
      </c>
      <c r="J265" s="35">
        <v>5.4658342256793606</v>
      </c>
      <c r="K265" s="105">
        <f t="shared" si="9"/>
        <v>2036</v>
      </c>
      <c r="L265" s="3"/>
      <c r="M265" s="3"/>
    </row>
    <row r="266" spans="7:13">
      <c r="G266" s="31">
        <v>49949</v>
      </c>
      <c r="H266" s="35">
        <v>5.6502965306122448</v>
      </c>
      <c r="I266" s="35">
        <v>5.6205355044446916</v>
      </c>
      <c r="J266" s="35">
        <v>5.6094850995049992</v>
      </c>
      <c r="K266" s="105">
        <f t="shared" si="9"/>
        <v>2036</v>
      </c>
      <c r="L266" s="3"/>
      <c r="M266" s="3"/>
    </row>
    <row r="267" spans="7:13">
      <c r="G267" s="31">
        <v>49980</v>
      </c>
      <c r="H267" s="35">
        <v>5.9969291836734691</v>
      </c>
      <c r="I267" s="35">
        <v>6.0626036706140063</v>
      </c>
      <c r="J267" s="35">
        <v>5.9198194767148191</v>
      </c>
      <c r="K267" s="105">
        <f t="shared" si="9"/>
        <v>2036</v>
      </c>
      <c r="L267" s="3"/>
      <c r="M267" s="3"/>
    </row>
    <row r="268" spans="7:13">
      <c r="G268" s="31">
        <v>50010</v>
      </c>
      <c r="H268" s="35">
        <v>6.3271332653061219</v>
      </c>
      <c r="I268" s="35">
        <v>6.554793177914382</v>
      </c>
      <c r="J268" s="35">
        <v>6.1936855237902808</v>
      </c>
      <c r="K268" s="105">
        <f t="shared" si="9"/>
        <v>2036</v>
      </c>
      <c r="L268" s="3"/>
      <c r="M268" s="3"/>
    </row>
    <row r="269" spans="7:13">
      <c r="G269" s="31">
        <v>50041</v>
      </c>
      <c r="H269" s="35">
        <v>6.3590720408163266</v>
      </c>
      <c r="I269" s="35">
        <v>6.5640233425876939</v>
      </c>
      <c r="J269" s="35">
        <v>6.2699558541266782</v>
      </c>
      <c r="K269" s="105">
        <f t="shared" si="9"/>
        <v>2037</v>
      </c>
      <c r="L269" s="3"/>
      <c r="M269" s="3"/>
    </row>
    <row r="270" spans="7:13">
      <c r="G270" s="31">
        <v>50072</v>
      </c>
      <c r="H270" s="35">
        <v>6.3422353061224488</v>
      </c>
      <c r="I270" s="35">
        <v>6.4703294363787069</v>
      </c>
      <c r="J270" s="35">
        <v>6.1740875846045045</v>
      </c>
      <c r="K270" s="105">
        <f t="shared" si="9"/>
        <v>2037</v>
      </c>
      <c r="L270" s="3"/>
      <c r="M270" s="3"/>
    </row>
    <row r="271" spans="7:13">
      <c r="G271" s="31">
        <v>50100</v>
      </c>
      <c r="H271" s="35">
        <v>5.8029495918367342</v>
      </c>
      <c r="I271" s="35">
        <v>5.8315917279523326</v>
      </c>
      <c r="J271" s="35">
        <v>5.7773808465501562</v>
      </c>
      <c r="K271" s="105">
        <f t="shared" si="9"/>
        <v>2037</v>
      </c>
      <c r="L271" s="3"/>
      <c r="M271" s="3"/>
    </row>
    <row r="272" spans="7:13">
      <c r="G272" s="31">
        <v>50131</v>
      </c>
      <c r="H272" s="35">
        <v>5.6007046938775504</v>
      </c>
      <c r="I272" s="35">
        <v>5.5420533221386501</v>
      </c>
      <c r="J272" s="35">
        <v>5.611303464996463</v>
      </c>
      <c r="K272" s="105">
        <f t="shared" si="9"/>
        <v>2037</v>
      </c>
      <c r="L272" s="3"/>
      <c r="M272" s="3"/>
    </row>
    <row r="273" spans="7:13">
      <c r="G273" s="31">
        <v>50161</v>
      </c>
      <c r="H273" s="35">
        <v>5.5838679591836735</v>
      </c>
      <c r="I273" s="35">
        <v>5.5335450697861548</v>
      </c>
      <c r="J273" s="35">
        <v>5.5365484392362854</v>
      </c>
      <c r="K273" s="105">
        <f t="shared" si="9"/>
        <v>2037</v>
      </c>
      <c r="L273" s="3"/>
      <c r="M273" s="3"/>
    </row>
    <row r="274" spans="7:13">
      <c r="G274" s="31">
        <v>50192</v>
      </c>
      <c r="H274" s="35">
        <v>5.634378163265306</v>
      </c>
      <c r="I274" s="35">
        <v>5.5760863315486286</v>
      </c>
      <c r="J274" s="35">
        <v>5.5859473684210519</v>
      </c>
      <c r="K274" s="105">
        <f t="shared" si="9"/>
        <v>2037</v>
      </c>
      <c r="L274" s="3"/>
      <c r="M274" s="3"/>
    </row>
    <row r="275" spans="7:13">
      <c r="G275" s="31">
        <v>50222</v>
      </c>
      <c r="H275" s="35">
        <v>5.9377455102040821</v>
      </c>
      <c r="I275" s="35">
        <v>6.0019630356653186</v>
      </c>
      <c r="J275" s="35">
        <v>5.7745522780078788</v>
      </c>
      <c r="K275" s="105">
        <f t="shared" si="9"/>
        <v>2037</v>
      </c>
      <c r="L275" s="3"/>
      <c r="M275" s="3"/>
    </row>
    <row r="276" spans="7:13">
      <c r="G276" s="31">
        <v>50253</v>
      </c>
      <c r="H276" s="35">
        <v>6.0725414285714283</v>
      </c>
      <c r="I276" s="35">
        <v>6.121130133766016</v>
      </c>
      <c r="J276" s="35">
        <v>5.9340633397312859</v>
      </c>
      <c r="K276" s="105">
        <f t="shared" si="9"/>
        <v>2037</v>
      </c>
      <c r="L276" s="3"/>
      <c r="M276" s="3"/>
    </row>
    <row r="277" spans="7:13">
      <c r="G277" s="31">
        <v>50284</v>
      </c>
      <c r="H277" s="35">
        <v>5.9377455102040821</v>
      </c>
      <c r="I277" s="35">
        <v>5.9848949657945552</v>
      </c>
      <c r="J277" s="35">
        <v>5.8157685624810576</v>
      </c>
      <c r="K277" s="105">
        <f t="shared" si="9"/>
        <v>2037</v>
      </c>
      <c r="L277" s="3"/>
      <c r="M277" s="3"/>
    </row>
    <row r="278" spans="7:13">
      <c r="G278" s="31">
        <v>50314</v>
      </c>
      <c r="H278" s="35">
        <v>6.005194489795918</v>
      </c>
      <c r="I278" s="35">
        <v>6.001911470499544</v>
      </c>
      <c r="J278" s="35">
        <v>5.9608337205778357</v>
      </c>
      <c r="K278" s="105">
        <f t="shared" si="9"/>
        <v>2037</v>
      </c>
      <c r="L278" s="3"/>
      <c r="M278" s="3"/>
    </row>
    <row r="279" spans="7:13">
      <c r="G279" s="31">
        <v>50345</v>
      </c>
      <c r="H279" s="35">
        <v>6.3422353061224488</v>
      </c>
      <c r="I279" s="35">
        <v>6.4362448618029546</v>
      </c>
      <c r="J279" s="35">
        <v>6.2616721891100102</v>
      </c>
      <c r="K279" s="105">
        <f t="shared" si="9"/>
        <v>2037</v>
      </c>
      <c r="L279" s="3"/>
      <c r="M279" s="3"/>
    </row>
    <row r="280" spans="7:13">
      <c r="G280" s="31">
        <v>50375</v>
      </c>
      <c r="H280" s="35">
        <v>6.7297863265306122</v>
      </c>
      <c r="I280" s="35">
        <v>7.0409495608193504</v>
      </c>
      <c r="J280" s="35">
        <v>6.5923116476411749</v>
      </c>
      <c r="K280" s="105">
        <f t="shared" si="9"/>
        <v>2037</v>
      </c>
      <c r="L280" s="3"/>
      <c r="M280" s="3"/>
    </row>
    <row r="281" spans="7:13">
      <c r="G281" s="31">
        <v>50406</v>
      </c>
      <c r="H281" s="35">
        <v>6.6993781632653056</v>
      </c>
      <c r="I281" s="35">
        <v>6.9707693702027127</v>
      </c>
      <c r="J281" s="35">
        <v>6.6067575512678038</v>
      </c>
      <c r="K281" s="105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6.6993781632653056</v>
      </c>
      <c r="I282" s="35">
        <v>6.8403095007977948</v>
      </c>
      <c r="J282" s="35">
        <v>6.5276586523891291</v>
      </c>
      <c r="K282" s="105">
        <f t="shared" si="10"/>
        <v>2038</v>
      </c>
      <c r="L282" s="3"/>
      <c r="M282" s="3"/>
    </row>
    <row r="283" spans="7:13">
      <c r="G283" s="31">
        <v>50465</v>
      </c>
      <c r="H283" s="35">
        <v>6.1831536734693877</v>
      </c>
      <c r="I283" s="35">
        <v>6.2316342840169021</v>
      </c>
      <c r="J283" s="35">
        <v>6.1537825032831588</v>
      </c>
      <c r="K283" s="105">
        <f t="shared" si="10"/>
        <v>2038</v>
      </c>
      <c r="L283" s="3"/>
      <c r="M283" s="3"/>
    </row>
    <row r="284" spans="7:13">
      <c r="G284" s="31">
        <v>50496</v>
      </c>
      <c r="H284" s="35">
        <v>6.0110108163265306</v>
      </c>
      <c r="I284" s="35">
        <v>5.9794806233884223</v>
      </c>
      <c r="J284" s="35">
        <v>6.0176071320335387</v>
      </c>
      <c r="K284" s="105">
        <f t="shared" si="10"/>
        <v>2038</v>
      </c>
      <c r="L284" s="3"/>
      <c r="M284" s="3"/>
    </row>
    <row r="285" spans="7:13">
      <c r="G285" s="31">
        <v>50526</v>
      </c>
      <c r="H285" s="35">
        <v>5.9766230612244895</v>
      </c>
      <c r="I285" s="35">
        <v>5.9533886495074384</v>
      </c>
      <c r="J285" s="35">
        <v>5.9253755934942918</v>
      </c>
      <c r="K285" s="105">
        <f t="shared" si="10"/>
        <v>2038</v>
      </c>
      <c r="L285" s="3"/>
      <c r="M285" s="3"/>
    </row>
    <row r="286" spans="7:13">
      <c r="G286" s="31">
        <v>50557</v>
      </c>
      <c r="H286" s="35">
        <v>6.0282557142857147</v>
      </c>
      <c r="I286" s="35">
        <v>6.0229500581348052</v>
      </c>
      <c r="J286" s="35">
        <v>5.9758857460349519</v>
      </c>
      <c r="K286" s="105">
        <f t="shared" si="10"/>
        <v>2038</v>
      </c>
      <c r="L286" s="3"/>
      <c r="M286" s="3"/>
    </row>
    <row r="287" spans="7:13">
      <c r="G287" s="31">
        <v>50587</v>
      </c>
      <c r="H287" s="35">
        <v>6.4240720408163261</v>
      </c>
      <c r="I287" s="35">
        <v>6.5011654055107782</v>
      </c>
      <c r="J287" s="35">
        <v>6.2559140317203754</v>
      </c>
      <c r="K287" s="105">
        <f t="shared" si="10"/>
        <v>2038</v>
      </c>
      <c r="L287" s="3"/>
      <c r="M287" s="3"/>
    </row>
    <row r="288" spans="7:13">
      <c r="G288" s="31">
        <v>50618</v>
      </c>
      <c r="H288" s="35">
        <v>6.4756026530612241</v>
      </c>
      <c r="I288" s="35">
        <v>6.5707783793039169</v>
      </c>
      <c r="J288" s="35">
        <v>6.3330935448025043</v>
      </c>
      <c r="K288" s="105">
        <f t="shared" si="10"/>
        <v>2038</v>
      </c>
      <c r="L288" s="3"/>
      <c r="M288" s="3"/>
    </row>
    <row r="289" spans="7:13">
      <c r="G289" s="31">
        <v>50649</v>
      </c>
      <c r="H289" s="35">
        <v>6.3551944897959176</v>
      </c>
      <c r="I289" s="35">
        <v>6.431655562049186</v>
      </c>
      <c r="J289" s="35">
        <v>6.2290426305687436</v>
      </c>
      <c r="K289" s="105">
        <f t="shared" si="10"/>
        <v>2038</v>
      </c>
      <c r="L289" s="3"/>
      <c r="M289" s="3"/>
    </row>
    <row r="290" spans="7:13">
      <c r="G290" s="31">
        <v>50679</v>
      </c>
      <c r="H290" s="35">
        <v>6.4412148979591839</v>
      </c>
      <c r="I290" s="35">
        <v>6.4576959707643971</v>
      </c>
      <c r="J290" s="35">
        <v>6.3924934841903216</v>
      </c>
      <c r="K290" s="105">
        <f t="shared" si="10"/>
        <v>2038</v>
      </c>
      <c r="L290" s="3"/>
      <c r="M290" s="3"/>
    </row>
    <row r="291" spans="7:13">
      <c r="G291" s="31">
        <v>50710</v>
      </c>
      <c r="H291" s="35">
        <v>6.8025414285714287</v>
      </c>
      <c r="I291" s="35">
        <v>6.9272483702905587</v>
      </c>
      <c r="J291" s="35">
        <v>6.7173747853318506</v>
      </c>
      <c r="K291" s="105">
        <f t="shared" si="10"/>
        <v>2038</v>
      </c>
      <c r="L291" s="3"/>
      <c r="M291" s="3"/>
    </row>
    <row r="292" spans="7:13">
      <c r="G292" s="31">
        <v>50740</v>
      </c>
      <c r="H292" s="35">
        <v>7.198357755102041</v>
      </c>
      <c r="I292" s="35">
        <v>7.5098316131904674</v>
      </c>
      <c r="J292" s="35">
        <v>7.0561968885746023</v>
      </c>
      <c r="K292" s="105">
        <f t="shared" si="10"/>
        <v>2038</v>
      </c>
      <c r="L292" s="3"/>
      <c r="M292" s="3"/>
    </row>
    <row r="293" spans="7:13">
      <c r="G293" s="31">
        <v>50771</v>
      </c>
      <c r="H293" s="35">
        <v>7.1565210204081637</v>
      </c>
      <c r="I293" s="35">
        <v>7.4715702601871286</v>
      </c>
      <c r="J293" s="35">
        <v>7.0593285180321228</v>
      </c>
      <c r="K293" s="105">
        <f t="shared" si="10"/>
        <v>2039</v>
      </c>
      <c r="L293" s="3"/>
      <c r="M293" s="3"/>
    </row>
    <row r="294" spans="7:13">
      <c r="G294" s="31">
        <v>50802</v>
      </c>
      <c r="H294" s="35">
        <v>7.1740720408163261</v>
      </c>
      <c r="I294" s="35">
        <v>7.3029006029446419</v>
      </c>
      <c r="J294" s="35">
        <v>6.9976051116274363</v>
      </c>
      <c r="K294" s="105">
        <f t="shared" si="10"/>
        <v>2039</v>
      </c>
      <c r="L294" s="3"/>
      <c r="M294" s="3"/>
    </row>
    <row r="295" spans="7:13">
      <c r="G295" s="31">
        <v>50830</v>
      </c>
      <c r="H295" s="35">
        <v>6.3308067346938781</v>
      </c>
      <c r="I295" s="35">
        <v>6.3973131616445702</v>
      </c>
      <c r="J295" s="35">
        <v>6.2999588847358314</v>
      </c>
      <c r="K295" s="105">
        <f t="shared" si="10"/>
        <v>2039</v>
      </c>
      <c r="L295" s="3"/>
      <c r="M295" s="3"/>
    </row>
    <row r="296" spans="7:13">
      <c r="G296" s="31">
        <v>50861</v>
      </c>
      <c r="H296" s="35">
        <v>6.1024393877551013</v>
      </c>
      <c r="I296" s="35">
        <v>6.122109871915697</v>
      </c>
      <c r="J296" s="35">
        <v>6.10802030508132</v>
      </c>
      <c r="K296" s="105">
        <f t="shared" si="10"/>
        <v>2039</v>
      </c>
      <c r="L296" s="3"/>
      <c r="M296" s="3"/>
    </row>
    <row r="297" spans="7:13">
      <c r="G297" s="31">
        <v>50891</v>
      </c>
      <c r="H297" s="35">
        <v>6.1199904081632646</v>
      </c>
      <c r="I297" s="35">
        <v>6.1842458966717953</v>
      </c>
      <c r="J297" s="35">
        <v>6.0673091221335484</v>
      </c>
      <c r="K297" s="105">
        <f t="shared" si="10"/>
        <v>2039</v>
      </c>
      <c r="L297" s="3"/>
      <c r="M297" s="3"/>
    </row>
    <row r="298" spans="7:13">
      <c r="G298" s="31">
        <v>50922</v>
      </c>
      <c r="H298" s="35">
        <v>6.1901944897959185</v>
      </c>
      <c r="I298" s="35">
        <v>6.2197742958891826</v>
      </c>
      <c r="J298" s="35">
        <v>6.1362049701990093</v>
      </c>
      <c r="K298" s="105">
        <f t="shared" si="10"/>
        <v>2039</v>
      </c>
      <c r="L298" s="3"/>
      <c r="M298" s="3"/>
    </row>
    <row r="299" spans="7:13">
      <c r="G299" s="31">
        <v>50952</v>
      </c>
      <c r="H299" s="35">
        <v>6.6470312244897958</v>
      </c>
      <c r="I299" s="35">
        <v>6.6903064335650235</v>
      </c>
      <c r="J299" s="35">
        <v>6.4766433983230618</v>
      </c>
      <c r="K299" s="105">
        <f t="shared" si="10"/>
        <v>2039</v>
      </c>
      <c r="L299" s="3"/>
      <c r="M299" s="3"/>
    </row>
    <row r="300" spans="7:13">
      <c r="G300" s="31">
        <v>50983</v>
      </c>
      <c r="H300" s="35">
        <v>6.7699904081632649</v>
      </c>
      <c r="I300" s="35">
        <v>6.8767145078333174</v>
      </c>
      <c r="J300" s="35">
        <v>6.6245371249621163</v>
      </c>
      <c r="K300" s="105">
        <f t="shared" si="10"/>
        <v>2039</v>
      </c>
      <c r="L300" s="3"/>
      <c r="M300" s="3"/>
    </row>
    <row r="301" spans="7:13">
      <c r="G301" s="31">
        <v>51014</v>
      </c>
      <c r="H301" s="35">
        <v>6.5591740816326531</v>
      </c>
      <c r="I301" s="35">
        <v>6.7080964157566036</v>
      </c>
      <c r="J301" s="35">
        <v>6.430982220426305</v>
      </c>
      <c r="K301" s="105">
        <f t="shared" si="10"/>
        <v>2039</v>
      </c>
      <c r="L301" s="3"/>
      <c r="M301" s="3"/>
    </row>
    <row r="302" spans="7:13">
      <c r="G302" s="31">
        <v>51044</v>
      </c>
      <c r="H302" s="35">
        <v>6.6294802040816325</v>
      </c>
      <c r="I302" s="35">
        <v>6.7435732498082182</v>
      </c>
      <c r="J302" s="35">
        <v>6.5788759470653586</v>
      </c>
      <c r="K302" s="105">
        <f t="shared" si="10"/>
        <v>2039</v>
      </c>
      <c r="L302" s="3"/>
      <c r="M302" s="3"/>
    </row>
    <row r="303" spans="7:13">
      <c r="G303" s="31">
        <v>51075</v>
      </c>
      <c r="H303" s="35">
        <v>7.0686638775510202</v>
      </c>
      <c r="I303" s="35">
        <v>7.1963669704582536</v>
      </c>
      <c r="J303" s="35">
        <v>6.9808357409839372</v>
      </c>
      <c r="K303" s="105">
        <f t="shared" si="10"/>
        <v>2039</v>
      </c>
      <c r="L303" s="3"/>
      <c r="M303" s="3"/>
    </row>
    <row r="304" spans="7:13">
      <c r="G304" s="31">
        <v>51105</v>
      </c>
      <c r="H304" s="35">
        <v>7.4550924489795918</v>
      </c>
      <c r="I304" s="35">
        <v>7.7734327406204846</v>
      </c>
      <c r="J304" s="35">
        <v>7.3103639761592065</v>
      </c>
      <c r="K304" s="105">
        <f t="shared" si="10"/>
        <v>2039</v>
      </c>
      <c r="L304" s="3"/>
      <c r="M304" s="3"/>
    </row>
    <row r="305" spans="7:13">
      <c r="G305" s="31">
        <v>51136</v>
      </c>
      <c r="H305" s="35">
        <v>7.3967251020408167</v>
      </c>
      <c r="I305" s="35">
        <v>7.7275397430827866</v>
      </c>
      <c r="J305" s="35">
        <v>7.2971303161935541</v>
      </c>
      <c r="K305" s="105">
        <f t="shared" si="9"/>
        <v>2040</v>
      </c>
      <c r="L305" s="3"/>
      <c r="M305" s="3"/>
    </row>
    <row r="306" spans="7:13">
      <c r="G306" s="31">
        <v>51167</v>
      </c>
      <c r="H306" s="35">
        <v>7.4325414285714286</v>
      </c>
      <c r="I306" s="35">
        <v>7.5824353665984212</v>
      </c>
      <c r="J306" s="35">
        <v>7.2535905647035044</v>
      </c>
      <c r="K306" s="105">
        <f t="shared" si="9"/>
        <v>2040</v>
      </c>
      <c r="L306" s="3"/>
      <c r="M306" s="3"/>
    </row>
    <row r="307" spans="7:13">
      <c r="G307" s="31">
        <v>51196</v>
      </c>
      <c r="H307" s="35">
        <v>6.8227455102040819</v>
      </c>
      <c r="I307" s="35">
        <v>6.9479775669311818</v>
      </c>
      <c r="J307" s="35">
        <v>6.7869777755328808</v>
      </c>
      <c r="K307" s="105">
        <f t="shared" si="9"/>
        <v>2040</v>
      </c>
      <c r="L307" s="3"/>
      <c r="M307" s="3"/>
    </row>
    <row r="308" spans="7:13">
      <c r="G308" s="31">
        <v>51227</v>
      </c>
      <c r="H308" s="35">
        <v>6.5177455102040813</v>
      </c>
      <c r="I308" s="35">
        <v>6.5672719480313724</v>
      </c>
      <c r="J308" s="35">
        <v>6.5191729467622981</v>
      </c>
      <c r="K308" s="105">
        <f t="shared" si="9"/>
        <v>2040</v>
      </c>
      <c r="L308" s="3"/>
      <c r="M308" s="3"/>
    </row>
    <row r="309" spans="7:13">
      <c r="G309" s="31">
        <v>51257</v>
      </c>
      <c r="H309" s="35">
        <v>6.5177455102040813</v>
      </c>
      <c r="I309" s="35">
        <v>6.5672719480313724</v>
      </c>
      <c r="J309" s="35">
        <v>6.4610862713405384</v>
      </c>
      <c r="K309" s="105">
        <f t="shared" si="9"/>
        <v>2040</v>
      </c>
      <c r="L309" s="3"/>
      <c r="M309" s="3"/>
    </row>
    <row r="310" spans="7:13">
      <c r="G310" s="31">
        <v>51288</v>
      </c>
      <c r="H310" s="35">
        <v>6.5894802040816325</v>
      </c>
      <c r="I310" s="35">
        <v>6.5581964788553799</v>
      </c>
      <c r="J310" s="35">
        <v>6.531497423982219</v>
      </c>
      <c r="K310" s="105">
        <f t="shared" si="9"/>
        <v>2040</v>
      </c>
      <c r="L310" s="3"/>
      <c r="M310" s="3"/>
    </row>
    <row r="311" spans="7:13">
      <c r="G311" s="31">
        <v>51318</v>
      </c>
      <c r="H311" s="35">
        <v>7.1096842857142857</v>
      </c>
      <c r="I311" s="35">
        <v>7.2108567820403815</v>
      </c>
      <c r="J311" s="35">
        <v>6.9347704818668543</v>
      </c>
      <c r="K311" s="105">
        <f t="shared" si="9"/>
        <v>2040</v>
      </c>
      <c r="L311" s="3"/>
      <c r="M311" s="3"/>
    </row>
    <row r="312" spans="7:13">
      <c r="G312" s="31">
        <v>51349</v>
      </c>
      <c r="H312" s="35">
        <v>7.1635618367346936</v>
      </c>
      <c r="I312" s="35">
        <v>7.3015083434687789</v>
      </c>
      <c r="J312" s="35">
        <v>7.0141724416607731</v>
      </c>
      <c r="K312" s="105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7.0199904081632658</v>
      </c>
      <c r="I313" s="35">
        <v>7.1746064705021766</v>
      </c>
      <c r="J313" s="35">
        <v>6.8871899181735516</v>
      </c>
      <c r="K313" s="105">
        <f t="shared" si="11"/>
        <v>2040</v>
      </c>
      <c r="L313" s="3"/>
      <c r="M313" s="3"/>
    </row>
    <row r="314" spans="7:13">
      <c r="G314" s="31">
        <v>51410</v>
      </c>
      <c r="H314" s="35">
        <v>7.0020312244897962</v>
      </c>
      <c r="I314" s="35">
        <v>7.1292806897879775</v>
      </c>
      <c r="J314" s="35">
        <v>6.9477010809172635</v>
      </c>
      <c r="K314" s="105">
        <f t="shared" si="11"/>
        <v>2040</v>
      </c>
      <c r="L314" s="3"/>
      <c r="M314" s="3"/>
    </row>
    <row r="315" spans="7:13">
      <c r="G315" s="31">
        <v>51441</v>
      </c>
      <c r="H315" s="35">
        <v>7.540194489795919</v>
      </c>
      <c r="I315" s="35">
        <v>7.6822139623685866</v>
      </c>
      <c r="J315" s="35">
        <v>7.4476505707647229</v>
      </c>
      <c r="K315" s="105">
        <f t="shared" si="11"/>
        <v>2040</v>
      </c>
      <c r="L315" s="3"/>
      <c r="M315" s="3"/>
    </row>
    <row r="316" spans="7:13">
      <c r="G316" s="31">
        <v>51471</v>
      </c>
      <c r="H316" s="35">
        <v>7.8092761224489804</v>
      </c>
      <c r="I316" s="35">
        <v>8.2079208274212139</v>
      </c>
      <c r="J316" s="35">
        <v>7.6610054550964728</v>
      </c>
      <c r="K316" s="105">
        <f t="shared" si="11"/>
        <v>2040</v>
      </c>
      <c r="L316" s="3"/>
      <c r="M316" s="3"/>
    </row>
    <row r="317" spans="7:13">
      <c r="G317" s="31">
        <v>51502</v>
      </c>
      <c r="H317" s="35">
        <v>7.5596842857142859</v>
      </c>
      <c r="I317" s="35">
        <v>7.8967766171487712</v>
      </c>
      <c r="J317" s="35">
        <v>7.4585607637135052</v>
      </c>
      <c r="K317" s="105">
        <f t="shared" si="11"/>
        <v>2041</v>
      </c>
      <c r="L317" s="3"/>
      <c r="M317" s="3"/>
    </row>
    <row r="318" spans="7:13">
      <c r="G318" s="31">
        <v>51533</v>
      </c>
      <c r="H318" s="35">
        <v>7.5963169387755105</v>
      </c>
      <c r="I318" s="35">
        <v>7.7486298958838171</v>
      </c>
      <c r="J318" s="35">
        <v>7.4156271340539437</v>
      </c>
      <c r="K318" s="105">
        <f t="shared" si="11"/>
        <v>2041</v>
      </c>
      <c r="L318" s="3"/>
      <c r="M318" s="3"/>
    </row>
    <row r="319" spans="7:13">
      <c r="G319" s="31">
        <v>51561</v>
      </c>
      <c r="H319" s="35">
        <v>6.9730516326530614</v>
      </c>
      <c r="I319" s="35">
        <v>7.1001463711264048</v>
      </c>
      <c r="J319" s="35">
        <v>6.9358817052227488</v>
      </c>
      <c r="K319" s="105">
        <f t="shared" si="11"/>
        <v>2041</v>
      </c>
      <c r="L319" s="3"/>
      <c r="M319" s="3"/>
    </row>
    <row r="320" spans="7:13">
      <c r="G320" s="31">
        <v>51592</v>
      </c>
      <c r="H320" s="35">
        <v>6.6614189795918373</v>
      </c>
      <c r="I320" s="35">
        <v>6.7110356302056475</v>
      </c>
      <c r="J320" s="35">
        <v>6.6614095363167989</v>
      </c>
      <c r="K320" s="105">
        <f t="shared" si="11"/>
        <v>2041</v>
      </c>
      <c r="L320" s="3"/>
      <c r="M320" s="3"/>
    </row>
    <row r="321" spans="7:13">
      <c r="G321" s="31">
        <v>51622</v>
      </c>
      <c r="H321" s="35">
        <v>6.6614189795918373</v>
      </c>
      <c r="I321" s="35">
        <v>6.7110871953714204</v>
      </c>
      <c r="J321" s="35">
        <v>6.6033228608950392</v>
      </c>
      <c r="K321" s="105">
        <f t="shared" si="11"/>
        <v>2041</v>
      </c>
      <c r="L321" s="3"/>
      <c r="M321" s="3"/>
    </row>
    <row r="322" spans="7:13">
      <c r="G322" s="31">
        <v>51653</v>
      </c>
      <c r="H322" s="35">
        <v>6.734786326530612</v>
      </c>
      <c r="I322" s="35">
        <v>6.7018054655323365</v>
      </c>
      <c r="J322" s="35">
        <v>6.6752493181129404</v>
      </c>
      <c r="K322" s="105">
        <f t="shared" si="11"/>
        <v>2041</v>
      </c>
      <c r="L322" s="3"/>
      <c r="M322" s="3"/>
    </row>
    <row r="323" spans="7:13">
      <c r="G323" s="31">
        <v>51683</v>
      </c>
      <c r="H323" s="35">
        <v>7.2663169387755095</v>
      </c>
      <c r="I323" s="35">
        <v>7.3688008848021465</v>
      </c>
      <c r="J323" s="35">
        <v>7.0898366501666832</v>
      </c>
      <c r="K323" s="105">
        <f t="shared" si="11"/>
        <v>2041</v>
      </c>
      <c r="L323" s="3"/>
      <c r="M323" s="3"/>
    </row>
    <row r="324" spans="7:13">
      <c r="G324" s="31">
        <v>51714</v>
      </c>
      <c r="H324" s="35">
        <v>7.3213169387755102</v>
      </c>
      <c r="I324" s="35">
        <v>7.4614119225299058</v>
      </c>
      <c r="J324" s="35">
        <v>7.1703498333164957</v>
      </c>
      <c r="K324" s="105">
        <f t="shared" si="11"/>
        <v>2041</v>
      </c>
      <c r="L324" s="3"/>
      <c r="M324" s="3"/>
    </row>
    <row r="325" spans="7:13">
      <c r="G325" s="31">
        <v>51745</v>
      </c>
      <c r="H325" s="35">
        <v>7.1746842857142861</v>
      </c>
      <c r="I325" s="35">
        <v>7.3317255306115783</v>
      </c>
      <c r="J325" s="35">
        <v>7.0403367006768347</v>
      </c>
      <c r="K325" s="105">
        <f t="shared" si="11"/>
        <v>2041</v>
      </c>
      <c r="L325" s="3"/>
      <c r="M325" s="3"/>
    </row>
    <row r="326" spans="7:13">
      <c r="G326" s="31">
        <v>51775</v>
      </c>
      <c r="H326" s="35">
        <v>7.1564189795918374</v>
      </c>
      <c r="I326" s="35">
        <v>7.2854200117476982</v>
      </c>
      <c r="J326" s="35">
        <v>7.1005448025053024</v>
      </c>
      <c r="K326" s="105">
        <f t="shared" si="11"/>
        <v>2041</v>
      </c>
      <c r="L326" s="3"/>
      <c r="M326" s="3"/>
    </row>
    <row r="327" spans="7:13">
      <c r="G327" s="31">
        <v>51806</v>
      </c>
      <c r="H327" s="35">
        <v>7.7063169387755108</v>
      </c>
      <c r="I327" s="35">
        <v>7.8504710982848902</v>
      </c>
      <c r="J327" s="35">
        <v>7.6121116274371134</v>
      </c>
      <c r="K327" s="105">
        <f t="shared" si="11"/>
        <v>2041</v>
      </c>
      <c r="L327" s="3"/>
      <c r="M327" s="3"/>
    </row>
    <row r="328" spans="7:13">
      <c r="G328" s="31">
        <v>51836</v>
      </c>
      <c r="H328" s="35">
        <v>7.9813169387755103</v>
      </c>
      <c r="I328" s="35">
        <v>8.3877801256363735</v>
      </c>
      <c r="J328" s="35">
        <v>7.8313256894635819</v>
      </c>
      <c r="K328" s="105">
        <f t="shared" si="11"/>
        <v>2041</v>
      </c>
      <c r="L328" s="3"/>
      <c r="M328" s="3"/>
    </row>
    <row r="329" spans="7:13">
      <c r="G329" s="31">
        <v>51867</v>
      </c>
      <c r="H329" s="35">
        <v>7.726214897959184</v>
      </c>
      <c r="I329" s="35">
        <v>8.0698293134819359</v>
      </c>
      <c r="J329" s="35">
        <v>7.6234259016062218</v>
      </c>
      <c r="K329" s="105">
        <f t="shared" ref="K329:K340" si="12">YEAR(G329)</f>
        <v>2042</v>
      </c>
    </row>
    <row r="330" spans="7:13">
      <c r="G330" s="31">
        <v>51898</v>
      </c>
      <c r="H330" s="35">
        <v>7.7636638775510205</v>
      </c>
      <c r="I330" s="35">
        <v>7.9183824216075305</v>
      </c>
      <c r="J330" s="35">
        <v>7.5814014546923918</v>
      </c>
      <c r="K330" s="105">
        <f t="shared" si="12"/>
        <v>2042</v>
      </c>
    </row>
    <row r="331" spans="7:13">
      <c r="G331" s="31">
        <v>51926</v>
      </c>
      <c r="H331" s="35">
        <v>7.1267251020408162</v>
      </c>
      <c r="I331" s="35">
        <v>7.2556153459310799</v>
      </c>
      <c r="J331" s="35">
        <v>7.0880182846752193</v>
      </c>
      <c r="K331" s="105">
        <f t="shared" si="12"/>
        <v>2042</v>
      </c>
    </row>
    <row r="332" spans="7:13">
      <c r="G332" s="31">
        <v>51957</v>
      </c>
      <c r="H332" s="35">
        <v>6.8082557142857141</v>
      </c>
      <c r="I332" s="35">
        <v>6.8579963526578283</v>
      </c>
      <c r="J332" s="35">
        <v>6.8067777553288202</v>
      </c>
      <c r="K332" s="105">
        <f t="shared" si="12"/>
        <v>2042</v>
      </c>
    </row>
    <row r="333" spans="7:13">
      <c r="G333" s="31">
        <v>51987</v>
      </c>
      <c r="H333" s="35">
        <v>6.8082557142857141</v>
      </c>
      <c r="I333" s="35">
        <v>6.8579963526578283</v>
      </c>
      <c r="J333" s="35">
        <v>6.7486910799070605</v>
      </c>
      <c r="K333" s="105">
        <f t="shared" si="12"/>
        <v>2042</v>
      </c>
    </row>
    <row r="334" spans="7:13">
      <c r="G334" s="31">
        <v>52018</v>
      </c>
      <c r="H334" s="35">
        <v>6.8831536734693879</v>
      </c>
      <c r="I334" s="35">
        <v>6.848508362155652</v>
      </c>
      <c r="J334" s="35">
        <v>6.8222338620062626</v>
      </c>
      <c r="K334" s="105">
        <f t="shared" si="12"/>
        <v>2042</v>
      </c>
    </row>
    <row r="335" spans="7:13">
      <c r="G335" s="31">
        <v>52048</v>
      </c>
      <c r="H335" s="35">
        <v>7.4265210204081633</v>
      </c>
      <c r="I335" s="35">
        <v>7.5301998536706822</v>
      </c>
      <c r="J335" s="35">
        <v>7.2483375088392759</v>
      </c>
      <c r="K335" s="105">
        <f t="shared" si="12"/>
        <v>2042</v>
      </c>
    </row>
    <row r="336" spans="7:13">
      <c r="G336" s="31">
        <v>52079</v>
      </c>
      <c r="H336" s="35">
        <v>7.4826434693877557</v>
      </c>
      <c r="I336" s="35">
        <v>7.6248734980293502</v>
      </c>
      <c r="J336" s="35">
        <v>7.3300629356500648</v>
      </c>
      <c r="K336" s="105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5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5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5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5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5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5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5">
        <f t="shared" si="13"/>
        <v>1900</v>
      </c>
    </row>
    <row r="344" spans="7:11">
      <c r="G344" s="31"/>
      <c r="H344" s="35"/>
      <c r="K344" s="105"/>
    </row>
    <row r="345" spans="7:11">
      <c r="G345" s="31"/>
      <c r="H345" s="35"/>
      <c r="K345" s="105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>
        <f>$C$55</f>
        <v>1208.4830190730411</v>
      </c>
      <c r="D25" s="133">
        <f>C25*$C$62</f>
        <v>93.290783139102373</v>
      </c>
      <c r="E25" s="133">
        <f t="shared" si="7"/>
        <v>26.92</v>
      </c>
      <c r="F25" s="135">
        <f t="shared" si="1"/>
        <v>47.648236594329646</v>
      </c>
      <c r="G25" s="133">
        <f t="shared" si="8"/>
        <v>0</v>
      </c>
      <c r="H25" s="143">
        <f t="shared" si="8"/>
        <v>0</v>
      </c>
      <c r="I25" s="135">
        <f t="shared" si="2"/>
        <v>47.648236594329646</v>
      </c>
      <c r="J25" s="135">
        <f t="shared" si="3"/>
        <v>120.21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ref="D26:D28" si="10">ROUND(D25*(1+$G72),2)</f>
        <v>95.16</v>
      </c>
      <c r="E26" s="133">
        <f t="shared" si="7"/>
        <v>27.46</v>
      </c>
      <c r="F26" s="135">
        <f t="shared" si="1"/>
        <v>48.603183663115175</v>
      </c>
      <c r="G26" s="133">
        <f t="shared" si="8"/>
        <v>0</v>
      </c>
      <c r="H26" s="143">
        <f t="shared" si="8"/>
        <v>0</v>
      </c>
      <c r="I26" s="135">
        <f t="shared" si="2"/>
        <v>48.603183663115175</v>
      </c>
      <c r="J26" s="135">
        <f t="shared" si="3"/>
        <v>122.62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97.06</v>
      </c>
      <c r="E27" s="133">
        <f t="shared" si="7"/>
        <v>28.01</v>
      </c>
      <c r="F27" s="135">
        <f t="shared" si="1"/>
        <v>49.574296042617966</v>
      </c>
      <c r="G27" s="133">
        <f t="shared" si="8"/>
        <v>0</v>
      </c>
      <c r="H27" s="143">
        <f t="shared" si="8"/>
        <v>0</v>
      </c>
      <c r="I27" s="135">
        <f t="shared" si="2"/>
        <v>49.574296042617966</v>
      </c>
      <c r="J27" s="135">
        <f t="shared" si="3"/>
        <v>125.07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99</v>
      </c>
      <c r="E28" s="133">
        <f t="shared" si="7"/>
        <v>28.57</v>
      </c>
      <c r="F28" s="135">
        <f t="shared" si="1"/>
        <v>50.565227042110607</v>
      </c>
      <c r="G28" s="133">
        <f t="shared" si="8"/>
        <v>0</v>
      </c>
      <c r="H28" s="143">
        <f t="shared" si="8"/>
        <v>0</v>
      </c>
      <c r="I28" s="135">
        <f t="shared" si="2"/>
        <v>50.565227042110607</v>
      </c>
      <c r="J28" s="135">
        <f t="shared" si="3"/>
        <v>127.57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100.98</v>
      </c>
      <c r="E29" s="133">
        <f t="shared" si="11"/>
        <v>29.14</v>
      </c>
      <c r="F29" s="135">
        <f t="shared" si="1"/>
        <v>51.575976661593103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51.575976661593103</v>
      </c>
      <c r="J29" s="135">
        <f t="shared" si="3"/>
        <v>130.12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103</v>
      </c>
      <c r="E30" s="133">
        <f t="shared" si="11"/>
        <v>29.72</v>
      </c>
      <c r="F30" s="135">
        <f t="shared" si="1"/>
        <v>52.606544901065455</v>
      </c>
      <c r="G30" s="133">
        <f t="shared" si="12"/>
        <v>0</v>
      </c>
      <c r="H30" s="143">
        <f t="shared" si="12"/>
        <v>0</v>
      </c>
      <c r="I30" s="135">
        <f t="shared" si="2"/>
        <v>52.606544901065455</v>
      </c>
      <c r="J30" s="135">
        <f t="shared" si="3"/>
        <v>132.72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105.16</v>
      </c>
      <c r="E31" s="133">
        <f t="shared" si="11"/>
        <v>30.34</v>
      </c>
      <c r="F31" s="135">
        <f t="shared" si="1"/>
        <v>53.708460172501276</v>
      </c>
      <c r="G31" s="133">
        <f t="shared" si="12"/>
        <v>0</v>
      </c>
      <c r="H31" s="143">
        <f t="shared" si="12"/>
        <v>0</v>
      </c>
      <c r="I31" s="135">
        <f t="shared" si="2"/>
        <v>53.708460172501276</v>
      </c>
      <c r="J31" s="135">
        <f t="shared" si="3"/>
        <v>135.5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107.37</v>
      </c>
      <c r="E32" s="133">
        <f t="shared" si="11"/>
        <v>30.98</v>
      </c>
      <c r="F32" s="135">
        <f t="shared" si="1"/>
        <v>54.838121511922886</v>
      </c>
      <c r="G32" s="133">
        <f t="shared" si="12"/>
        <v>0</v>
      </c>
      <c r="H32" s="143">
        <f t="shared" si="12"/>
        <v>0</v>
      </c>
      <c r="I32" s="135">
        <f t="shared" si="2"/>
        <v>54.838121511922886</v>
      </c>
      <c r="J32" s="135">
        <f t="shared" si="3"/>
        <v>138.35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109.62</v>
      </c>
      <c r="E33" s="133">
        <f t="shared" si="11"/>
        <v>31.63</v>
      </c>
      <c r="F33" s="135">
        <f t="shared" si="1"/>
        <v>55.987601471334351</v>
      </c>
      <c r="G33" s="133">
        <f t="shared" si="12"/>
        <v>0</v>
      </c>
      <c r="H33" s="143">
        <f t="shared" si="12"/>
        <v>0</v>
      </c>
      <c r="I33" s="135">
        <f t="shared" si="2"/>
        <v>55.987601471334351</v>
      </c>
      <c r="J33" s="135">
        <f t="shared" si="3"/>
        <v>141.25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111.92</v>
      </c>
      <c r="E34" s="133">
        <f t="shared" si="11"/>
        <v>32.29</v>
      </c>
      <c r="F34" s="135">
        <f t="shared" si="1"/>
        <v>57.160863774733649</v>
      </c>
      <c r="G34" s="133">
        <f t="shared" si="12"/>
        <v>0</v>
      </c>
      <c r="H34" s="143">
        <f t="shared" si="12"/>
        <v>0</v>
      </c>
      <c r="I34" s="135">
        <f t="shared" si="2"/>
        <v>57.160863774733649</v>
      </c>
      <c r="J34" s="135">
        <f t="shared" si="3"/>
        <v>144.21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114.38</v>
      </c>
      <c r="E35" s="133">
        <f t="shared" si="11"/>
        <v>33</v>
      </c>
      <c r="F35" s="135">
        <f t="shared" si="1"/>
        <v>58.417364282090311</v>
      </c>
      <c r="G35" s="133">
        <f t="shared" si="12"/>
        <v>0</v>
      </c>
      <c r="H35" s="143">
        <f t="shared" si="12"/>
        <v>0</v>
      </c>
      <c r="I35" s="135">
        <f t="shared" si="2"/>
        <v>58.417364282090311</v>
      </c>
      <c r="J35" s="135">
        <f t="shared" si="3"/>
        <v>147.38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116.9</v>
      </c>
      <c r="E36" s="133">
        <f t="shared" si="11"/>
        <v>33.729999999999997</v>
      </c>
      <c r="F36" s="135">
        <f t="shared" si="1"/>
        <v>59.705574581430746</v>
      </c>
      <c r="G36" s="133">
        <f t="shared" si="12"/>
        <v>0</v>
      </c>
      <c r="H36" s="143">
        <f t="shared" si="12"/>
        <v>0</v>
      </c>
      <c r="I36" s="135">
        <f t="shared" si="2"/>
        <v>59.705574581430746</v>
      </c>
      <c r="J36" s="135">
        <f t="shared" si="3"/>
        <v>150.63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OR Solar 2030'!D44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138</v>
      </c>
      <c r="C55" s="186">
        <v>1208.4830190730411</v>
      </c>
      <c r="D55" s="122" t="s">
        <v>74</v>
      </c>
      <c r="H55" s="122" t="s">
        <v>9</v>
      </c>
    </row>
    <row r="56" spans="2:24">
      <c r="B56" s="86" t="s">
        <v>111</v>
      </c>
      <c r="C56" s="155">
        <v>19.720289118454605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26.92</v>
      </c>
      <c r="F25" s="135">
        <f t="shared" si="1"/>
        <v>10.670345002536784</v>
      </c>
      <c r="G25" s="133">
        <f t="shared" si="8"/>
        <v>0</v>
      </c>
      <c r="H25" s="143">
        <f t="shared" si="8"/>
        <v>0</v>
      </c>
      <c r="I25" s="135">
        <f t="shared" si="2"/>
        <v>10.670345002536784</v>
      </c>
      <c r="J25" s="135">
        <f t="shared" si="3"/>
        <v>26.92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1201.5946658643247</v>
      </c>
      <c r="D26" s="133">
        <f>C26*$C$62</f>
        <v>92.759025675209486</v>
      </c>
      <c r="E26" s="133">
        <f t="shared" si="7"/>
        <v>27.46</v>
      </c>
      <c r="F26" s="135">
        <f t="shared" si="1"/>
        <v>47.651503708146834</v>
      </c>
      <c r="G26" s="133">
        <f t="shared" si="8"/>
        <v>0</v>
      </c>
      <c r="H26" s="143">
        <f t="shared" si="8"/>
        <v>0</v>
      </c>
      <c r="I26" s="135">
        <f t="shared" si="2"/>
        <v>47.651503708146834</v>
      </c>
      <c r="J26" s="135">
        <f t="shared" si="3"/>
        <v>120.22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94.61</v>
      </c>
      <c r="E27" s="133">
        <f t="shared" si="7"/>
        <v>28.01</v>
      </c>
      <c r="F27" s="135">
        <f t="shared" si="1"/>
        <v>48.603183663115175</v>
      </c>
      <c r="G27" s="133">
        <f t="shared" si="8"/>
        <v>0</v>
      </c>
      <c r="H27" s="143">
        <f t="shared" si="8"/>
        <v>0</v>
      </c>
      <c r="I27" s="135">
        <f t="shared" si="2"/>
        <v>48.603183663115175</v>
      </c>
      <c r="J27" s="135">
        <f t="shared" si="3"/>
        <v>122.62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96.5</v>
      </c>
      <c r="E28" s="133">
        <f t="shared" si="7"/>
        <v>28.57</v>
      </c>
      <c r="F28" s="135">
        <f t="shared" si="1"/>
        <v>49.574296042617959</v>
      </c>
      <c r="G28" s="133">
        <f t="shared" si="8"/>
        <v>0</v>
      </c>
      <c r="H28" s="143">
        <f t="shared" si="8"/>
        <v>0</v>
      </c>
      <c r="I28" s="135">
        <f t="shared" si="2"/>
        <v>49.574296042617959</v>
      </c>
      <c r="J28" s="135">
        <f t="shared" si="3"/>
        <v>125.07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98.43</v>
      </c>
      <c r="E29" s="133">
        <f t="shared" si="11"/>
        <v>29.14</v>
      </c>
      <c r="F29" s="135">
        <f t="shared" si="1"/>
        <v>50.565227042110614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50.565227042110614</v>
      </c>
      <c r="J29" s="135">
        <f t="shared" si="3"/>
        <v>127.57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100.4</v>
      </c>
      <c r="E30" s="133">
        <f t="shared" si="11"/>
        <v>29.72</v>
      </c>
      <c r="F30" s="135">
        <f t="shared" si="1"/>
        <v>51.575976661593103</v>
      </c>
      <c r="G30" s="133">
        <f t="shared" si="12"/>
        <v>0</v>
      </c>
      <c r="H30" s="143">
        <f t="shared" si="12"/>
        <v>0</v>
      </c>
      <c r="I30" s="135">
        <f t="shared" si="2"/>
        <v>51.575976661593103</v>
      </c>
      <c r="J30" s="135">
        <f t="shared" si="3"/>
        <v>130.12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102.51</v>
      </c>
      <c r="E31" s="133">
        <f t="shared" si="11"/>
        <v>30.34</v>
      </c>
      <c r="F31" s="135">
        <f t="shared" si="1"/>
        <v>52.658073313039068</v>
      </c>
      <c r="G31" s="133">
        <f t="shared" si="12"/>
        <v>0</v>
      </c>
      <c r="H31" s="143">
        <f t="shared" si="12"/>
        <v>0</v>
      </c>
      <c r="I31" s="135">
        <f t="shared" si="2"/>
        <v>52.658073313039068</v>
      </c>
      <c r="J31" s="135">
        <f t="shared" si="3"/>
        <v>132.85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104.66</v>
      </c>
      <c r="E32" s="133">
        <f t="shared" si="11"/>
        <v>30.98</v>
      </c>
      <c r="F32" s="135">
        <f t="shared" si="1"/>
        <v>53.763952308472852</v>
      </c>
      <c r="G32" s="133">
        <f t="shared" si="12"/>
        <v>0</v>
      </c>
      <c r="H32" s="143">
        <f t="shared" si="12"/>
        <v>0</v>
      </c>
      <c r="I32" s="135">
        <f t="shared" si="2"/>
        <v>53.763952308472852</v>
      </c>
      <c r="J32" s="135">
        <f t="shared" si="3"/>
        <v>135.63999999999999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106.86</v>
      </c>
      <c r="E33" s="133">
        <f t="shared" si="11"/>
        <v>31.63</v>
      </c>
      <c r="F33" s="135">
        <f t="shared" si="1"/>
        <v>54.893613647894476</v>
      </c>
      <c r="G33" s="133">
        <f t="shared" si="12"/>
        <v>0</v>
      </c>
      <c r="H33" s="143">
        <f t="shared" si="12"/>
        <v>0</v>
      </c>
      <c r="I33" s="135">
        <f t="shared" si="2"/>
        <v>54.893613647894476</v>
      </c>
      <c r="J33" s="135">
        <f t="shared" si="3"/>
        <v>138.49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109.1</v>
      </c>
      <c r="E34" s="133">
        <f t="shared" si="11"/>
        <v>32.29</v>
      </c>
      <c r="F34" s="135">
        <f t="shared" si="1"/>
        <v>56.043093607305934</v>
      </c>
      <c r="G34" s="133">
        <f t="shared" si="12"/>
        <v>0</v>
      </c>
      <c r="H34" s="143">
        <f t="shared" si="12"/>
        <v>0</v>
      </c>
      <c r="I34" s="135">
        <f t="shared" si="2"/>
        <v>56.043093607305934</v>
      </c>
      <c r="J34" s="135">
        <f t="shared" si="3"/>
        <v>141.38999999999999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111.5</v>
      </c>
      <c r="E35" s="133">
        <f t="shared" si="11"/>
        <v>33</v>
      </c>
      <c r="F35" s="135">
        <f t="shared" si="1"/>
        <v>57.275811770674792</v>
      </c>
      <c r="G35" s="133">
        <f t="shared" si="12"/>
        <v>0</v>
      </c>
      <c r="H35" s="143">
        <f t="shared" si="12"/>
        <v>0</v>
      </c>
      <c r="I35" s="135">
        <f t="shared" si="2"/>
        <v>57.275811770674792</v>
      </c>
      <c r="J35" s="135">
        <f t="shared" si="3"/>
        <v>144.5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113.95</v>
      </c>
      <c r="E36" s="133">
        <f t="shared" si="11"/>
        <v>33.729999999999997</v>
      </c>
      <c r="F36" s="135">
        <f t="shared" si="1"/>
        <v>58.536276002029432</v>
      </c>
      <c r="G36" s="133">
        <f t="shared" si="12"/>
        <v>0</v>
      </c>
      <c r="H36" s="143">
        <f t="shared" si="12"/>
        <v>0</v>
      </c>
      <c r="I36" s="135">
        <f t="shared" si="2"/>
        <v>58.536276002029432</v>
      </c>
      <c r="J36" s="135">
        <f t="shared" si="3"/>
        <v>147.68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OR Solar 2031'!D44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130</v>
      </c>
      <c r="C55" s="186">
        <v>1201.5946658643247</v>
      </c>
      <c r="D55" s="122" t="s">
        <v>74</v>
      </c>
      <c r="H55" s="122" t="s">
        <v>9</v>
      </c>
    </row>
    <row r="56" spans="2:24">
      <c r="B56" s="86" t="s">
        <v>111</v>
      </c>
      <c r="C56" s="155">
        <v>19.720289118454605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26.92</v>
      </c>
      <c r="F25" s="135">
        <f t="shared" si="1"/>
        <v>10.670345002536784</v>
      </c>
      <c r="G25" s="133">
        <f t="shared" si="8"/>
        <v>0</v>
      </c>
      <c r="H25" s="143">
        <f t="shared" si="8"/>
        <v>0</v>
      </c>
      <c r="I25" s="135">
        <f t="shared" si="2"/>
        <v>10.670345002536784</v>
      </c>
      <c r="J25" s="135">
        <f t="shared" si="3"/>
        <v>26.92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27.46</v>
      </c>
      <c r="F26" s="135">
        <f t="shared" si="1"/>
        <v>10.884386098427196</v>
      </c>
      <c r="G26" s="133">
        <f t="shared" si="8"/>
        <v>0</v>
      </c>
      <c r="H26" s="143">
        <f t="shared" si="8"/>
        <v>0</v>
      </c>
      <c r="I26" s="135">
        <f t="shared" si="2"/>
        <v>10.884386098427196</v>
      </c>
      <c r="J26" s="135">
        <f t="shared" si="3"/>
        <v>27.46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1194.745576268898</v>
      </c>
      <c r="D27" s="133">
        <f>C27*$C$62</f>
        <v>92.230299228860787</v>
      </c>
      <c r="E27" s="133">
        <f t="shared" si="7"/>
        <v>28.01</v>
      </c>
      <c r="F27" s="135">
        <f t="shared" si="1"/>
        <v>47.659935957659819</v>
      </c>
      <c r="G27" s="133">
        <f t="shared" si="8"/>
        <v>0</v>
      </c>
      <c r="H27" s="143">
        <f t="shared" si="8"/>
        <v>0</v>
      </c>
      <c r="I27" s="135">
        <f t="shared" si="2"/>
        <v>47.659935957659819</v>
      </c>
      <c r="J27" s="135">
        <f t="shared" si="3"/>
        <v>120.24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94.07</v>
      </c>
      <c r="E28" s="133">
        <f t="shared" si="7"/>
        <v>28.57</v>
      </c>
      <c r="F28" s="135">
        <f t="shared" si="1"/>
        <v>48.611111111111107</v>
      </c>
      <c r="G28" s="133">
        <f t="shared" si="8"/>
        <v>0</v>
      </c>
      <c r="H28" s="143">
        <f t="shared" si="8"/>
        <v>0</v>
      </c>
      <c r="I28" s="135">
        <f t="shared" si="2"/>
        <v>48.611111111111107</v>
      </c>
      <c r="J28" s="135">
        <f t="shared" si="3"/>
        <v>122.64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95.95</v>
      </c>
      <c r="E29" s="133">
        <f t="shared" si="11"/>
        <v>29.14</v>
      </c>
      <c r="F29" s="135">
        <f t="shared" si="1"/>
        <v>49.582223490613906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49.582223490613906</v>
      </c>
      <c r="J29" s="135">
        <f t="shared" si="3"/>
        <v>125.09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97.87</v>
      </c>
      <c r="E30" s="133">
        <f t="shared" si="11"/>
        <v>29.72</v>
      </c>
      <c r="F30" s="135">
        <f t="shared" si="1"/>
        <v>50.573154490106553</v>
      </c>
      <c r="G30" s="133">
        <f t="shared" si="12"/>
        <v>0</v>
      </c>
      <c r="H30" s="143">
        <f t="shared" si="12"/>
        <v>0</v>
      </c>
      <c r="I30" s="135">
        <f t="shared" si="2"/>
        <v>50.573154490106553</v>
      </c>
      <c r="J30" s="135">
        <f t="shared" si="3"/>
        <v>127.59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99.93</v>
      </c>
      <c r="E31" s="133">
        <f t="shared" si="11"/>
        <v>30.34</v>
      </c>
      <c r="F31" s="135">
        <f t="shared" si="1"/>
        <v>51.63543252156267</v>
      </c>
      <c r="G31" s="133">
        <f t="shared" si="12"/>
        <v>0</v>
      </c>
      <c r="H31" s="143">
        <f t="shared" si="12"/>
        <v>0</v>
      </c>
      <c r="I31" s="135">
        <f t="shared" si="2"/>
        <v>51.63543252156267</v>
      </c>
      <c r="J31" s="135">
        <f t="shared" si="3"/>
        <v>130.27000000000001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102.03</v>
      </c>
      <c r="E32" s="133">
        <f t="shared" si="11"/>
        <v>30.98</v>
      </c>
      <c r="F32" s="135">
        <f t="shared" si="1"/>
        <v>52.721492897006598</v>
      </c>
      <c r="G32" s="133">
        <f t="shared" si="12"/>
        <v>0</v>
      </c>
      <c r="H32" s="143">
        <f t="shared" si="12"/>
        <v>0</v>
      </c>
      <c r="I32" s="135">
        <f t="shared" si="2"/>
        <v>52.721492897006598</v>
      </c>
      <c r="J32" s="135">
        <f t="shared" si="3"/>
        <v>133.01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104.17</v>
      </c>
      <c r="E33" s="133">
        <f t="shared" si="11"/>
        <v>31.63</v>
      </c>
      <c r="F33" s="135">
        <f t="shared" si="1"/>
        <v>53.827371892440397</v>
      </c>
      <c r="G33" s="133">
        <f t="shared" si="12"/>
        <v>0</v>
      </c>
      <c r="H33" s="143">
        <f t="shared" si="12"/>
        <v>0</v>
      </c>
      <c r="I33" s="135">
        <f t="shared" si="2"/>
        <v>53.827371892440397</v>
      </c>
      <c r="J33" s="135">
        <f t="shared" si="3"/>
        <v>135.80000000000001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106.36</v>
      </c>
      <c r="E34" s="133">
        <f t="shared" si="11"/>
        <v>32.29</v>
      </c>
      <c r="F34" s="135">
        <f t="shared" si="1"/>
        <v>54.957033231862006</v>
      </c>
      <c r="G34" s="133">
        <f t="shared" si="12"/>
        <v>0</v>
      </c>
      <c r="H34" s="143">
        <f t="shared" si="12"/>
        <v>0</v>
      </c>
      <c r="I34" s="135">
        <f t="shared" si="2"/>
        <v>54.957033231862006</v>
      </c>
      <c r="J34" s="135">
        <f t="shared" si="3"/>
        <v>138.65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108.7</v>
      </c>
      <c r="E35" s="133">
        <f t="shared" si="11"/>
        <v>33</v>
      </c>
      <c r="F35" s="135">
        <f t="shared" si="1"/>
        <v>56.165969051243025</v>
      </c>
      <c r="G35" s="133">
        <f t="shared" si="12"/>
        <v>0</v>
      </c>
      <c r="H35" s="143">
        <f t="shared" si="12"/>
        <v>0</v>
      </c>
      <c r="I35" s="135">
        <f t="shared" si="2"/>
        <v>56.165969051243025</v>
      </c>
      <c r="J35" s="135">
        <f t="shared" si="3"/>
        <v>141.69999999999999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111.09</v>
      </c>
      <c r="E36" s="133">
        <f t="shared" si="11"/>
        <v>33.729999999999997</v>
      </c>
      <c r="F36" s="135">
        <f t="shared" si="1"/>
        <v>57.402650938609845</v>
      </c>
      <c r="G36" s="133">
        <f t="shared" si="12"/>
        <v>0</v>
      </c>
      <c r="H36" s="143">
        <f t="shared" si="12"/>
        <v>0</v>
      </c>
      <c r="I36" s="135">
        <f t="shared" si="2"/>
        <v>57.402650938609845</v>
      </c>
      <c r="J36" s="135">
        <f t="shared" si="3"/>
        <v>144.82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OR Solar 2032'!D44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1194.745576268898</v>
      </c>
      <c r="D55" s="122" t="s">
        <v>74</v>
      </c>
      <c r="H55" s="122" t="s">
        <v>9</v>
      </c>
    </row>
    <row r="56" spans="2:24">
      <c r="B56" s="86" t="s">
        <v>111</v>
      </c>
      <c r="C56" s="155">
        <v>19.720289118454605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3" width="9.33203125" style="122"/>
    <col min="14" max="14" width="15.83203125" style="122" customWidth="1"/>
    <col min="15" max="15" width="14.83203125" style="173" customWidth="1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116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7" t="s">
        <v>120</v>
      </c>
      <c r="I5" s="126" t="s">
        <v>70</v>
      </c>
      <c r="J5" s="126" t="s">
        <v>88</v>
      </c>
      <c r="K5" s="17" t="s">
        <v>55</v>
      </c>
      <c r="L5" s="126" t="s">
        <v>71</v>
      </c>
      <c r="N5" s="247" t="s">
        <v>162</v>
      </c>
      <c r="O5" s="247" t="s">
        <v>163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(F11+G11+H11)*N11/12+I11*O11/12</f>
        <v>10.713653357219195</v>
      </c>
      <c r="K11" s="135">
        <f t="shared" ref="K11:K36" si="2">ROUND(J11*$C$63*8.76,2)</f>
        <v>36.409999999999997</v>
      </c>
      <c r="L11" s="133">
        <f>$C$57</f>
        <v>0.58600709999999989</v>
      </c>
      <c r="N11" s="122">
        <v>12</v>
      </c>
      <c r="O11" s="122">
        <v>12</v>
      </c>
    </row>
    <row r="12" spans="2:18">
      <c r="B12" s="141">
        <f t="shared" si="0"/>
        <v>2018</v>
      </c>
      <c r="C12" s="142"/>
      <c r="D12" s="133"/>
      <c r="E12" s="133">
        <f t="shared" ref="D12:G19" si="3">ROUND(E11*(1+$D67),2)</f>
        <v>26.9</v>
      </c>
      <c r="F12" s="135">
        <f t="shared" si="1"/>
        <v>7.9152845622677361</v>
      </c>
      <c r="G12" s="133">
        <f t="shared" si="3"/>
        <v>1.21</v>
      </c>
      <c r="H12" s="133">
        <f t="shared" ref="H12" si="4">ROUND(H11*(1+$D67),2)</f>
        <v>1.84</v>
      </c>
      <c r="I12" s="133"/>
      <c r="J12" s="135">
        <f t="shared" ref="J12:J36" si="5">(F12+G12+H12)*N12/12+I12*O12/12</f>
        <v>10.965284562267735</v>
      </c>
      <c r="K12" s="135">
        <f t="shared" si="2"/>
        <v>37.270000000000003</v>
      </c>
      <c r="L12" s="133">
        <f t="shared" ref="L12:L19" si="6">ROUND(L11*(1+$D67),2)</f>
        <v>0.6</v>
      </c>
      <c r="M12" s="124"/>
      <c r="N12" s="122">
        <v>12</v>
      </c>
      <c r="O12" s="122">
        <v>12</v>
      </c>
    </row>
    <row r="13" spans="2:18">
      <c r="B13" s="141">
        <f t="shared" si="0"/>
        <v>2019</v>
      </c>
      <c r="C13" s="142"/>
      <c r="D13" s="133"/>
      <c r="E13" s="133">
        <f t="shared" si="3"/>
        <v>27.49</v>
      </c>
      <c r="F13" s="135">
        <f t="shared" si="1"/>
        <v>8.0888911753434964</v>
      </c>
      <c r="G13" s="133">
        <f t="shared" si="3"/>
        <v>1.24</v>
      </c>
      <c r="H13" s="133">
        <f t="shared" ref="H13" si="7">ROUND(H12*(1+$D68),2)</f>
        <v>1.88</v>
      </c>
      <c r="I13" s="133"/>
      <c r="J13" s="135">
        <f t="shared" si="5"/>
        <v>11.208891175343496</v>
      </c>
      <c r="K13" s="135">
        <f t="shared" si="2"/>
        <v>38.090000000000003</v>
      </c>
      <c r="L13" s="133">
        <f t="shared" si="6"/>
        <v>0.61</v>
      </c>
      <c r="M13" s="124"/>
      <c r="N13" s="122">
        <v>12</v>
      </c>
      <c r="O13" s="122">
        <v>12</v>
      </c>
    </row>
    <row r="14" spans="2:18">
      <c r="B14" s="141">
        <f t="shared" si="0"/>
        <v>2020</v>
      </c>
      <c r="C14" s="142">
        <f>$C$55</f>
        <v>1293.6882754756971</v>
      </c>
      <c r="D14" s="133">
        <f>C14*$C$62</f>
        <v>68.357849825124617</v>
      </c>
      <c r="E14" s="133">
        <f t="shared" si="3"/>
        <v>28.18</v>
      </c>
      <c r="F14" s="135">
        <f t="shared" si="1"/>
        <v>28.406117189417476</v>
      </c>
      <c r="G14" s="133">
        <f t="shared" si="3"/>
        <v>1.27</v>
      </c>
      <c r="H14" s="133">
        <f t="shared" ref="H14" si="8">ROUND(H13*(1+$D69),2)</f>
        <v>1.93</v>
      </c>
      <c r="I14" s="133">
        <v>-33.15</v>
      </c>
      <c r="J14" s="135">
        <f t="shared" si="5"/>
        <v>-0.25731380176375396</v>
      </c>
      <c r="K14" s="135">
        <f t="shared" si="2"/>
        <v>-0.87</v>
      </c>
      <c r="L14" s="133">
        <f t="shared" si="6"/>
        <v>0.63</v>
      </c>
      <c r="M14" s="124"/>
      <c r="N14" s="122">
        <v>2</v>
      </c>
      <c r="O14" s="122">
        <v>2</v>
      </c>
      <c r="P14" s="138"/>
      <c r="Q14" s="139"/>
      <c r="R14" s="140"/>
    </row>
    <row r="15" spans="2:18">
      <c r="B15" s="141">
        <f t="shared" si="0"/>
        <v>2021</v>
      </c>
      <c r="C15" s="142"/>
      <c r="D15" s="133">
        <f t="shared" si="3"/>
        <v>70</v>
      </c>
      <c r="E15" s="133">
        <f t="shared" si="3"/>
        <v>28.86</v>
      </c>
      <c r="F15" s="135">
        <f t="shared" si="1"/>
        <v>29.089406387575778</v>
      </c>
      <c r="G15" s="133">
        <f t="shared" si="3"/>
        <v>1.3</v>
      </c>
      <c r="H15" s="133">
        <f t="shared" ref="H15" si="9">ROUND(H14*(1+$D70),2)</f>
        <v>1.98</v>
      </c>
      <c r="I15" s="133">
        <v>-34.479999999999997</v>
      </c>
      <c r="J15" s="135">
        <f t="shared" si="5"/>
        <v>-2.1105936124242177</v>
      </c>
      <c r="K15" s="135">
        <f t="shared" si="2"/>
        <v>-7.17</v>
      </c>
      <c r="L15" s="133">
        <f t="shared" si="6"/>
        <v>0.65</v>
      </c>
      <c r="M15" s="124"/>
      <c r="N15" s="122">
        <v>12</v>
      </c>
      <c r="O15" s="122">
        <v>12</v>
      </c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71.680000000000007</v>
      </c>
      <c r="E16" s="133">
        <f t="shared" si="3"/>
        <v>29.55</v>
      </c>
      <c r="F16" s="135">
        <f t="shared" si="1"/>
        <v>29.786775324846207</v>
      </c>
      <c r="G16" s="133">
        <f t="shared" si="3"/>
        <v>1.33</v>
      </c>
      <c r="H16" s="133">
        <f t="shared" ref="H16" si="10">ROUND(H15*(1+$D71),2)</f>
        <v>2.0299999999999998</v>
      </c>
      <c r="I16" s="133">
        <v>-34.479999999999997</v>
      </c>
      <c r="J16" s="135">
        <f t="shared" si="5"/>
        <v>-1.3332246751537866</v>
      </c>
      <c r="K16" s="135">
        <f t="shared" si="2"/>
        <v>-4.53</v>
      </c>
      <c r="L16" s="133">
        <f t="shared" si="6"/>
        <v>0.67</v>
      </c>
      <c r="M16" s="124"/>
      <c r="N16" s="122">
        <v>12</v>
      </c>
      <c r="O16" s="122">
        <v>12</v>
      </c>
    </row>
    <row r="17" spans="2:17">
      <c r="B17" s="141">
        <f t="shared" si="0"/>
        <v>2023</v>
      </c>
      <c r="C17" s="142"/>
      <c r="D17" s="133">
        <f t="shared" si="3"/>
        <v>73.400000000000006</v>
      </c>
      <c r="E17" s="133">
        <f t="shared" si="3"/>
        <v>30.26</v>
      </c>
      <c r="F17" s="135">
        <f t="shared" si="1"/>
        <v>30.501799171920954</v>
      </c>
      <c r="G17" s="133">
        <f t="shared" si="3"/>
        <v>1.36</v>
      </c>
      <c r="H17" s="133">
        <f t="shared" ref="H17" si="11">ROUND(H16*(1+$D72),2)</f>
        <v>2.08</v>
      </c>
      <c r="I17" s="133">
        <v>-35.799999999999997</v>
      </c>
      <c r="J17" s="135">
        <f t="shared" si="5"/>
        <v>-1.8582008280790419</v>
      </c>
      <c r="K17" s="135">
        <f t="shared" si="2"/>
        <v>-6.32</v>
      </c>
      <c r="L17" s="133">
        <f t="shared" si="6"/>
        <v>0.69</v>
      </c>
      <c r="M17" s="124"/>
      <c r="N17" s="122">
        <v>12</v>
      </c>
      <c r="O17" s="122">
        <v>12</v>
      </c>
      <c r="P17" s="138"/>
    </row>
    <row r="18" spans="2:17">
      <c r="B18" s="141">
        <f t="shared" si="0"/>
        <v>2024</v>
      </c>
      <c r="C18" s="142"/>
      <c r="D18" s="133">
        <f t="shared" si="3"/>
        <v>75.09</v>
      </c>
      <c r="E18" s="133">
        <f t="shared" si="3"/>
        <v>30.96</v>
      </c>
      <c r="F18" s="135">
        <f t="shared" si="1"/>
        <v>31.205053079126156</v>
      </c>
      <c r="G18" s="133">
        <f t="shared" si="3"/>
        <v>1.39</v>
      </c>
      <c r="H18" s="133">
        <f t="shared" ref="H18" si="12">ROUND(H17*(1+$D73),2)</f>
        <v>2.13</v>
      </c>
      <c r="I18" s="133">
        <v>-35.799999999999997</v>
      </c>
      <c r="J18" s="135">
        <f t="shared" si="5"/>
        <v>-1.0749469208738418</v>
      </c>
      <c r="K18" s="135">
        <f t="shared" si="2"/>
        <v>-3.65</v>
      </c>
      <c r="L18" s="133">
        <f t="shared" si="6"/>
        <v>0.71</v>
      </c>
      <c r="M18" s="124"/>
      <c r="N18" s="122">
        <v>12</v>
      </c>
      <c r="O18" s="122">
        <v>12</v>
      </c>
    </row>
    <row r="19" spans="2:17">
      <c r="B19" s="141">
        <f t="shared" si="0"/>
        <v>2025</v>
      </c>
      <c r="C19" s="142"/>
      <c r="D19" s="133">
        <f t="shared" si="3"/>
        <v>76.819999999999993</v>
      </c>
      <c r="E19" s="133">
        <f t="shared" si="3"/>
        <v>31.67</v>
      </c>
      <c r="F19" s="135">
        <f t="shared" si="1"/>
        <v>31.92301941116828</v>
      </c>
      <c r="G19" s="133">
        <f t="shared" si="3"/>
        <v>1.42</v>
      </c>
      <c r="H19" s="133">
        <f t="shared" ref="H19" si="13">ROUND(H18*(1+$D74),2)</f>
        <v>2.1800000000000002</v>
      </c>
      <c r="I19" s="133">
        <v>-37.130000000000003</v>
      </c>
      <c r="J19" s="135">
        <f t="shared" si="5"/>
        <v>-1.6069805888317248</v>
      </c>
      <c r="K19" s="135">
        <f t="shared" si="2"/>
        <v>-5.46</v>
      </c>
      <c r="L19" s="133">
        <f t="shared" si="6"/>
        <v>0.73</v>
      </c>
      <c r="M19" s="124"/>
      <c r="N19" s="122">
        <v>12</v>
      </c>
      <c r="O19" s="122">
        <v>12</v>
      </c>
    </row>
    <row r="20" spans="2:17">
      <c r="B20" s="141">
        <f t="shared" si="0"/>
        <v>2026</v>
      </c>
      <c r="C20" s="142"/>
      <c r="D20" s="133">
        <f>ROUND(D19*(1+$G66),2)</f>
        <v>78.510000000000005</v>
      </c>
      <c r="E20" s="133">
        <f>ROUND(E19*(1+$G66),2)</f>
        <v>32.369999999999997</v>
      </c>
      <c r="F20" s="135">
        <f t="shared" si="1"/>
        <v>32.626273318373478</v>
      </c>
      <c r="G20" s="133">
        <f>ROUND(G19*(1+$G66),2)</f>
        <v>1.45</v>
      </c>
      <c r="H20" s="133">
        <f>ROUND(H19*(1+$G66),2)</f>
        <v>2.23</v>
      </c>
      <c r="I20" s="133">
        <v>-37.130000000000003</v>
      </c>
      <c r="J20" s="135">
        <f t="shared" si="5"/>
        <v>-0.82372668162652474</v>
      </c>
      <c r="K20" s="135">
        <f t="shared" si="2"/>
        <v>-2.8</v>
      </c>
      <c r="L20" s="133">
        <f>ROUND(L19*(1+$G66),2)</f>
        <v>0.75</v>
      </c>
      <c r="M20" s="124"/>
      <c r="N20" s="122">
        <v>12</v>
      </c>
      <c r="O20" s="122">
        <v>12</v>
      </c>
      <c r="Q20" s="171"/>
    </row>
    <row r="21" spans="2:17">
      <c r="B21" s="141">
        <f t="shared" si="0"/>
        <v>2027</v>
      </c>
      <c r="C21" s="142"/>
      <c r="D21" s="133">
        <f t="shared" ref="D21:G28" si="14">ROUND(D20*(1+$G67),2)</f>
        <v>80.239999999999995</v>
      </c>
      <c r="E21" s="133">
        <f t="shared" si="14"/>
        <v>33.08</v>
      </c>
      <c r="F21" s="135">
        <f t="shared" si="1"/>
        <v>33.344239650415609</v>
      </c>
      <c r="G21" s="133">
        <f t="shared" si="14"/>
        <v>1.48</v>
      </c>
      <c r="H21" s="133">
        <f t="shared" ref="H21" si="15">ROUND(H20*(1+$G67),2)</f>
        <v>2.2799999999999998</v>
      </c>
      <c r="I21" s="133">
        <v>-38.450000000000003</v>
      </c>
      <c r="J21" s="135">
        <f t="shared" si="5"/>
        <v>-1.3457603495843955</v>
      </c>
      <c r="K21" s="135">
        <f t="shared" si="2"/>
        <v>-4.57</v>
      </c>
      <c r="L21" s="133">
        <f t="shared" ref="L21:L28" si="16">ROUND(L20*(1+$G67),2)</f>
        <v>0.77</v>
      </c>
      <c r="M21" s="124"/>
      <c r="N21" s="122">
        <v>12</v>
      </c>
      <c r="O21" s="122">
        <v>12</v>
      </c>
    </row>
    <row r="22" spans="2:17">
      <c r="B22" s="141">
        <f t="shared" si="0"/>
        <v>2028</v>
      </c>
      <c r="C22" s="142"/>
      <c r="D22" s="133">
        <f t="shared" si="14"/>
        <v>82.01</v>
      </c>
      <c r="E22" s="133">
        <f t="shared" si="14"/>
        <v>33.81</v>
      </c>
      <c r="F22" s="135">
        <f t="shared" si="1"/>
        <v>34.079860892262055</v>
      </c>
      <c r="G22" s="133">
        <f t="shared" si="14"/>
        <v>1.51</v>
      </c>
      <c r="H22" s="133">
        <f t="shared" ref="H22" si="17">ROUND(H21*(1+$G68),2)</f>
        <v>2.33</v>
      </c>
      <c r="I22" s="133">
        <v>-38.450000000000003</v>
      </c>
      <c r="J22" s="135">
        <f t="shared" si="5"/>
        <v>-0.53013910773795203</v>
      </c>
      <c r="K22" s="135">
        <f t="shared" si="2"/>
        <v>-1.8</v>
      </c>
      <c r="L22" s="133">
        <f t="shared" si="16"/>
        <v>0.79</v>
      </c>
      <c r="M22" s="124"/>
      <c r="N22" s="122">
        <v>12</v>
      </c>
      <c r="O22" s="122">
        <v>12</v>
      </c>
    </row>
    <row r="23" spans="2:17">
      <c r="B23" s="141">
        <f t="shared" si="0"/>
        <v>2029</v>
      </c>
      <c r="C23" s="142"/>
      <c r="D23" s="133">
        <f t="shared" si="14"/>
        <v>83.73</v>
      </c>
      <c r="E23" s="133">
        <f t="shared" si="14"/>
        <v>34.520000000000003</v>
      </c>
      <c r="F23" s="135">
        <f t="shared" si="1"/>
        <v>34.794884739336794</v>
      </c>
      <c r="G23" s="133">
        <f t="shared" si="14"/>
        <v>1.54</v>
      </c>
      <c r="H23" s="133">
        <f t="shared" ref="H23" si="18">ROUND(H22*(1+$G69),2)</f>
        <v>2.38</v>
      </c>
      <c r="I23" s="133">
        <v>-39.78</v>
      </c>
      <c r="J23" s="135">
        <f t="shared" si="5"/>
        <v>-1.0651152606632053</v>
      </c>
      <c r="K23" s="135">
        <f t="shared" si="2"/>
        <v>-3.62</v>
      </c>
      <c r="L23" s="133">
        <f t="shared" si="16"/>
        <v>0.81</v>
      </c>
      <c r="M23" s="124"/>
      <c r="N23" s="122">
        <v>12</v>
      </c>
      <c r="O23" s="122">
        <v>12</v>
      </c>
    </row>
    <row r="24" spans="2:17">
      <c r="B24" s="141">
        <f t="shared" si="0"/>
        <v>2030</v>
      </c>
      <c r="C24" s="142"/>
      <c r="D24" s="133">
        <f t="shared" si="14"/>
        <v>85.4</v>
      </c>
      <c r="E24" s="133">
        <f t="shared" si="14"/>
        <v>35.21</v>
      </c>
      <c r="F24" s="135">
        <f t="shared" si="1"/>
        <v>35.489311191639842</v>
      </c>
      <c r="G24" s="133">
        <f t="shared" si="14"/>
        <v>1.57</v>
      </c>
      <c r="H24" s="133">
        <f t="shared" ref="H24" si="19">ROUND(H23*(1+$G70),2)</f>
        <v>2.4300000000000002</v>
      </c>
      <c r="I24" s="133">
        <v>-41.11</v>
      </c>
      <c r="J24" s="135">
        <f t="shared" si="5"/>
        <v>5.2309778583065096</v>
      </c>
      <c r="K24" s="135">
        <f t="shared" si="2"/>
        <v>17.78</v>
      </c>
      <c r="L24" s="133">
        <f t="shared" si="16"/>
        <v>0.83</v>
      </c>
      <c r="M24" s="124"/>
      <c r="N24" s="122">
        <v>12</v>
      </c>
      <c r="O24" s="122">
        <v>10</v>
      </c>
    </row>
    <row r="25" spans="2:17">
      <c r="B25" s="141">
        <f t="shared" si="0"/>
        <v>2031</v>
      </c>
      <c r="C25" s="142"/>
      <c r="D25" s="133">
        <f t="shared" si="14"/>
        <v>87.11</v>
      </c>
      <c r="E25" s="133">
        <f t="shared" si="14"/>
        <v>35.909999999999997</v>
      </c>
      <c r="F25" s="135">
        <f t="shared" si="1"/>
        <v>36.198450068779813</v>
      </c>
      <c r="G25" s="133">
        <f t="shared" si="14"/>
        <v>1.6</v>
      </c>
      <c r="H25" s="133">
        <f t="shared" ref="H25" si="20">ROUND(H24*(1+$G71),2)</f>
        <v>2.48</v>
      </c>
      <c r="I25" s="133"/>
      <c r="J25" s="135">
        <f t="shared" si="5"/>
        <v>40.278450068779811</v>
      </c>
      <c r="K25" s="135">
        <f t="shared" si="2"/>
        <v>136.88999999999999</v>
      </c>
      <c r="L25" s="133">
        <f t="shared" si="16"/>
        <v>0.85</v>
      </c>
      <c r="M25" s="124"/>
      <c r="N25" s="122">
        <v>12</v>
      </c>
      <c r="O25" s="122"/>
    </row>
    <row r="26" spans="2:17">
      <c r="B26" s="141">
        <f t="shared" si="0"/>
        <v>2032</v>
      </c>
      <c r="C26" s="142"/>
      <c r="D26" s="133">
        <f t="shared" si="14"/>
        <v>88.85</v>
      </c>
      <c r="E26" s="133">
        <f t="shared" si="14"/>
        <v>36.630000000000003</v>
      </c>
      <c r="F26" s="135">
        <f t="shared" si="1"/>
        <v>36.922301370756713</v>
      </c>
      <c r="G26" s="133">
        <f t="shared" si="14"/>
        <v>1.63</v>
      </c>
      <c r="H26" s="133">
        <f t="shared" ref="H26" si="21">ROUND(H25*(1+$G72),2)</f>
        <v>2.5299999999999998</v>
      </c>
      <c r="I26" s="133"/>
      <c r="J26" s="135">
        <f t="shared" si="5"/>
        <v>41.082301370756717</v>
      </c>
      <c r="K26" s="135">
        <f t="shared" si="2"/>
        <v>139.62</v>
      </c>
      <c r="L26" s="133">
        <f t="shared" si="16"/>
        <v>0.87</v>
      </c>
      <c r="M26" s="124"/>
      <c r="N26" s="122">
        <v>12</v>
      </c>
      <c r="O26" s="122"/>
    </row>
    <row r="27" spans="2:17">
      <c r="B27" s="141">
        <f t="shared" si="0"/>
        <v>2033</v>
      </c>
      <c r="C27" s="142"/>
      <c r="D27" s="133">
        <f t="shared" si="14"/>
        <v>90.63</v>
      </c>
      <c r="E27" s="133">
        <f t="shared" si="14"/>
        <v>37.36</v>
      </c>
      <c r="F27" s="135">
        <f t="shared" si="1"/>
        <v>37.660865097570543</v>
      </c>
      <c r="G27" s="133">
        <f t="shared" si="14"/>
        <v>1.66</v>
      </c>
      <c r="H27" s="133">
        <f t="shared" ref="H27" si="22">ROUND(H26*(1+$G73),2)</f>
        <v>2.58</v>
      </c>
      <c r="I27" s="133"/>
      <c r="J27" s="135">
        <f t="shared" si="5"/>
        <v>41.900865097570538</v>
      </c>
      <c r="K27" s="135">
        <f t="shared" si="2"/>
        <v>142.4</v>
      </c>
      <c r="L27" s="133">
        <f t="shared" si="16"/>
        <v>0.89</v>
      </c>
      <c r="M27" s="124"/>
      <c r="N27" s="122">
        <v>12</v>
      </c>
      <c r="O27" s="122"/>
    </row>
    <row r="28" spans="2:17">
      <c r="B28" s="141">
        <f t="shared" si="0"/>
        <v>2034</v>
      </c>
      <c r="C28" s="142"/>
      <c r="D28" s="133">
        <f t="shared" si="14"/>
        <v>92.44</v>
      </c>
      <c r="E28" s="133">
        <f t="shared" si="14"/>
        <v>38.11</v>
      </c>
      <c r="F28" s="135">
        <f t="shared" si="1"/>
        <v>38.414141249221302</v>
      </c>
      <c r="G28" s="133">
        <f t="shared" si="14"/>
        <v>1.69</v>
      </c>
      <c r="H28" s="133">
        <f t="shared" ref="H28" si="23">ROUND(H27*(1+$G74),2)</f>
        <v>2.63</v>
      </c>
      <c r="I28" s="133"/>
      <c r="J28" s="135">
        <f t="shared" si="5"/>
        <v>42.734141249221302</v>
      </c>
      <c r="K28" s="135">
        <f t="shared" si="2"/>
        <v>145.22999999999999</v>
      </c>
      <c r="L28" s="133">
        <f t="shared" si="16"/>
        <v>0.91</v>
      </c>
      <c r="M28" s="124"/>
      <c r="N28" s="122">
        <v>12</v>
      </c>
      <c r="O28" s="122"/>
    </row>
    <row r="29" spans="2:17">
      <c r="B29" s="141">
        <f t="shared" si="0"/>
        <v>2035</v>
      </c>
      <c r="C29" s="142"/>
      <c r="D29" s="133">
        <f>ROUND(D28*(1+$L66),2)</f>
        <v>94.29</v>
      </c>
      <c r="E29" s="133">
        <f>ROUND(E28*(1+$L66),2)</f>
        <v>38.869999999999997</v>
      </c>
      <c r="F29" s="135">
        <f t="shared" si="1"/>
        <v>39.182129825708991</v>
      </c>
      <c r="G29" s="133">
        <f>ROUND(G28*(1+$L66),2)</f>
        <v>1.72</v>
      </c>
      <c r="H29" s="133">
        <f>ROUND(H28*(1+$L66),2)</f>
        <v>2.68</v>
      </c>
      <c r="I29" s="133"/>
      <c r="J29" s="135">
        <f t="shared" si="5"/>
        <v>43.582129825708989</v>
      </c>
      <c r="K29" s="135">
        <f t="shared" si="2"/>
        <v>148.11000000000001</v>
      </c>
      <c r="L29" s="133">
        <f>ROUND(L28*(1+$L66),2)</f>
        <v>0.93</v>
      </c>
      <c r="M29" s="124"/>
      <c r="N29" s="122">
        <v>12</v>
      </c>
      <c r="O29" s="122"/>
    </row>
    <row r="30" spans="2:17">
      <c r="B30" s="141">
        <f t="shared" si="0"/>
        <v>2036</v>
      </c>
      <c r="C30" s="142"/>
      <c r="D30" s="133">
        <f t="shared" ref="D30:G36" si="24">ROUND(D29*(1+$L67),2)</f>
        <v>96.18</v>
      </c>
      <c r="E30" s="133">
        <f t="shared" si="24"/>
        <v>39.65</v>
      </c>
      <c r="F30" s="135">
        <f t="shared" si="1"/>
        <v>39.967773312000993</v>
      </c>
      <c r="G30" s="133">
        <f t="shared" si="24"/>
        <v>1.75</v>
      </c>
      <c r="H30" s="133">
        <f t="shared" ref="H30" si="25">ROUND(H29*(1+$L67),2)</f>
        <v>2.73</v>
      </c>
      <c r="I30" s="133"/>
      <c r="J30" s="135">
        <f t="shared" si="5"/>
        <v>44.447773312000983</v>
      </c>
      <c r="K30" s="135">
        <f t="shared" si="2"/>
        <v>151.06</v>
      </c>
      <c r="L30" s="133">
        <f t="shared" ref="L30:L36" si="26">ROUND(L29*(1+$L67),2)</f>
        <v>0.95</v>
      </c>
      <c r="M30" s="124"/>
      <c r="N30" s="122">
        <v>12</v>
      </c>
      <c r="O30" s="122"/>
    </row>
    <row r="31" spans="2:17">
      <c r="B31" s="141">
        <f t="shared" si="0"/>
        <v>2037</v>
      </c>
      <c r="C31" s="142"/>
      <c r="D31" s="133">
        <f t="shared" si="24"/>
        <v>98.2</v>
      </c>
      <c r="E31" s="133">
        <f t="shared" si="24"/>
        <v>40.479999999999997</v>
      </c>
      <c r="F31" s="135">
        <f t="shared" si="1"/>
        <v>40.806381527705938</v>
      </c>
      <c r="G31" s="133">
        <f t="shared" si="24"/>
        <v>1.79</v>
      </c>
      <c r="H31" s="133">
        <f t="shared" ref="H31" si="27">ROUND(H30*(1+$L68),2)</f>
        <v>2.79</v>
      </c>
      <c r="I31" s="133"/>
      <c r="J31" s="135">
        <f t="shared" si="5"/>
        <v>45.386381527705936</v>
      </c>
      <c r="K31" s="135">
        <f t="shared" si="2"/>
        <v>154.25</v>
      </c>
      <c r="L31" s="133">
        <f t="shared" si="26"/>
        <v>0.97</v>
      </c>
      <c r="M31" s="124"/>
      <c r="N31" s="122">
        <v>12</v>
      </c>
      <c r="O31" s="122"/>
    </row>
    <row r="32" spans="2:17">
      <c r="B32" s="141">
        <f t="shared" si="0"/>
        <v>2038</v>
      </c>
      <c r="C32" s="142"/>
      <c r="D32" s="133">
        <f t="shared" si="24"/>
        <v>100.26</v>
      </c>
      <c r="E32" s="133">
        <f t="shared" si="24"/>
        <v>41.33</v>
      </c>
      <c r="F32" s="135">
        <f t="shared" si="1"/>
        <v>41.662644653215196</v>
      </c>
      <c r="G32" s="133">
        <f t="shared" si="24"/>
        <v>1.83</v>
      </c>
      <c r="H32" s="133">
        <f t="shared" ref="H32" si="28">ROUND(H31*(1+$L69),2)</f>
        <v>2.85</v>
      </c>
      <c r="I32" s="133"/>
      <c r="J32" s="135">
        <f t="shared" si="5"/>
        <v>46.342644653215196</v>
      </c>
      <c r="K32" s="135">
        <f t="shared" si="2"/>
        <v>157.49</v>
      </c>
      <c r="L32" s="133">
        <f t="shared" si="26"/>
        <v>0.99</v>
      </c>
      <c r="M32" s="124"/>
      <c r="N32" s="122">
        <v>12</v>
      </c>
      <c r="O32" s="122"/>
    </row>
    <row r="33" spans="2:15">
      <c r="B33" s="141">
        <f t="shared" si="0"/>
        <v>2039</v>
      </c>
      <c r="C33" s="142"/>
      <c r="D33" s="133">
        <f t="shared" si="24"/>
        <v>102.37</v>
      </c>
      <c r="E33" s="133">
        <f t="shared" si="24"/>
        <v>42.2</v>
      </c>
      <c r="F33" s="135">
        <f t="shared" si="1"/>
        <v>42.53950517349616</v>
      </c>
      <c r="G33" s="133">
        <f t="shared" si="24"/>
        <v>1.87</v>
      </c>
      <c r="H33" s="133">
        <f t="shared" ref="H33" si="29">ROUND(H32*(1+$L70),2)</f>
        <v>2.91</v>
      </c>
      <c r="I33" s="133"/>
      <c r="J33" s="135">
        <f t="shared" si="5"/>
        <v>47.319505173496147</v>
      </c>
      <c r="K33" s="135">
        <f t="shared" si="2"/>
        <v>160.81</v>
      </c>
      <c r="L33" s="133">
        <f t="shared" si="26"/>
        <v>1.01</v>
      </c>
      <c r="M33" s="124"/>
      <c r="N33" s="122">
        <v>12</v>
      </c>
      <c r="O33" s="122"/>
    </row>
    <row r="34" spans="2:15">
      <c r="B34" s="141">
        <f t="shared" si="0"/>
        <v>2040</v>
      </c>
      <c r="C34" s="142"/>
      <c r="D34" s="133">
        <f t="shared" si="24"/>
        <v>104.52</v>
      </c>
      <c r="E34" s="133">
        <f t="shared" si="24"/>
        <v>43.09</v>
      </c>
      <c r="F34" s="135">
        <f t="shared" si="1"/>
        <v>43.434020603581438</v>
      </c>
      <c r="G34" s="133">
        <f t="shared" si="24"/>
        <v>1.91</v>
      </c>
      <c r="H34" s="133">
        <f t="shared" ref="H34" si="30">ROUND(H33*(1+$L71),2)</f>
        <v>2.97</v>
      </c>
      <c r="I34" s="133"/>
      <c r="J34" s="135">
        <f t="shared" si="5"/>
        <v>48.314020603581433</v>
      </c>
      <c r="K34" s="135">
        <f t="shared" si="2"/>
        <v>164.19</v>
      </c>
      <c r="L34" s="133">
        <f t="shared" si="26"/>
        <v>1.03</v>
      </c>
      <c r="M34" s="124"/>
      <c r="N34" s="122">
        <v>12</v>
      </c>
      <c r="O34" s="122"/>
    </row>
    <row r="35" spans="2:15">
      <c r="B35" s="141">
        <f t="shared" si="0"/>
        <v>2041</v>
      </c>
      <c r="C35" s="142"/>
      <c r="D35" s="133">
        <f t="shared" si="24"/>
        <v>106.82</v>
      </c>
      <c r="E35" s="133">
        <f t="shared" si="24"/>
        <v>44.04</v>
      </c>
      <c r="F35" s="135">
        <f t="shared" si="1"/>
        <v>44.390328217981811</v>
      </c>
      <c r="G35" s="133">
        <f t="shared" si="24"/>
        <v>1.95</v>
      </c>
      <c r="H35" s="133">
        <f t="shared" ref="H35" si="31">ROUND(H34*(1+$L72),2)</f>
        <v>3.04</v>
      </c>
      <c r="I35" s="133"/>
      <c r="J35" s="135">
        <f t="shared" si="5"/>
        <v>49.38032821798182</v>
      </c>
      <c r="K35" s="135">
        <f t="shared" si="2"/>
        <v>167.82</v>
      </c>
      <c r="L35" s="133">
        <f t="shared" si="26"/>
        <v>1.05</v>
      </c>
      <c r="M35" s="124"/>
      <c r="N35" s="122">
        <v>12</v>
      </c>
      <c r="O35" s="122"/>
    </row>
    <row r="36" spans="2:15">
      <c r="B36" s="141">
        <f t="shared" si="0"/>
        <v>2042</v>
      </c>
      <c r="C36" s="142"/>
      <c r="D36" s="133">
        <f t="shared" si="24"/>
        <v>109.17</v>
      </c>
      <c r="E36" s="133">
        <f t="shared" si="24"/>
        <v>45.01</v>
      </c>
      <c r="F36" s="135">
        <f t="shared" si="1"/>
        <v>45.367233227153889</v>
      </c>
      <c r="G36" s="133">
        <f t="shared" si="24"/>
        <v>1.99</v>
      </c>
      <c r="H36" s="133">
        <f t="shared" ref="H36" si="32">ROUND(H35*(1+$L73),2)</f>
        <v>3.11</v>
      </c>
      <c r="I36" s="133"/>
      <c r="J36" s="135">
        <f t="shared" si="5"/>
        <v>50.467233227153891</v>
      </c>
      <c r="K36" s="135">
        <f t="shared" si="2"/>
        <v>171.51</v>
      </c>
      <c r="L36" s="133">
        <f t="shared" si="26"/>
        <v>1.07</v>
      </c>
      <c r="M36" s="124"/>
      <c r="N36" s="122">
        <v>12</v>
      </c>
      <c r="O36" s="122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72</v>
      </c>
      <c r="C44" s="147" t="s">
        <v>73</v>
      </c>
      <c r="D44" s="148" t="s">
        <v>117</v>
      </c>
    </row>
    <row r="45" spans="2:15">
      <c r="C45" s="147" t="str">
        <f>C7</f>
        <v>(a)</v>
      </c>
      <c r="D45" s="122" t="s">
        <v>74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112</v>
      </c>
      <c r="C55" s="186">
        <v>1293.6882754756971</v>
      </c>
      <c r="D55" s="122" t="s">
        <v>74</v>
      </c>
      <c r="I55" s="122" t="s">
        <v>9</v>
      </c>
    </row>
    <row r="56" spans="2:24">
      <c r="B56" s="86" t="s">
        <v>111</v>
      </c>
      <c r="C56" s="155">
        <v>26.293898611068769</v>
      </c>
      <c r="D56" s="122" t="s">
        <v>77</v>
      </c>
      <c r="I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I57" s="122" t="s">
        <v>79</v>
      </c>
    </row>
    <row r="58" spans="2:24">
      <c r="B58" s="86" t="s">
        <v>111</v>
      </c>
      <c r="C58" s="155">
        <v>1.1816399331260157</v>
      </c>
      <c r="D58" s="122" t="s">
        <v>78</v>
      </c>
      <c r="I58" s="122" t="s">
        <v>79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>
        <v>-12.501261943267853</v>
      </c>
      <c r="D59" s="122" t="s">
        <v>80</v>
      </c>
      <c r="I59" s="122" t="s">
        <v>79</v>
      </c>
      <c r="J59" s="221" t="s">
        <v>115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111</v>
      </c>
      <c r="C60" s="160">
        <v>1.7950732843896238</v>
      </c>
      <c r="D60" s="122" t="s">
        <v>114</v>
      </c>
      <c r="I60" s="122" t="s">
        <v>79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238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41"/>
      <c r="I66" s="86"/>
      <c r="J66" s="88">
        <f>F74+1</f>
        <v>2035</v>
      </c>
      <c r="K66" s="88"/>
      <c r="L66" s="41">
        <v>0.02</v>
      </c>
    </row>
    <row r="67" spans="3:15">
      <c r="C67" s="88">
        <f t="shared" ref="C67:C74" si="33">C66+1</f>
        <v>2018</v>
      </c>
      <c r="D67" s="41">
        <v>2.3E-2</v>
      </c>
      <c r="E67" s="86"/>
      <c r="F67" s="88">
        <f t="shared" ref="F67:F74" si="34">F66+1</f>
        <v>2027</v>
      </c>
      <c r="G67" s="41">
        <v>2.1999999999999999E-2</v>
      </c>
      <c r="H67" s="41"/>
      <c r="I67" s="86"/>
      <c r="J67" s="88">
        <f t="shared" ref="J67:J74" si="35">J66+1</f>
        <v>2036</v>
      </c>
      <c r="K67" s="88"/>
      <c r="L67" s="41">
        <v>0.02</v>
      </c>
    </row>
    <row r="68" spans="3:15">
      <c r="C68" s="88">
        <f t="shared" si="33"/>
        <v>2019</v>
      </c>
      <c r="D68" s="41">
        <v>2.1999999999999999E-2</v>
      </c>
      <c r="E68" s="86"/>
      <c r="F68" s="88">
        <f t="shared" si="34"/>
        <v>2028</v>
      </c>
      <c r="G68" s="41">
        <v>2.1999999999999999E-2</v>
      </c>
      <c r="H68" s="41"/>
      <c r="I68" s="86"/>
      <c r="J68" s="88">
        <f t="shared" si="35"/>
        <v>2037</v>
      </c>
      <c r="K68" s="88"/>
      <c r="L68" s="41">
        <v>2.1000000000000001E-2</v>
      </c>
    </row>
    <row r="69" spans="3:15">
      <c r="C69" s="88">
        <f t="shared" si="33"/>
        <v>2020</v>
      </c>
      <c r="D69" s="41">
        <v>2.5000000000000001E-2</v>
      </c>
      <c r="E69" s="86"/>
      <c r="F69" s="88">
        <f t="shared" si="34"/>
        <v>2029</v>
      </c>
      <c r="G69" s="41">
        <v>2.1000000000000001E-2</v>
      </c>
      <c r="H69" s="41"/>
      <c r="I69" s="86"/>
      <c r="J69" s="88">
        <f t="shared" si="35"/>
        <v>2038</v>
      </c>
      <c r="K69" s="88"/>
      <c r="L69" s="41">
        <v>2.1000000000000001E-2</v>
      </c>
    </row>
    <row r="70" spans="3:15">
      <c r="C70" s="88">
        <f t="shared" si="33"/>
        <v>2021</v>
      </c>
      <c r="D70" s="41">
        <v>2.4E-2</v>
      </c>
      <c r="E70" s="86"/>
      <c r="F70" s="88">
        <f t="shared" si="34"/>
        <v>2030</v>
      </c>
      <c r="G70" s="41">
        <v>0.02</v>
      </c>
      <c r="H70" s="41"/>
      <c r="I70" s="86"/>
      <c r="J70" s="88">
        <f t="shared" si="35"/>
        <v>2039</v>
      </c>
      <c r="K70" s="88"/>
      <c r="L70" s="41">
        <v>2.1000000000000001E-2</v>
      </c>
    </row>
    <row r="71" spans="3:15">
      <c r="C71" s="88">
        <f t="shared" si="33"/>
        <v>2022</v>
      </c>
      <c r="D71" s="41">
        <v>2.4E-2</v>
      </c>
      <c r="E71" s="86"/>
      <c r="F71" s="88">
        <f t="shared" si="34"/>
        <v>2031</v>
      </c>
      <c r="G71" s="41">
        <v>0.02</v>
      </c>
      <c r="H71" s="41"/>
      <c r="I71" s="86"/>
      <c r="J71" s="88">
        <f t="shared" si="35"/>
        <v>2040</v>
      </c>
      <c r="K71" s="88"/>
      <c r="L71" s="41">
        <v>2.1000000000000001E-2</v>
      </c>
    </row>
    <row r="72" spans="3:15" s="124" customFormat="1">
      <c r="C72" s="88">
        <f t="shared" si="33"/>
        <v>2023</v>
      </c>
      <c r="D72" s="41">
        <v>2.4E-2</v>
      </c>
      <c r="E72" s="87"/>
      <c r="F72" s="88">
        <f t="shared" si="34"/>
        <v>2032</v>
      </c>
      <c r="G72" s="41">
        <v>0.02</v>
      </c>
      <c r="H72" s="41"/>
      <c r="I72" s="87"/>
      <c r="J72" s="88">
        <f t="shared" si="35"/>
        <v>2041</v>
      </c>
      <c r="K72" s="88"/>
      <c r="L72" s="41">
        <v>2.1999999999999999E-2</v>
      </c>
      <c r="O72" s="176"/>
    </row>
    <row r="73" spans="3:15" s="124" customFormat="1">
      <c r="C73" s="88">
        <f t="shared" si="33"/>
        <v>2024</v>
      </c>
      <c r="D73" s="41">
        <v>2.3E-2</v>
      </c>
      <c r="E73" s="87"/>
      <c r="F73" s="88">
        <f t="shared" si="34"/>
        <v>2033</v>
      </c>
      <c r="G73" s="41">
        <v>0.02</v>
      </c>
      <c r="H73" s="41"/>
      <c r="I73" s="87"/>
      <c r="J73" s="88">
        <f t="shared" si="35"/>
        <v>2042</v>
      </c>
      <c r="K73" s="88"/>
      <c r="L73" s="41">
        <v>2.1999999999999999E-2</v>
      </c>
      <c r="O73" s="176"/>
    </row>
    <row r="74" spans="3:15" s="124" customFormat="1">
      <c r="C74" s="88">
        <f t="shared" si="33"/>
        <v>2025</v>
      </c>
      <c r="D74" s="41">
        <v>2.3E-2</v>
      </c>
      <c r="E74" s="87"/>
      <c r="F74" s="88">
        <f t="shared" si="34"/>
        <v>2034</v>
      </c>
      <c r="G74" s="41">
        <v>0.02</v>
      </c>
      <c r="H74" s="41"/>
      <c r="I74" s="87"/>
      <c r="J74" s="88">
        <f t="shared" si="35"/>
        <v>2043</v>
      </c>
      <c r="K74" s="88"/>
      <c r="L74" s="41">
        <v>2.1999999999999999E-2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4" width="9.33203125" style="122"/>
    <col min="15" max="15" width="9.33203125" style="173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116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7" t="s">
        <v>120</v>
      </c>
      <c r="I5" s="126" t="s">
        <v>70</v>
      </c>
      <c r="J5" s="126" t="s">
        <v>88</v>
      </c>
      <c r="K5" s="17" t="s">
        <v>55</v>
      </c>
      <c r="L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F11+I11+G11+H11</f>
        <v>10.713653357219197</v>
      </c>
      <c r="K11" s="135">
        <f t="shared" ref="K11:K36" si="2">ROUND(J11*$C$63*8.76,2)</f>
        <v>36.409999999999997</v>
      </c>
      <c r="L11" s="133">
        <f>$C$57</f>
        <v>0.58600709999999989</v>
      </c>
      <c r="O11" s="174"/>
    </row>
    <row r="12" spans="2:18">
      <c r="B12" s="141">
        <f t="shared" si="0"/>
        <v>2018</v>
      </c>
      <c r="C12" s="142"/>
      <c r="D12" s="133"/>
      <c r="E12" s="133">
        <f t="shared" ref="D12:H19" si="3">ROUND(E11*(1+$D67),2)</f>
        <v>26.9</v>
      </c>
      <c r="F12" s="135">
        <f t="shared" si="1"/>
        <v>7.9152845622677361</v>
      </c>
      <c r="G12" s="133">
        <f t="shared" si="3"/>
        <v>1.21</v>
      </c>
      <c r="H12" s="133">
        <f t="shared" si="3"/>
        <v>1.84</v>
      </c>
      <c r="I12" s="133"/>
      <c r="J12" s="135">
        <f t="shared" ref="J12:J36" si="4">F12+I12+G12+H12</f>
        <v>10.965284562267737</v>
      </c>
      <c r="K12" s="135">
        <f t="shared" si="2"/>
        <v>37.270000000000003</v>
      </c>
      <c r="L12" s="133">
        <f t="shared" ref="L12:L19" si="5">ROUND(L11*(1+$D67),2)</f>
        <v>0.6</v>
      </c>
      <c r="M12" s="124"/>
      <c r="O12" s="174"/>
    </row>
    <row r="13" spans="2:18">
      <c r="B13" s="141">
        <f t="shared" si="0"/>
        <v>2019</v>
      </c>
      <c r="C13" s="142"/>
      <c r="D13" s="133"/>
      <c r="E13" s="133">
        <f t="shared" si="3"/>
        <v>27.49</v>
      </c>
      <c r="F13" s="135">
        <f t="shared" si="1"/>
        <v>8.0888911753434964</v>
      </c>
      <c r="G13" s="133">
        <f t="shared" si="3"/>
        <v>1.24</v>
      </c>
      <c r="H13" s="133">
        <f t="shared" si="3"/>
        <v>1.88</v>
      </c>
      <c r="I13" s="133"/>
      <c r="J13" s="135">
        <f t="shared" si="4"/>
        <v>11.208891175343496</v>
      </c>
      <c r="K13" s="135">
        <f t="shared" si="2"/>
        <v>38.090000000000003</v>
      </c>
      <c r="L13" s="133">
        <f t="shared" si="5"/>
        <v>0.61</v>
      </c>
      <c r="M13" s="124"/>
      <c r="O13" s="174"/>
    </row>
    <row r="14" spans="2:18">
      <c r="B14" s="141">
        <f t="shared" si="0"/>
        <v>2020</v>
      </c>
      <c r="C14" s="142"/>
      <c r="D14" s="133"/>
      <c r="E14" s="133">
        <f t="shared" si="3"/>
        <v>28.18</v>
      </c>
      <c r="F14" s="135">
        <f t="shared" si="1"/>
        <v>8.2919226380931157</v>
      </c>
      <c r="G14" s="133">
        <f t="shared" si="3"/>
        <v>1.27</v>
      </c>
      <c r="H14" s="133">
        <f t="shared" si="3"/>
        <v>1.93</v>
      </c>
      <c r="I14" s="133"/>
      <c r="J14" s="135">
        <f t="shared" si="4"/>
        <v>11.491922638093115</v>
      </c>
      <c r="K14" s="135">
        <f t="shared" si="2"/>
        <v>39.06</v>
      </c>
      <c r="L14" s="133">
        <f t="shared" si="5"/>
        <v>0.63</v>
      </c>
      <c r="M14" s="124"/>
      <c r="O14" s="174"/>
      <c r="P14" s="138"/>
      <c r="Q14" s="139"/>
      <c r="R14" s="140"/>
    </row>
    <row r="15" spans="2:18">
      <c r="B15" s="141">
        <f t="shared" si="0"/>
        <v>2021</v>
      </c>
      <c r="C15" s="142">
        <f>$C$55</f>
        <v>1288.7722600288894</v>
      </c>
      <c r="D15" s="133">
        <f>C15*$C$62</f>
        <v>68.098089995789152</v>
      </c>
      <c r="E15" s="133">
        <f t="shared" si="3"/>
        <v>28.86</v>
      </c>
      <c r="F15" s="135">
        <f t="shared" si="1"/>
        <v>28.529772227904676</v>
      </c>
      <c r="G15" s="133">
        <f t="shared" si="3"/>
        <v>1.3</v>
      </c>
      <c r="H15" s="133">
        <f t="shared" si="3"/>
        <v>1.98</v>
      </c>
      <c r="I15" s="133">
        <v>-34.479999999999997</v>
      </c>
      <c r="J15" s="135">
        <f t="shared" si="4"/>
        <v>-2.6702277720953211</v>
      </c>
      <c r="K15" s="135">
        <f t="shared" si="2"/>
        <v>-9.07</v>
      </c>
      <c r="L15" s="133">
        <f t="shared" si="5"/>
        <v>0.65</v>
      </c>
      <c r="M15" s="124"/>
      <c r="O15" s="174"/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69.73</v>
      </c>
      <c r="E16" s="133">
        <f t="shared" si="3"/>
        <v>29.55</v>
      </c>
      <c r="F16" s="135">
        <f t="shared" si="1"/>
        <v>29.212990756205983</v>
      </c>
      <c r="G16" s="133">
        <f t="shared" si="3"/>
        <v>1.33</v>
      </c>
      <c r="H16" s="133">
        <f t="shared" si="3"/>
        <v>2.0299999999999998</v>
      </c>
      <c r="I16" s="133">
        <v>-34.479999999999997</v>
      </c>
      <c r="J16" s="135">
        <f t="shared" si="4"/>
        <v>-1.9070092437940143</v>
      </c>
      <c r="K16" s="135">
        <f t="shared" si="2"/>
        <v>-6.48</v>
      </c>
      <c r="L16" s="133">
        <f t="shared" si="5"/>
        <v>0.67</v>
      </c>
      <c r="M16" s="124"/>
      <c r="O16" s="174"/>
    </row>
    <row r="17" spans="2:17">
      <c r="B17" s="141">
        <f t="shared" si="0"/>
        <v>2023</v>
      </c>
      <c r="C17" s="142"/>
      <c r="D17" s="133">
        <f t="shared" si="3"/>
        <v>71.400000000000006</v>
      </c>
      <c r="E17" s="133">
        <f t="shared" si="3"/>
        <v>30.26</v>
      </c>
      <c r="F17" s="135">
        <f t="shared" si="1"/>
        <v>29.9133021784438</v>
      </c>
      <c r="G17" s="133">
        <f t="shared" si="3"/>
        <v>1.36</v>
      </c>
      <c r="H17" s="133">
        <f t="shared" si="3"/>
        <v>2.08</v>
      </c>
      <c r="I17" s="133">
        <v>-35.799999999999997</v>
      </c>
      <c r="J17" s="135">
        <f t="shared" si="4"/>
        <v>-2.4466978215561968</v>
      </c>
      <c r="K17" s="135">
        <f t="shared" si="2"/>
        <v>-8.32</v>
      </c>
      <c r="L17" s="133">
        <f t="shared" si="5"/>
        <v>0.69</v>
      </c>
      <c r="M17" s="124"/>
      <c r="O17" s="174"/>
      <c r="P17" s="138"/>
    </row>
    <row r="18" spans="2:17">
      <c r="B18" s="141">
        <f t="shared" si="0"/>
        <v>2024</v>
      </c>
      <c r="C18" s="142"/>
      <c r="D18" s="133">
        <f t="shared" si="3"/>
        <v>73.040000000000006</v>
      </c>
      <c r="E18" s="133">
        <f t="shared" si="3"/>
        <v>30.96</v>
      </c>
      <c r="F18" s="135">
        <f t="shared" si="1"/>
        <v>30.601843660812065</v>
      </c>
      <c r="G18" s="133">
        <f t="shared" si="3"/>
        <v>1.39</v>
      </c>
      <c r="H18" s="133">
        <f t="shared" si="3"/>
        <v>2.13</v>
      </c>
      <c r="I18" s="133">
        <v>-35.799999999999997</v>
      </c>
      <c r="J18" s="135">
        <f t="shared" si="4"/>
        <v>-1.6781563391879324</v>
      </c>
      <c r="K18" s="135">
        <f t="shared" si="2"/>
        <v>-5.7</v>
      </c>
      <c r="L18" s="133">
        <f t="shared" si="5"/>
        <v>0.71</v>
      </c>
      <c r="M18" s="124"/>
      <c r="O18" s="174"/>
    </row>
    <row r="19" spans="2:17">
      <c r="B19" s="141">
        <f t="shared" si="0"/>
        <v>2025</v>
      </c>
      <c r="C19" s="142"/>
      <c r="D19" s="133">
        <f t="shared" si="3"/>
        <v>74.72</v>
      </c>
      <c r="E19" s="133">
        <f t="shared" si="3"/>
        <v>31.67</v>
      </c>
      <c r="F19" s="135">
        <f t="shared" si="1"/>
        <v>31.305097568017267</v>
      </c>
      <c r="G19" s="133">
        <f t="shared" si="3"/>
        <v>1.42</v>
      </c>
      <c r="H19" s="133">
        <f t="shared" si="3"/>
        <v>2.1800000000000002</v>
      </c>
      <c r="I19" s="133">
        <v>-37.130000000000003</v>
      </c>
      <c r="J19" s="135">
        <f t="shared" si="4"/>
        <v>-2.2249024319827355</v>
      </c>
      <c r="K19" s="135">
        <f t="shared" si="2"/>
        <v>-7.56</v>
      </c>
      <c r="L19" s="133">
        <f t="shared" si="5"/>
        <v>0.73</v>
      </c>
      <c r="M19" s="124"/>
      <c r="O19" s="174"/>
    </row>
    <row r="20" spans="2:17">
      <c r="B20" s="141">
        <f t="shared" si="0"/>
        <v>2026</v>
      </c>
      <c r="C20" s="142"/>
      <c r="D20" s="133">
        <f>ROUND(D19*(1+$G66),2)</f>
        <v>76.36</v>
      </c>
      <c r="E20" s="133">
        <f>ROUND(E19*(1+$G66),2)</f>
        <v>32.369999999999997</v>
      </c>
      <c r="F20" s="135">
        <f t="shared" si="1"/>
        <v>31.993639050385536</v>
      </c>
      <c r="G20" s="133">
        <f>ROUND(G19*(1+$G66),2)</f>
        <v>1.45</v>
      </c>
      <c r="H20" s="133">
        <f>ROUND(H19*(1+$G66),2)</f>
        <v>2.23</v>
      </c>
      <c r="I20" s="133">
        <v>-37.130000000000003</v>
      </c>
      <c r="J20" s="135">
        <f t="shared" si="4"/>
        <v>-1.4563609496144667</v>
      </c>
      <c r="K20" s="135">
        <f t="shared" si="2"/>
        <v>-4.95</v>
      </c>
      <c r="L20" s="133">
        <f>ROUND(L19*(1+$G66),2)</f>
        <v>0.75</v>
      </c>
      <c r="M20" s="124"/>
      <c r="O20" s="174"/>
      <c r="Q20" s="171"/>
    </row>
    <row r="21" spans="2:17">
      <c r="B21" s="141">
        <f t="shared" si="0"/>
        <v>2027</v>
      </c>
      <c r="C21" s="142"/>
      <c r="D21" s="133">
        <f t="shared" ref="D21:H28" si="6">ROUND(D20*(1+$G67),2)</f>
        <v>78.040000000000006</v>
      </c>
      <c r="E21" s="133">
        <f t="shared" si="6"/>
        <v>33.08</v>
      </c>
      <c r="F21" s="135">
        <f t="shared" si="1"/>
        <v>32.696892957590741</v>
      </c>
      <c r="G21" s="133">
        <f t="shared" si="6"/>
        <v>1.48</v>
      </c>
      <c r="H21" s="133">
        <f t="shared" si="6"/>
        <v>2.2799999999999998</v>
      </c>
      <c r="I21" s="133">
        <v>-38.450000000000003</v>
      </c>
      <c r="J21" s="135">
        <f t="shared" si="4"/>
        <v>-1.9931070424092616</v>
      </c>
      <c r="K21" s="135">
        <f t="shared" si="2"/>
        <v>-6.77</v>
      </c>
      <c r="L21" s="133">
        <f t="shared" ref="L21:L28" si="7">ROUND(L20*(1+$G67),2)</f>
        <v>0.77</v>
      </c>
      <c r="M21" s="124"/>
      <c r="O21" s="174"/>
    </row>
    <row r="22" spans="2:17">
      <c r="B22" s="141">
        <f t="shared" si="0"/>
        <v>2028</v>
      </c>
      <c r="C22" s="142"/>
      <c r="D22" s="133">
        <f t="shared" si="6"/>
        <v>79.760000000000005</v>
      </c>
      <c r="E22" s="133">
        <f t="shared" si="6"/>
        <v>33.81</v>
      </c>
      <c r="F22" s="135">
        <f t="shared" si="1"/>
        <v>33.417801774600257</v>
      </c>
      <c r="G22" s="133">
        <f t="shared" si="6"/>
        <v>1.51</v>
      </c>
      <c r="H22" s="133">
        <f t="shared" si="6"/>
        <v>2.33</v>
      </c>
      <c r="I22" s="133">
        <v>-38.450000000000003</v>
      </c>
      <c r="J22" s="135">
        <f t="shared" si="4"/>
        <v>-1.1921982253997463</v>
      </c>
      <c r="K22" s="135">
        <f t="shared" si="2"/>
        <v>-4.05</v>
      </c>
      <c r="L22" s="133">
        <f t="shared" si="7"/>
        <v>0.79</v>
      </c>
      <c r="M22" s="124"/>
      <c r="O22" s="174"/>
    </row>
    <row r="23" spans="2:17">
      <c r="B23" s="141">
        <f t="shared" si="0"/>
        <v>2029</v>
      </c>
      <c r="C23" s="142"/>
      <c r="D23" s="133">
        <f t="shared" si="6"/>
        <v>81.430000000000007</v>
      </c>
      <c r="E23" s="133">
        <f t="shared" si="6"/>
        <v>34.520000000000003</v>
      </c>
      <c r="F23" s="135">
        <f t="shared" si="1"/>
        <v>34.118113196838074</v>
      </c>
      <c r="G23" s="133">
        <f t="shared" si="6"/>
        <v>1.54</v>
      </c>
      <c r="H23" s="133">
        <f t="shared" si="6"/>
        <v>2.38</v>
      </c>
      <c r="I23" s="133">
        <v>-39.78</v>
      </c>
      <c r="J23" s="135">
        <f t="shared" si="4"/>
        <v>-1.7418868031619272</v>
      </c>
      <c r="K23" s="135">
        <f t="shared" si="2"/>
        <v>-5.92</v>
      </c>
      <c r="L23" s="133">
        <f t="shared" si="7"/>
        <v>0.81</v>
      </c>
      <c r="M23" s="124"/>
      <c r="O23" s="174"/>
    </row>
    <row r="24" spans="2:17">
      <c r="B24" s="141">
        <f t="shared" si="0"/>
        <v>2030</v>
      </c>
      <c r="C24" s="142"/>
      <c r="D24" s="133">
        <f t="shared" si="6"/>
        <v>83.06</v>
      </c>
      <c r="E24" s="133">
        <f t="shared" si="6"/>
        <v>35.21</v>
      </c>
      <c r="F24" s="135">
        <f t="shared" si="1"/>
        <v>34.80076970927157</v>
      </c>
      <c r="G24" s="133">
        <f t="shared" si="6"/>
        <v>1.57</v>
      </c>
      <c r="H24" s="133">
        <f t="shared" si="6"/>
        <v>2.4300000000000002</v>
      </c>
      <c r="I24" s="133">
        <v>-41.11</v>
      </c>
      <c r="J24" s="135">
        <f t="shared" si="4"/>
        <v>-2.3092302907284288</v>
      </c>
      <c r="K24" s="135">
        <f t="shared" si="2"/>
        <v>-7.85</v>
      </c>
      <c r="L24" s="133">
        <f t="shared" si="7"/>
        <v>0.83</v>
      </c>
      <c r="M24" s="124"/>
      <c r="O24" s="174"/>
    </row>
    <row r="25" spans="2:17">
      <c r="B25" s="141">
        <f t="shared" si="0"/>
        <v>2031</v>
      </c>
      <c r="C25" s="142"/>
      <c r="D25" s="133">
        <f t="shared" si="6"/>
        <v>84.72</v>
      </c>
      <c r="E25" s="133">
        <f t="shared" si="6"/>
        <v>35.909999999999997</v>
      </c>
      <c r="F25" s="135">
        <f t="shared" si="1"/>
        <v>35.495196161574611</v>
      </c>
      <c r="G25" s="133">
        <f t="shared" si="6"/>
        <v>1.6</v>
      </c>
      <c r="H25" s="133">
        <f t="shared" si="6"/>
        <v>2.48</v>
      </c>
      <c r="I25" s="133"/>
      <c r="J25" s="135">
        <f t="shared" si="4"/>
        <v>39.57519616157461</v>
      </c>
      <c r="K25" s="135">
        <f t="shared" si="2"/>
        <v>134.5</v>
      </c>
      <c r="L25" s="133">
        <f t="shared" si="7"/>
        <v>0.85</v>
      </c>
      <c r="M25" s="124"/>
      <c r="O25" s="174"/>
    </row>
    <row r="26" spans="2:17">
      <c r="B26" s="141">
        <f t="shared" si="0"/>
        <v>2032</v>
      </c>
      <c r="C26" s="142"/>
      <c r="D26" s="133">
        <f t="shared" si="6"/>
        <v>86.41</v>
      </c>
      <c r="E26" s="133">
        <f t="shared" si="6"/>
        <v>36.630000000000003</v>
      </c>
      <c r="F26" s="135">
        <f t="shared" si="1"/>
        <v>36.204335038714582</v>
      </c>
      <c r="G26" s="133">
        <f t="shared" si="6"/>
        <v>1.63</v>
      </c>
      <c r="H26" s="133">
        <f t="shared" si="6"/>
        <v>2.5299999999999998</v>
      </c>
      <c r="I26" s="133"/>
      <c r="J26" s="135">
        <f t="shared" si="4"/>
        <v>40.364335038714586</v>
      </c>
      <c r="K26" s="135">
        <f t="shared" si="2"/>
        <v>137.18</v>
      </c>
      <c r="L26" s="133">
        <f t="shared" si="7"/>
        <v>0.87</v>
      </c>
      <c r="M26" s="124"/>
      <c r="O26" s="174"/>
    </row>
    <row r="27" spans="2:17">
      <c r="B27" s="141">
        <f t="shared" si="0"/>
        <v>2033</v>
      </c>
      <c r="C27" s="142"/>
      <c r="D27" s="133">
        <f t="shared" si="6"/>
        <v>88.14</v>
      </c>
      <c r="E27" s="133">
        <f t="shared" si="6"/>
        <v>37.36</v>
      </c>
      <c r="F27" s="135">
        <f t="shared" si="1"/>
        <v>36.928186340691482</v>
      </c>
      <c r="G27" s="133">
        <f t="shared" si="6"/>
        <v>1.66</v>
      </c>
      <c r="H27" s="133">
        <f t="shared" si="6"/>
        <v>2.58</v>
      </c>
      <c r="I27" s="133"/>
      <c r="J27" s="135">
        <f t="shared" si="4"/>
        <v>41.168186340691477</v>
      </c>
      <c r="K27" s="135">
        <f t="shared" si="2"/>
        <v>139.91</v>
      </c>
      <c r="L27" s="133">
        <f t="shared" si="7"/>
        <v>0.89</v>
      </c>
      <c r="M27" s="124"/>
      <c r="O27" s="174"/>
    </row>
    <row r="28" spans="2:17">
      <c r="B28" s="141">
        <f t="shared" si="0"/>
        <v>2034</v>
      </c>
      <c r="C28" s="142"/>
      <c r="D28" s="133">
        <f t="shared" si="6"/>
        <v>89.9</v>
      </c>
      <c r="E28" s="133">
        <f t="shared" si="6"/>
        <v>38.11</v>
      </c>
      <c r="F28" s="135">
        <f t="shared" si="1"/>
        <v>37.666750067505312</v>
      </c>
      <c r="G28" s="133">
        <f t="shared" si="6"/>
        <v>1.69</v>
      </c>
      <c r="H28" s="133">
        <f t="shared" si="6"/>
        <v>2.63</v>
      </c>
      <c r="I28" s="133"/>
      <c r="J28" s="135">
        <f t="shared" si="4"/>
        <v>41.986750067505312</v>
      </c>
      <c r="K28" s="135">
        <f t="shared" si="2"/>
        <v>142.69</v>
      </c>
      <c r="L28" s="133">
        <f t="shared" si="7"/>
        <v>0.91</v>
      </c>
      <c r="M28" s="124"/>
      <c r="O28" s="174"/>
    </row>
    <row r="29" spans="2:17">
      <c r="B29" s="141">
        <f t="shared" si="0"/>
        <v>2035</v>
      </c>
      <c r="C29" s="142"/>
      <c r="D29" s="133">
        <f>ROUND(D28*(1+$L66),2)</f>
        <v>91.7</v>
      </c>
      <c r="E29" s="133">
        <f>ROUND(E28*(1+$L66),2)</f>
        <v>38.869999999999997</v>
      </c>
      <c r="F29" s="135">
        <f t="shared" si="1"/>
        <v>38.420026219156071</v>
      </c>
      <c r="G29" s="133">
        <f>ROUND(G28*(1+$L66),2)</f>
        <v>1.72</v>
      </c>
      <c r="H29" s="133">
        <f>ROUND(H28*(1+$L66),2)</f>
        <v>2.68</v>
      </c>
      <c r="I29" s="133"/>
      <c r="J29" s="135">
        <f t="shared" si="4"/>
        <v>42.82002621915607</v>
      </c>
      <c r="K29" s="135">
        <f t="shared" si="2"/>
        <v>145.52000000000001</v>
      </c>
      <c r="L29" s="133">
        <f>ROUND(L28*(1+$L66),2)</f>
        <v>0.93</v>
      </c>
      <c r="M29" s="124"/>
      <c r="O29" s="174"/>
    </row>
    <row r="30" spans="2:17">
      <c r="B30" s="141">
        <f t="shared" si="0"/>
        <v>2036</v>
      </c>
      <c r="C30" s="142"/>
      <c r="D30" s="133">
        <f t="shared" ref="D30:H36" si="8">ROUND(D29*(1+$L67),2)</f>
        <v>93.53</v>
      </c>
      <c r="E30" s="133">
        <f t="shared" si="8"/>
        <v>39.65</v>
      </c>
      <c r="F30" s="135">
        <f t="shared" si="1"/>
        <v>39.18801479564376</v>
      </c>
      <c r="G30" s="133">
        <f t="shared" si="8"/>
        <v>1.75</v>
      </c>
      <c r="H30" s="133">
        <f t="shared" si="8"/>
        <v>2.73</v>
      </c>
      <c r="I30" s="133"/>
      <c r="J30" s="135">
        <f t="shared" si="4"/>
        <v>43.668014795643757</v>
      </c>
      <c r="K30" s="135">
        <f t="shared" si="2"/>
        <v>148.41</v>
      </c>
      <c r="L30" s="133">
        <f t="shared" ref="L30:L36" si="9">ROUND(L29*(1+$L67),2)</f>
        <v>0.95</v>
      </c>
      <c r="M30" s="124"/>
      <c r="O30" s="174"/>
    </row>
    <row r="31" spans="2:17">
      <c r="B31" s="141">
        <f t="shared" si="0"/>
        <v>2037</v>
      </c>
      <c r="C31" s="142"/>
      <c r="D31" s="133">
        <f t="shared" si="8"/>
        <v>95.49</v>
      </c>
      <c r="E31" s="133">
        <f t="shared" si="8"/>
        <v>40.479999999999997</v>
      </c>
      <c r="F31" s="135">
        <f t="shared" si="1"/>
        <v>40.00896810154439</v>
      </c>
      <c r="G31" s="133">
        <f t="shared" si="8"/>
        <v>1.79</v>
      </c>
      <c r="H31" s="133">
        <f t="shared" si="8"/>
        <v>2.79</v>
      </c>
      <c r="I31" s="133"/>
      <c r="J31" s="135">
        <f t="shared" si="4"/>
        <v>44.588968101544388</v>
      </c>
      <c r="K31" s="135">
        <f t="shared" si="2"/>
        <v>151.54</v>
      </c>
      <c r="L31" s="133">
        <f t="shared" si="9"/>
        <v>0.97</v>
      </c>
      <c r="M31" s="124"/>
      <c r="O31" s="174"/>
    </row>
    <row r="32" spans="2:17">
      <c r="B32" s="141">
        <f t="shared" si="0"/>
        <v>2038</v>
      </c>
      <c r="C32" s="142"/>
      <c r="D32" s="133">
        <f t="shared" si="8"/>
        <v>97.5</v>
      </c>
      <c r="E32" s="133">
        <f t="shared" si="8"/>
        <v>41.33</v>
      </c>
      <c r="F32" s="135">
        <f t="shared" si="1"/>
        <v>40.850518802216719</v>
      </c>
      <c r="G32" s="133">
        <f t="shared" si="8"/>
        <v>1.83</v>
      </c>
      <c r="H32" s="133">
        <f t="shared" si="8"/>
        <v>2.85</v>
      </c>
      <c r="I32" s="133"/>
      <c r="J32" s="135">
        <f t="shared" si="4"/>
        <v>45.530518802216719</v>
      </c>
      <c r="K32" s="135">
        <f t="shared" si="2"/>
        <v>154.72999999999999</v>
      </c>
      <c r="L32" s="133">
        <f t="shared" si="9"/>
        <v>0.99</v>
      </c>
      <c r="M32" s="124"/>
      <c r="O32" s="174"/>
    </row>
    <row r="33" spans="2:15">
      <c r="B33" s="141">
        <f t="shared" si="0"/>
        <v>2039</v>
      </c>
      <c r="C33" s="142"/>
      <c r="D33" s="133">
        <f t="shared" si="8"/>
        <v>99.55</v>
      </c>
      <c r="E33" s="133">
        <f t="shared" si="8"/>
        <v>42.2</v>
      </c>
      <c r="F33" s="135">
        <f t="shared" si="1"/>
        <v>41.709724412693369</v>
      </c>
      <c r="G33" s="133">
        <f t="shared" si="8"/>
        <v>1.87</v>
      </c>
      <c r="H33" s="133">
        <f t="shared" si="8"/>
        <v>2.91</v>
      </c>
      <c r="I33" s="133"/>
      <c r="J33" s="135">
        <f t="shared" si="4"/>
        <v>46.489724412693363</v>
      </c>
      <c r="K33" s="135">
        <f t="shared" si="2"/>
        <v>157.99</v>
      </c>
      <c r="L33" s="133">
        <f t="shared" si="9"/>
        <v>1.01</v>
      </c>
      <c r="M33" s="124"/>
      <c r="O33" s="174"/>
    </row>
    <row r="34" spans="2:15">
      <c r="B34" s="141">
        <f t="shared" si="0"/>
        <v>2040</v>
      </c>
      <c r="C34" s="142"/>
      <c r="D34" s="133">
        <f t="shared" si="8"/>
        <v>101.64</v>
      </c>
      <c r="E34" s="133">
        <f t="shared" si="8"/>
        <v>43.09</v>
      </c>
      <c r="F34" s="135">
        <f t="shared" si="1"/>
        <v>42.58658493297434</v>
      </c>
      <c r="G34" s="133">
        <f t="shared" si="8"/>
        <v>1.91</v>
      </c>
      <c r="H34" s="133">
        <f t="shared" si="8"/>
        <v>2.97</v>
      </c>
      <c r="I34" s="133"/>
      <c r="J34" s="135">
        <f t="shared" si="4"/>
        <v>47.466584932974335</v>
      </c>
      <c r="K34" s="135">
        <f t="shared" si="2"/>
        <v>161.31</v>
      </c>
      <c r="L34" s="133">
        <f t="shared" si="9"/>
        <v>1.03</v>
      </c>
      <c r="M34" s="124"/>
      <c r="O34" s="174"/>
    </row>
    <row r="35" spans="2:15">
      <c r="B35" s="141">
        <f t="shared" si="0"/>
        <v>2041</v>
      </c>
      <c r="C35" s="142"/>
      <c r="D35" s="133">
        <f t="shared" si="8"/>
        <v>103.88</v>
      </c>
      <c r="E35" s="133">
        <f t="shared" si="8"/>
        <v>44.04</v>
      </c>
      <c r="F35" s="135">
        <f t="shared" si="1"/>
        <v>43.525237637570392</v>
      </c>
      <c r="G35" s="133">
        <f t="shared" si="8"/>
        <v>1.95</v>
      </c>
      <c r="H35" s="133">
        <f t="shared" si="8"/>
        <v>3.04</v>
      </c>
      <c r="I35" s="133"/>
      <c r="J35" s="135">
        <f t="shared" si="4"/>
        <v>48.515237637570394</v>
      </c>
      <c r="K35" s="135">
        <f t="shared" si="2"/>
        <v>164.88</v>
      </c>
      <c r="L35" s="133">
        <f t="shared" si="9"/>
        <v>1.05</v>
      </c>
      <c r="M35" s="124"/>
      <c r="O35" s="174"/>
    </row>
    <row r="36" spans="2:15">
      <c r="B36" s="141">
        <f t="shared" si="0"/>
        <v>2042</v>
      </c>
      <c r="C36" s="142"/>
      <c r="D36" s="133">
        <f t="shared" si="8"/>
        <v>106.17</v>
      </c>
      <c r="E36" s="133">
        <f t="shared" si="8"/>
        <v>45.01</v>
      </c>
      <c r="F36" s="135">
        <f t="shared" si="1"/>
        <v>44.484487736938156</v>
      </c>
      <c r="G36" s="133">
        <f t="shared" si="8"/>
        <v>1.99</v>
      </c>
      <c r="H36" s="133">
        <f t="shared" si="8"/>
        <v>3.11</v>
      </c>
      <c r="I36" s="133"/>
      <c r="J36" s="135">
        <f t="shared" si="4"/>
        <v>49.584487736938158</v>
      </c>
      <c r="K36" s="135">
        <f t="shared" si="2"/>
        <v>168.51</v>
      </c>
      <c r="L36" s="133">
        <f t="shared" si="9"/>
        <v>1.07</v>
      </c>
      <c r="M36" s="124"/>
      <c r="O36" s="174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72</v>
      </c>
      <c r="C44" s="147" t="s">
        <v>73</v>
      </c>
      <c r="D44" s="148" t="str">
        <f>'Table 3 EV2020 Wind_2020'!D44</f>
        <v>Plant Costs  - 2017 IRP Update - Table 5.4 &amp; 5.5</v>
      </c>
    </row>
    <row r="45" spans="2:15">
      <c r="C45" s="147" t="str">
        <f>C7</f>
        <v>(a)</v>
      </c>
      <c r="D45" s="122" t="s">
        <v>74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118</v>
      </c>
      <c r="C55" s="186">
        <v>1288.7722600288894</v>
      </c>
      <c r="D55" s="122" t="s">
        <v>74</v>
      </c>
      <c r="I55" s="122" t="s">
        <v>9</v>
      </c>
    </row>
    <row r="56" spans="2:24">
      <c r="B56" s="86" t="s">
        <v>111</v>
      </c>
      <c r="C56" s="155">
        <v>26.293898611068769</v>
      </c>
      <c r="D56" s="122" t="s">
        <v>77</v>
      </c>
      <c r="I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I57" s="122" t="s">
        <v>79</v>
      </c>
    </row>
    <row r="58" spans="2:24">
      <c r="B58" s="86" t="s">
        <v>111</v>
      </c>
      <c r="C58" s="155">
        <v>1.1816399331260157</v>
      </c>
      <c r="D58" s="122" t="s">
        <v>78</v>
      </c>
      <c r="I58" s="122" t="s">
        <v>79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>
        <v>-12.501261943267853</v>
      </c>
      <c r="D59" s="122" t="s">
        <v>80</v>
      </c>
      <c r="I59" s="122" t="s">
        <v>79</v>
      </c>
      <c r="J59" s="221" t="s">
        <v>115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111</v>
      </c>
      <c r="C60" s="160">
        <v>1.7950732843896238</v>
      </c>
      <c r="D60" s="122" t="s">
        <v>114</v>
      </c>
      <c r="I60" s="122" t="s">
        <v>79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187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41"/>
      <c r="I66" s="86"/>
      <c r="J66" s="88">
        <f>F74+1</f>
        <v>2035</v>
      </c>
      <c r="K66" s="88"/>
      <c r="L66" s="41">
        <v>0.02</v>
      </c>
    </row>
    <row r="67" spans="3:15">
      <c r="C67" s="88">
        <f t="shared" ref="C67:C74" si="10">C66+1</f>
        <v>2018</v>
      </c>
      <c r="D67" s="41">
        <v>2.3E-2</v>
      </c>
      <c r="E67" s="86"/>
      <c r="F67" s="88">
        <f t="shared" ref="F67:F74" si="11">F66+1</f>
        <v>2027</v>
      </c>
      <c r="G67" s="41">
        <v>2.1999999999999999E-2</v>
      </c>
      <c r="H67" s="41"/>
      <c r="I67" s="86"/>
      <c r="J67" s="88">
        <f t="shared" ref="J67:J74" si="12">J66+1</f>
        <v>2036</v>
      </c>
      <c r="K67" s="88"/>
      <c r="L67" s="41">
        <v>0.02</v>
      </c>
    </row>
    <row r="68" spans="3:15">
      <c r="C68" s="88">
        <f t="shared" si="10"/>
        <v>2019</v>
      </c>
      <c r="D68" s="41">
        <v>2.1999999999999999E-2</v>
      </c>
      <c r="E68" s="86"/>
      <c r="F68" s="88">
        <f t="shared" si="11"/>
        <v>2028</v>
      </c>
      <c r="G68" s="41">
        <v>2.1999999999999999E-2</v>
      </c>
      <c r="H68" s="41"/>
      <c r="I68" s="86"/>
      <c r="J68" s="88">
        <f t="shared" si="12"/>
        <v>2037</v>
      </c>
      <c r="K68" s="88"/>
      <c r="L68" s="41">
        <v>2.1000000000000001E-2</v>
      </c>
    </row>
    <row r="69" spans="3:15">
      <c r="C69" s="88">
        <f t="shared" si="10"/>
        <v>2020</v>
      </c>
      <c r="D69" s="41">
        <v>2.5000000000000001E-2</v>
      </c>
      <c r="E69" s="86"/>
      <c r="F69" s="88">
        <f t="shared" si="11"/>
        <v>2029</v>
      </c>
      <c r="G69" s="41">
        <v>2.1000000000000001E-2</v>
      </c>
      <c r="H69" s="41"/>
      <c r="I69" s="86"/>
      <c r="J69" s="88">
        <f t="shared" si="12"/>
        <v>2038</v>
      </c>
      <c r="K69" s="88"/>
      <c r="L69" s="41">
        <v>2.1000000000000001E-2</v>
      </c>
    </row>
    <row r="70" spans="3:15">
      <c r="C70" s="88">
        <f t="shared" si="10"/>
        <v>2021</v>
      </c>
      <c r="D70" s="41">
        <v>2.4E-2</v>
      </c>
      <c r="E70" s="86"/>
      <c r="F70" s="88">
        <f t="shared" si="11"/>
        <v>2030</v>
      </c>
      <c r="G70" s="41">
        <v>0.02</v>
      </c>
      <c r="H70" s="41"/>
      <c r="I70" s="86"/>
      <c r="J70" s="88">
        <f t="shared" si="12"/>
        <v>2039</v>
      </c>
      <c r="K70" s="88"/>
      <c r="L70" s="41">
        <v>2.1000000000000001E-2</v>
      </c>
    </row>
    <row r="71" spans="3:15">
      <c r="C71" s="88">
        <f t="shared" si="10"/>
        <v>2022</v>
      </c>
      <c r="D71" s="41">
        <v>2.4E-2</v>
      </c>
      <c r="E71" s="86"/>
      <c r="F71" s="88">
        <f t="shared" si="11"/>
        <v>2031</v>
      </c>
      <c r="G71" s="41">
        <v>0.02</v>
      </c>
      <c r="H71" s="41"/>
      <c r="I71" s="86"/>
      <c r="J71" s="88">
        <f t="shared" si="12"/>
        <v>2040</v>
      </c>
      <c r="K71" s="88"/>
      <c r="L71" s="41">
        <v>2.1000000000000001E-2</v>
      </c>
    </row>
    <row r="72" spans="3:15" s="124" customFormat="1">
      <c r="C72" s="88">
        <f t="shared" si="10"/>
        <v>2023</v>
      </c>
      <c r="D72" s="41">
        <v>2.4E-2</v>
      </c>
      <c r="E72" s="87"/>
      <c r="F72" s="88">
        <f t="shared" si="11"/>
        <v>2032</v>
      </c>
      <c r="G72" s="41">
        <v>0.02</v>
      </c>
      <c r="H72" s="41"/>
      <c r="I72" s="87"/>
      <c r="J72" s="88">
        <f t="shared" si="12"/>
        <v>2041</v>
      </c>
      <c r="K72" s="88"/>
      <c r="L72" s="41">
        <v>2.1999999999999999E-2</v>
      </c>
      <c r="O72" s="176"/>
    </row>
    <row r="73" spans="3:15" s="124" customFormat="1">
      <c r="C73" s="88">
        <f t="shared" si="10"/>
        <v>2024</v>
      </c>
      <c r="D73" s="41">
        <v>2.3E-2</v>
      </c>
      <c r="E73" s="87"/>
      <c r="F73" s="88">
        <f t="shared" si="11"/>
        <v>2033</v>
      </c>
      <c r="G73" s="41">
        <v>0.02</v>
      </c>
      <c r="H73" s="41"/>
      <c r="I73" s="87"/>
      <c r="J73" s="88">
        <f t="shared" si="12"/>
        <v>2042</v>
      </c>
      <c r="K73" s="88"/>
      <c r="L73" s="41">
        <v>2.1999999999999999E-2</v>
      </c>
      <c r="O73" s="176"/>
    </row>
    <row r="74" spans="3:15" s="124" customFormat="1">
      <c r="C74" s="88">
        <f t="shared" si="10"/>
        <v>2025</v>
      </c>
      <c r="D74" s="41">
        <v>2.3E-2</v>
      </c>
      <c r="E74" s="87"/>
      <c r="F74" s="88">
        <f t="shared" si="11"/>
        <v>2034</v>
      </c>
      <c r="G74" s="41">
        <v>0.02</v>
      </c>
      <c r="H74" s="41"/>
      <c r="I74" s="87"/>
      <c r="J74" s="88">
        <f t="shared" si="12"/>
        <v>2043</v>
      </c>
      <c r="K74" s="88"/>
      <c r="L74" s="41">
        <v>2.1999999999999999E-2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6"/>
  <sheetViews>
    <sheetView topLeftCell="A2" zoomScale="80" zoomScaleNormal="80" workbookViewId="0">
      <selection activeCell="B14" sqref="B14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13.83203125" style="56" customWidth="1"/>
    <col min="15" max="15" width="16" style="56" customWidth="1"/>
    <col min="16" max="16" width="28.6640625" style="56" customWidth="1"/>
    <col min="17" max="17" width="28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5"/>
      <c r="J1" s="95"/>
      <c r="K1" s="95"/>
    </row>
    <row r="2" spans="1:18" ht="5.25" customHeight="1"/>
    <row r="3" spans="1:18" ht="15.75">
      <c r="B3" s="1" t="str">
        <f>"Table "&amp;RIGHT('Table 4'!B3,1)+1</f>
        <v>Table 5</v>
      </c>
      <c r="C3" s="84"/>
      <c r="D3" s="84"/>
      <c r="E3" s="84"/>
      <c r="F3" s="84"/>
      <c r="G3" s="84"/>
      <c r="M3" s="56" t="s">
        <v>57</v>
      </c>
      <c r="O3" s="119"/>
    </row>
    <row r="4" spans="1:18">
      <c r="B4" s="84" t="str">
        <f ca="1">'Table 1'!B5</f>
        <v>Kennecott Refinery Non Firm - 6.2 MW and 85.0% CF</v>
      </c>
      <c r="C4" s="84"/>
      <c r="D4" s="84"/>
      <c r="E4" s="84"/>
      <c r="F4" s="84"/>
      <c r="G4" s="84"/>
      <c r="K4" s="56">
        <f>MIN(K13:K24)</f>
        <v>43466</v>
      </c>
      <c r="M4" s="57" t="s">
        <v>172</v>
      </c>
      <c r="P4" s="108" t="s">
        <v>169</v>
      </c>
      <c r="Q4" s="108" t="s">
        <v>170</v>
      </c>
      <c r="R4" s="108" t="s">
        <v>171</v>
      </c>
    </row>
    <row r="5" spans="1:18">
      <c r="B5" s="84" t="str">
        <f>TEXT($K$5,"MMMM YYYY")&amp;"  through  "&amp;TEXT($K$6,"MMMM YYYY")</f>
        <v>January 2019  through  December 2019</v>
      </c>
      <c r="C5" s="84"/>
      <c r="D5" s="84"/>
      <c r="E5" s="84"/>
      <c r="F5" s="84"/>
      <c r="G5" s="84"/>
      <c r="J5" s="56" t="s">
        <v>40</v>
      </c>
      <c r="K5" s="211">
        <f>MIN(K13:K24)</f>
        <v>43466</v>
      </c>
      <c r="M5" s="56" t="s">
        <v>41</v>
      </c>
      <c r="O5" s="3" t="s">
        <v>99</v>
      </c>
      <c r="P5" s="5">
        <f>MATCH('Table 5'!K5,'Table 5'!$B$12:$B$264,FALSE)+ROW('Table 5'!$B$11)</f>
        <v>13</v>
      </c>
      <c r="Q5" s="5">
        <f>P5+12</f>
        <v>25</v>
      </c>
      <c r="R5" s="5">
        <f>Q5</f>
        <v>25</v>
      </c>
    </row>
    <row r="6" spans="1:18">
      <c r="B6" s="84" t="s">
        <v>42</v>
      </c>
      <c r="C6" s="84"/>
      <c r="D6" s="84"/>
      <c r="E6" s="84"/>
      <c r="F6" s="84"/>
      <c r="G6" s="84"/>
      <c r="J6" s="56" t="s">
        <v>43</v>
      </c>
      <c r="K6" s="211">
        <f>EDATE(K5,1*12-1)</f>
        <v>43800</v>
      </c>
      <c r="M6" s="57">
        <v>6.2</v>
      </c>
      <c r="N6" s="56" t="s">
        <v>34</v>
      </c>
      <c r="O6" s="5" t="s">
        <v>100</v>
      </c>
      <c r="P6">
        <f>P5+11</f>
        <v>24</v>
      </c>
      <c r="Q6" s="56">
        <f>P6+12</f>
        <v>36</v>
      </c>
      <c r="R6" s="56">
        <f>Q6+5*12</f>
        <v>96</v>
      </c>
    </row>
    <row r="7" spans="1:18">
      <c r="A7" s="108"/>
      <c r="B7" s="191"/>
      <c r="C7" s="58"/>
      <c r="D7" s="58"/>
      <c r="E7" s="58"/>
      <c r="F7" s="58"/>
      <c r="G7" s="92"/>
      <c r="M7" s="112">
        <f ca="1">SUM(OFFSET(F12,MATCH(K5,B13:B24,0),0,12))/(EDATE(K5,12)-K5)/24/Study_MW</f>
        <v>0.84999999999999987</v>
      </c>
      <c r="N7" s="89" t="s">
        <v>36</v>
      </c>
    </row>
    <row r="8" spans="1:18">
      <c r="A8" s="108"/>
      <c r="B8" s="108" t="str">
        <f>"Nominal NPV at "&amp;TEXT(J9,"0.00%")&amp;" Discount Rate"</f>
        <v>Nominal NPV at 6.91% Discount Rate</v>
      </c>
      <c r="J8" s="56" t="str">
        <f>'Table 1'!I38</f>
        <v>Discount Rate - 2017 IRP Update</v>
      </c>
    </row>
    <row r="9" spans="1:18">
      <c r="A9" s="108" t="str">
        <f>"1 Year Starting "&amp;YEAR($K$5)</f>
        <v>1 Year Starting 2019</v>
      </c>
      <c r="C9" s="58">
        <f ca="1">NPV($K$9,INDIRECT("C"&amp;$P$5&amp;":C"&amp;$P$6))</f>
        <v>775519.3291829474</v>
      </c>
      <c r="D9" s="58">
        <f ca="1">NPV($K$9,INDIRECT("d"&amp;$P$5&amp;":d"&amp;$P$6))</f>
        <v>0</v>
      </c>
      <c r="E9" s="58">
        <f ca="1">NPV($K$9,INDIRECT("e"&amp;$P$5&amp;":e"&amp;$P$6))</f>
        <v>775519.3291829474</v>
      </c>
      <c r="F9" s="58">
        <f ca="1">NPV($K$9,INDIRECT("f"&amp;$P$5&amp;":f"&amp;$P$6))</f>
        <v>44525.98697098031</v>
      </c>
      <c r="G9" s="92">
        <f ca="1">($C9+D9)/$F9</f>
        <v>17.41722939658564</v>
      </c>
      <c r="J9" s="111">
        <f>'Table 1'!I39</f>
        <v>6.9099999999999995E-2</v>
      </c>
      <c r="K9" s="94">
        <f>((1+J9)^(1/12))-1</f>
        <v>5.5836284214501042E-3</v>
      </c>
    </row>
    <row r="10" spans="1:18">
      <c r="A10" s="108"/>
      <c r="C10" s="58"/>
      <c r="D10" s="58"/>
      <c r="E10" s="58"/>
      <c r="F10" s="58"/>
      <c r="G10" s="92"/>
      <c r="N10" s="59"/>
    </row>
    <row r="11" spans="1:18">
      <c r="B11" s="93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0.0% CF</v>
      </c>
      <c r="E12" s="66" t="s">
        <v>52</v>
      </c>
      <c r="F12" s="67" t="s">
        <v>48</v>
      </c>
      <c r="G12" s="65" t="str">
        <f>D12</f>
        <v>0.0%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84</v>
      </c>
      <c r="R12" s="56" t="s">
        <v>85</v>
      </c>
    </row>
    <row r="13" spans="1:18">
      <c r="B13" s="74">
        <f>[9]NPC!$F$3</f>
        <v>43466</v>
      </c>
      <c r="C13" s="69">
        <f>IF(F13="","",-INDEX([9]Delta!$F$1:$EE$997,$L$13,$I13))</f>
        <v>75655.521877661347</v>
      </c>
      <c r="D13" s="70">
        <f>IF(ISNUMBER($F13),VLOOKUP($J13,'Table 1'!$B$13:$C$33,2,FALSE)/12*1000*Study_MW,0)</f>
        <v>0</v>
      </c>
      <c r="E13" s="71">
        <f>IF(ISNUMBER(C13+D13),C13+D13,"")</f>
        <v>75655.521877661347</v>
      </c>
      <c r="F13" s="69">
        <f>IF(INDEX([9]Delta!$F$1:$EE$997,$L$14,$I13)=0,"",INDEX([9]Delta!$F$1:$EE$997,$L$14,$I13))</f>
        <v>3920.88</v>
      </c>
      <c r="G13" s="72">
        <f>IF(ISNUMBER($F13),E13/$F13,"")</f>
        <v>19.295546376747399</v>
      </c>
      <c r="I13" s="60">
        <v>1</v>
      </c>
      <c r="J13" s="73">
        <f>YEAR(B13)</f>
        <v>2019</v>
      </c>
      <c r="K13" s="74">
        <f t="shared" ref="K13:K24" si="0">IF(ISNUMBER(F13),B13,"")</f>
        <v>43466</v>
      </c>
      <c r="L13" s="56">
        <f>MATCH(M13,[9]Delta!$A$1:$A$997,FALSE)</f>
        <v>283</v>
      </c>
      <c r="M13" s="56" t="s">
        <v>51</v>
      </c>
    </row>
    <row r="14" spans="1:18">
      <c r="B14" s="78">
        <f t="shared" ref="B14:B77" si="1">EDATE(B13,1)</f>
        <v>43497</v>
      </c>
      <c r="C14" s="75">
        <f>IF(F14="","",-INDEX([9]Delta!$F$1:$EE$997,$L$13,$I14))</f>
        <v>65941.218911111355</v>
      </c>
      <c r="D14" s="71">
        <f>IF(ISNUMBER($F14),VLOOKUP($J14,'Table 1'!$B$13:$C$33,2,FALSE)/12*1000*Study_MW,"")</f>
        <v>0</v>
      </c>
      <c r="E14" s="71">
        <f t="shared" ref="E14:E22" si="2">IF(ISNUMBER(C14+D14),C14+D14,"")</f>
        <v>65941.218911111355</v>
      </c>
      <c r="F14" s="75">
        <f>IF(INDEX([9]Delta!$F$1:$EE$997,$L$14,$I14)=0,"",INDEX([9]Delta!$F$1:$EE$997,$L$14,$I14))</f>
        <v>3541.44</v>
      </c>
      <c r="G14" s="76">
        <f t="shared" ref="G14:G77" si="3">IF(ISNUMBER($F14),E14/$F14,"")</f>
        <v>18.619888777195534</v>
      </c>
      <c r="I14" s="77">
        <f>I13+1</f>
        <v>2</v>
      </c>
      <c r="J14" s="73">
        <f t="shared" ref="J14:J77" si="4">YEAR(B14)</f>
        <v>2019</v>
      </c>
      <c r="K14" s="78">
        <f t="shared" si="0"/>
        <v>43497</v>
      </c>
      <c r="L14" s="56">
        <f>MATCH(M14,[9]Delta!$C$304:$C$507,FALSE)+ROW([9]Delta!$C$303)+2</f>
        <v>379</v>
      </c>
      <c r="M14" s="91" t="str">
        <f>CHOOSE([9]NPC!$EQ$84,[9]NPC!$EI$84,[9]NPC!$EK$84,[9]NPC!$EM$84,[9]NPC!$EO$84)</f>
        <v>QF - 434 - UT - Gas</v>
      </c>
    </row>
    <row r="15" spans="1:18">
      <c r="B15" s="78">
        <f t="shared" si="1"/>
        <v>43525</v>
      </c>
      <c r="C15" s="75">
        <f>IF(F15="","",-INDEX([9]Delta!$F$1:$EE$997,$L$13,$I15))</f>
        <v>63320.040522038937</v>
      </c>
      <c r="D15" s="71">
        <f>IF(ISNUMBER($F15),VLOOKUP($J15,'Table 1'!$B$13:$C$33,2,FALSE)/12*1000*Study_MW,"")</f>
        <v>0</v>
      </c>
      <c r="E15" s="71">
        <f t="shared" si="2"/>
        <v>63320.040522038937</v>
      </c>
      <c r="F15" s="75">
        <f>IF(INDEX([9]Delta!$F$1:$EE$997,$L$14,$I15)=0,"",INDEX([9]Delta!$F$1:$EE$997,$L$14,$I15))</f>
        <v>3920.88</v>
      </c>
      <c r="G15" s="76">
        <f t="shared" si="3"/>
        <v>16.149446175868412</v>
      </c>
      <c r="I15" s="77">
        <f t="shared" ref="I15:I24" si="5">I14+1</f>
        <v>3</v>
      </c>
      <c r="J15" s="73">
        <f t="shared" si="4"/>
        <v>2019</v>
      </c>
      <c r="K15" s="78">
        <f t="shared" si="0"/>
        <v>43525</v>
      </c>
    </row>
    <row r="16" spans="1:18">
      <c r="B16" s="78">
        <f t="shared" si="1"/>
        <v>43556</v>
      </c>
      <c r="C16" s="75">
        <f>IF(F16="","",-INDEX([9]Delta!$F$1:$EE$997,$L$13,$I16))</f>
        <v>51776.3138974756</v>
      </c>
      <c r="D16" s="71">
        <f>IF(ISNUMBER($F16),VLOOKUP($J16,'Table 1'!$B$13:$C$33,2,FALSE)/12*1000*Study_MW,"")</f>
        <v>0</v>
      </c>
      <c r="E16" s="71">
        <f t="shared" si="2"/>
        <v>51776.3138974756</v>
      </c>
      <c r="F16" s="75">
        <f>IF(INDEX([9]Delta!$F$1:$EE$997,$L$14,$I16)=0,"",INDEX([9]Delta!$F$1:$EE$997,$L$14,$I16))</f>
        <v>3794.4</v>
      </c>
      <c r="G16" s="76">
        <f t="shared" si="3"/>
        <v>13.645454853857158</v>
      </c>
      <c r="I16" s="77">
        <f t="shared" si="5"/>
        <v>4</v>
      </c>
      <c r="J16" s="73">
        <f t="shared" si="4"/>
        <v>2019</v>
      </c>
      <c r="K16" s="78">
        <f t="shared" si="0"/>
        <v>43556</v>
      </c>
      <c r="L16" s="73">
        <f>YEAR(B13)</f>
        <v>2019</v>
      </c>
      <c r="M16" s="56">
        <f>SUMIF($J$13:$J$264,L16,$C$13:$C$264)</f>
        <v>803668.59913510084</v>
      </c>
      <c r="N16" s="56">
        <f>SUMIF($J$13:$J$264,L16,$D$13:$D$264)</f>
        <v>0</v>
      </c>
      <c r="O16" s="56">
        <f t="shared" ref="O16:O25" si="6">SUMIF($J$13:$J$264,L16,$F$13:$F$264)</f>
        <v>46165.2</v>
      </c>
      <c r="P16" s="118">
        <f t="shared" ref="P16:P25" si="7">(M16+N16)/O16</f>
        <v>17.408537147788831</v>
      </c>
      <c r="Q16" s="181">
        <f>M16/O16</f>
        <v>17.408537147788831</v>
      </c>
      <c r="R16" s="181">
        <f>IFERROR(N16/O16,0)</f>
        <v>0</v>
      </c>
    </row>
    <row r="17" spans="2:18">
      <c r="B17" s="78">
        <f t="shared" si="1"/>
        <v>43586</v>
      </c>
      <c r="C17" s="75">
        <f>IF(F17="","",-INDEX([9]Delta!$F$1:$EE$997,$L$13,$I17))</f>
        <v>55160.775804638863</v>
      </c>
      <c r="D17" s="71">
        <f>IF(ISNUMBER($F17),VLOOKUP($J17,'Table 1'!$B$13:$C$33,2,FALSE)/12*1000*Study_MW,"")</f>
        <v>0</v>
      </c>
      <c r="E17" s="71">
        <f t="shared" si="2"/>
        <v>55160.775804638863</v>
      </c>
      <c r="F17" s="75">
        <f>IF(INDEX([9]Delta!$F$1:$EE$997,$L$14,$I17)=0,"",INDEX([9]Delta!$F$1:$EE$997,$L$14,$I17))</f>
        <v>3920.88</v>
      </c>
      <c r="G17" s="76">
        <f t="shared" si="3"/>
        <v>14.068468253208174</v>
      </c>
      <c r="I17" s="77">
        <f t="shared" si="5"/>
        <v>5</v>
      </c>
      <c r="J17" s="73">
        <f t="shared" si="4"/>
        <v>2019</v>
      </c>
      <c r="K17" s="78">
        <f t="shared" si="0"/>
        <v>43586</v>
      </c>
      <c r="L17" s="73">
        <f>L16+1</f>
        <v>2020</v>
      </c>
      <c r="M17" s="56">
        <f>SUMIF($J$13:$J$264,L17,$C$13:$C$264)</f>
        <v>0</v>
      </c>
      <c r="N17" s="56">
        <f t="shared" ref="N17:N36" si="8">SUMIF($J$13:$J$264,L17,$D$13:$D$264)</f>
        <v>0</v>
      </c>
      <c r="O17" s="56">
        <f t="shared" si="6"/>
        <v>0</v>
      </c>
      <c r="P17" s="118" t="e">
        <f t="shared" si="7"/>
        <v>#DIV/0!</v>
      </c>
      <c r="Q17" s="181" t="e">
        <f t="shared" ref="Q17:Q33" si="9">M17/O17</f>
        <v>#DIV/0!</v>
      </c>
      <c r="R17" s="181">
        <f t="shared" ref="R17:R33" si="10">IFERROR(N17/O17,0)</f>
        <v>0</v>
      </c>
    </row>
    <row r="18" spans="2:18">
      <c r="B18" s="78">
        <f t="shared" si="1"/>
        <v>43617</v>
      </c>
      <c r="C18" s="75">
        <f>IF(F18="","",-INDEX([9]Delta!$F$1:$EE$997,$L$13,$I18))</f>
        <v>56183.465162247419</v>
      </c>
      <c r="D18" s="71">
        <f>IF(ISNUMBER($F18),VLOOKUP($J18,'Table 1'!$B$13:$C$33,2,FALSE)/12*1000*Study_MW,"")</f>
        <v>0</v>
      </c>
      <c r="E18" s="71">
        <f t="shared" si="2"/>
        <v>56183.465162247419</v>
      </c>
      <c r="F18" s="75">
        <f>IF(INDEX([9]Delta!$F$1:$EE$997,$L$14,$I18)=0,"",INDEX([9]Delta!$F$1:$EE$997,$L$14,$I18))</f>
        <v>3794.4</v>
      </c>
      <c r="G18" s="76">
        <f t="shared" si="3"/>
        <v>14.806943169472754</v>
      </c>
      <c r="I18" s="77">
        <f t="shared" si="5"/>
        <v>6</v>
      </c>
      <c r="J18" s="73">
        <f t="shared" si="4"/>
        <v>2019</v>
      </c>
      <c r="K18" s="78">
        <f t="shared" si="0"/>
        <v>43617</v>
      </c>
      <c r="L18" s="73">
        <f t="shared" ref="L18:L36" si="11">L17+1</f>
        <v>2021</v>
      </c>
      <c r="M18" s="56">
        <f t="shared" ref="M18:M36" si="12">SUMIF($J$13:$J$264,L18,$C$13:$C$264)</f>
        <v>0</v>
      </c>
      <c r="N18" s="56">
        <f t="shared" si="8"/>
        <v>0</v>
      </c>
      <c r="O18" s="56">
        <f t="shared" si="6"/>
        <v>0</v>
      </c>
      <c r="P18" s="118" t="e">
        <f t="shared" si="7"/>
        <v>#DIV/0!</v>
      </c>
      <c r="Q18" s="181" t="e">
        <f t="shared" si="9"/>
        <v>#DIV/0!</v>
      </c>
      <c r="R18" s="181">
        <f t="shared" si="10"/>
        <v>0</v>
      </c>
    </row>
    <row r="19" spans="2:18">
      <c r="B19" s="78">
        <f t="shared" si="1"/>
        <v>43647</v>
      </c>
      <c r="C19" s="75">
        <f>IF(F19="","",-INDEX([9]Delta!$F$1:$EE$997,$L$13,$I19))</f>
        <v>91333.981063604355</v>
      </c>
      <c r="D19" s="71">
        <f>IF(ISNUMBER($F19),VLOOKUP($J19,'Table 1'!$B$13:$C$33,2,FALSE)/12*1000*Study_MW,"")</f>
        <v>0</v>
      </c>
      <c r="E19" s="71">
        <f t="shared" si="2"/>
        <v>91333.981063604355</v>
      </c>
      <c r="F19" s="75">
        <f>IF(INDEX([9]Delta!$F$1:$EE$997,$L$14,$I19)=0,"",INDEX([9]Delta!$F$1:$EE$997,$L$14,$I19))</f>
        <v>3920.88</v>
      </c>
      <c r="G19" s="76">
        <f t="shared" si="3"/>
        <v>23.294255642509935</v>
      </c>
      <c r="I19" s="77">
        <f t="shared" si="5"/>
        <v>7</v>
      </c>
      <c r="J19" s="73">
        <f t="shared" si="4"/>
        <v>2019</v>
      </c>
      <c r="K19" s="78">
        <f t="shared" si="0"/>
        <v>43647</v>
      </c>
      <c r="L19" s="73">
        <f t="shared" si="11"/>
        <v>2022</v>
      </c>
      <c r="M19" s="56">
        <f t="shared" si="12"/>
        <v>0</v>
      </c>
      <c r="N19" s="56">
        <f t="shared" si="8"/>
        <v>0</v>
      </c>
      <c r="O19" s="56">
        <f t="shared" si="6"/>
        <v>0</v>
      </c>
      <c r="P19" s="118" t="e">
        <f t="shared" si="7"/>
        <v>#DIV/0!</v>
      </c>
      <c r="Q19" s="181" t="e">
        <f t="shared" si="9"/>
        <v>#DIV/0!</v>
      </c>
      <c r="R19" s="181">
        <f t="shared" si="10"/>
        <v>0</v>
      </c>
    </row>
    <row r="20" spans="2:18">
      <c r="B20" s="78">
        <f t="shared" si="1"/>
        <v>43678</v>
      </c>
      <c r="C20" s="75">
        <f>IF(F20="","",-INDEX([9]Delta!$F$1:$EE$997,$L$13,$I20))</f>
        <v>100709.87890937924</v>
      </c>
      <c r="D20" s="71">
        <f>IF(ISNUMBER($F20),VLOOKUP($J20,'Table 1'!$B$13:$C$33,2,FALSE)/12*1000*Study_MW,"")</f>
        <v>0</v>
      </c>
      <c r="E20" s="71">
        <f t="shared" si="2"/>
        <v>100709.87890937924</v>
      </c>
      <c r="F20" s="75">
        <f>IF(INDEX([9]Delta!$F$1:$EE$997,$L$14,$I20)=0,"",INDEX([9]Delta!$F$1:$EE$997,$L$14,$I20))</f>
        <v>3920.88</v>
      </c>
      <c r="G20" s="76">
        <f t="shared" si="3"/>
        <v>25.685529500872061</v>
      </c>
      <c r="I20" s="77">
        <f t="shared" si="5"/>
        <v>8</v>
      </c>
      <c r="J20" s="73">
        <f t="shared" si="4"/>
        <v>2019</v>
      </c>
      <c r="K20" s="78">
        <f t="shared" si="0"/>
        <v>43678</v>
      </c>
      <c r="L20" s="73">
        <f t="shared" si="11"/>
        <v>2023</v>
      </c>
      <c r="M20" s="56">
        <f t="shared" si="12"/>
        <v>0</v>
      </c>
      <c r="N20" s="56">
        <f t="shared" si="8"/>
        <v>0</v>
      </c>
      <c r="O20" s="56">
        <f t="shared" si="6"/>
        <v>0</v>
      </c>
      <c r="P20" s="118" t="e">
        <f t="shared" si="7"/>
        <v>#DIV/0!</v>
      </c>
      <c r="Q20" s="181" t="e">
        <f t="shared" si="9"/>
        <v>#DIV/0!</v>
      </c>
      <c r="R20" s="181">
        <f t="shared" si="10"/>
        <v>0</v>
      </c>
    </row>
    <row r="21" spans="2:18">
      <c r="B21" s="78">
        <f t="shared" si="1"/>
        <v>43709</v>
      </c>
      <c r="C21" s="75">
        <f>IF(F21="","",-INDEX([9]Delta!$F$1:$EE$997,$L$13,$I21))</f>
        <v>76448.585611909628</v>
      </c>
      <c r="D21" s="71">
        <f>IF(ISNUMBER($F21),VLOOKUP($J21,'Table 1'!$B$13:$C$33,2,FALSE)/12*1000*Study_MW,"")</f>
        <v>0</v>
      </c>
      <c r="E21" s="71">
        <f t="shared" si="2"/>
        <v>76448.585611909628</v>
      </c>
      <c r="F21" s="75">
        <f>IF(INDEX([9]Delta!$F$1:$EE$997,$L$14,$I21)=0,"",INDEX([9]Delta!$F$1:$EE$997,$L$14,$I21))</f>
        <v>3794.4</v>
      </c>
      <c r="G21" s="76">
        <f t="shared" si="3"/>
        <v>20.147740251926425</v>
      </c>
      <c r="I21" s="77">
        <f t="shared" si="5"/>
        <v>9</v>
      </c>
      <c r="J21" s="73">
        <f t="shared" si="4"/>
        <v>2019</v>
      </c>
      <c r="K21" s="78">
        <f t="shared" si="0"/>
        <v>43709</v>
      </c>
      <c r="L21" s="73">
        <f t="shared" si="11"/>
        <v>2024</v>
      </c>
      <c r="M21" s="56">
        <f t="shared" si="12"/>
        <v>0</v>
      </c>
      <c r="N21" s="56">
        <f t="shared" si="8"/>
        <v>0</v>
      </c>
      <c r="O21" s="56">
        <f t="shared" si="6"/>
        <v>0</v>
      </c>
      <c r="P21" s="118" t="e">
        <f t="shared" si="7"/>
        <v>#DIV/0!</v>
      </c>
      <c r="Q21" s="181" t="e">
        <f t="shared" si="9"/>
        <v>#DIV/0!</v>
      </c>
      <c r="R21" s="181">
        <f t="shared" si="10"/>
        <v>0</v>
      </c>
    </row>
    <row r="22" spans="2:18">
      <c r="B22" s="78">
        <f t="shared" si="1"/>
        <v>43739</v>
      </c>
      <c r="C22" s="75">
        <f>IF(F22="","",-INDEX([9]Delta!$F$1:$EE$997,$L$13,$I22))</f>
        <v>63394.11498439312</v>
      </c>
      <c r="D22" s="71">
        <f>IF(ISNUMBER($F22),VLOOKUP($J22,'Table 1'!$B$13:$C$33,2,FALSE)/12*1000*Study_MW,"")</f>
        <v>0</v>
      </c>
      <c r="E22" s="71">
        <f t="shared" si="2"/>
        <v>63394.11498439312</v>
      </c>
      <c r="F22" s="75">
        <f>IF(INDEX([9]Delta!$F$1:$EE$997,$L$14,$I22)=0,"",INDEX([9]Delta!$F$1:$EE$997,$L$14,$I22))</f>
        <v>3920.88</v>
      </c>
      <c r="G22" s="76">
        <f t="shared" si="3"/>
        <v>16.168338481257553</v>
      </c>
      <c r="I22" s="77">
        <f t="shared" si="5"/>
        <v>10</v>
      </c>
      <c r="J22" s="73">
        <f t="shared" si="4"/>
        <v>2019</v>
      </c>
      <c r="K22" s="78">
        <f t="shared" si="0"/>
        <v>43739</v>
      </c>
      <c r="L22" s="73">
        <f t="shared" si="11"/>
        <v>2025</v>
      </c>
      <c r="M22" s="56">
        <f t="shared" si="12"/>
        <v>0</v>
      </c>
      <c r="N22" s="56">
        <f t="shared" si="8"/>
        <v>0</v>
      </c>
      <c r="O22" s="56">
        <f t="shared" si="6"/>
        <v>0</v>
      </c>
      <c r="P22" s="118" t="e">
        <f t="shared" si="7"/>
        <v>#DIV/0!</v>
      </c>
      <c r="Q22" s="181" t="e">
        <f t="shared" si="9"/>
        <v>#DIV/0!</v>
      </c>
      <c r="R22" s="181">
        <f t="shared" si="10"/>
        <v>0</v>
      </c>
    </row>
    <row r="23" spans="2:18">
      <c r="B23" s="78">
        <f t="shared" si="1"/>
        <v>43770</v>
      </c>
      <c r="C23" s="75">
        <f>IF(F23="","",-INDEX([9]Delta!$F$1:$EE$997,$L$13,$I23))</f>
        <v>58488.135047376156</v>
      </c>
      <c r="D23" s="71">
        <f>IF(ISNUMBER($F23),VLOOKUP($J23,'Table 1'!$B$13:$C$33,2,FALSE)/12*1000*Study_MW,"")</f>
        <v>0</v>
      </c>
      <c r="E23" s="71">
        <f t="shared" ref="E23" si="13">IF(ISNUMBER(C23+D23),C23+D23,"")</f>
        <v>58488.135047376156</v>
      </c>
      <c r="F23" s="75">
        <f>IF(INDEX([9]Delta!$F$1:$EE$997,$L$14,$I23)=0,"",INDEX([9]Delta!$F$1:$EE$997,$L$14,$I23))</f>
        <v>3794.4</v>
      </c>
      <c r="G23" s="76">
        <f t="shared" ref="G23" si="14">IF(ISNUMBER($F23),E23/$F23,"")</f>
        <v>15.414330341391565</v>
      </c>
      <c r="I23" s="77">
        <f t="shared" si="5"/>
        <v>11</v>
      </c>
      <c r="J23" s="73">
        <f t="shared" si="4"/>
        <v>2019</v>
      </c>
      <c r="K23" s="78">
        <f t="shared" si="0"/>
        <v>43770</v>
      </c>
      <c r="L23" s="73">
        <f t="shared" si="11"/>
        <v>2026</v>
      </c>
      <c r="M23" s="56">
        <f t="shared" si="12"/>
        <v>0</v>
      </c>
      <c r="N23" s="56">
        <f t="shared" si="8"/>
        <v>0</v>
      </c>
      <c r="O23" s="56">
        <f t="shared" si="6"/>
        <v>0</v>
      </c>
      <c r="P23" s="118" t="e">
        <f t="shared" si="7"/>
        <v>#DIV/0!</v>
      </c>
      <c r="Q23" s="181" t="e">
        <f t="shared" si="9"/>
        <v>#DIV/0!</v>
      </c>
      <c r="R23" s="181">
        <f t="shared" si="10"/>
        <v>0</v>
      </c>
    </row>
    <row r="24" spans="2:18">
      <c r="B24" s="82">
        <f t="shared" si="1"/>
        <v>43800</v>
      </c>
      <c r="C24" s="79">
        <f>IF(F24="","",-INDEX([9]Delta!$F$1:$EE$997,$L$13,$I24))</f>
        <v>45256.567343264818</v>
      </c>
      <c r="D24" s="80">
        <f>IF(F24&lt;&gt;0,VLOOKUP($J24,'Table 1'!$B$13:$C$33,2,FALSE)/12*1000*Study_MW,0)</f>
        <v>0</v>
      </c>
      <c r="E24" s="80">
        <f t="shared" ref="E24" si="15">IF(ISNUMBER(C24+D24),C24+D24,"")</f>
        <v>45256.567343264818</v>
      </c>
      <c r="F24" s="79">
        <f>IF(INDEX([9]Delta!$F$1:$EE$997,$L$14,$I24)=0,"",INDEX([9]Delta!$F$1:$EE$997,$L$14,$I24))</f>
        <v>3920.88</v>
      </c>
      <c r="G24" s="81">
        <f t="shared" ref="G24" si="16">IF(ISNUMBER($F24),E24/$F24,"")</f>
        <v>11.542451527020674</v>
      </c>
      <c r="I24" s="64">
        <f t="shared" si="5"/>
        <v>12</v>
      </c>
      <c r="J24" s="73">
        <f t="shared" si="4"/>
        <v>2019</v>
      </c>
      <c r="K24" s="82">
        <f t="shared" si="0"/>
        <v>43800</v>
      </c>
      <c r="L24" s="73">
        <f t="shared" si="11"/>
        <v>2027</v>
      </c>
      <c r="M24" s="56">
        <f t="shared" si="12"/>
        <v>0</v>
      </c>
      <c r="N24" s="56">
        <f t="shared" si="8"/>
        <v>0</v>
      </c>
      <c r="O24" s="56">
        <f t="shared" si="6"/>
        <v>0</v>
      </c>
      <c r="P24" s="118" t="e">
        <f t="shared" si="7"/>
        <v>#DIV/0!</v>
      </c>
      <c r="Q24" s="181" t="e">
        <f t="shared" si="9"/>
        <v>#DIV/0!</v>
      </c>
      <c r="R24" s="181">
        <f t="shared" si="10"/>
        <v>0</v>
      </c>
    </row>
    <row r="25" spans="2:18" hidden="1">
      <c r="B25" s="74">
        <f t="shared" si="1"/>
        <v>43831</v>
      </c>
      <c r="C25" s="69">
        <f>IF(F25&lt;&gt;0,-INDEX([9]Delta!$F$1:$EE$997,$L$13,$I25),0)</f>
        <v>0</v>
      </c>
      <c r="D25" s="70">
        <f>IF(F25&lt;&gt;0,VLOOKUP($J25,'Table 1'!$B$13:$C$33,2,FALSE)/12*1000*Study_MW,0)</f>
        <v>0</v>
      </c>
      <c r="E25" s="70">
        <f t="shared" ref="E25:E77" si="17">C25+D25</f>
        <v>0</v>
      </c>
      <c r="F25" s="69">
        <f>INDEX([9]Delta!$F$1:$EE$997,$L$14,$I25)</f>
        <v>0</v>
      </c>
      <c r="G25" s="72" t="e">
        <f t="shared" si="3"/>
        <v>#DIV/0!</v>
      </c>
      <c r="I25" s="60">
        <f>I13+13</f>
        <v>14</v>
      </c>
      <c r="J25" s="73">
        <f t="shared" si="4"/>
        <v>2020</v>
      </c>
      <c r="K25" s="74" t="str">
        <f>IF(ISNUMBER(F25),IF(F25&lt;&gt;0,B25,""),"")</f>
        <v/>
      </c>
      <c r="L25" s="73">
        <f t="shared" si="11"/>
        <v>2028</v>
      </c>
      <c r="M25" s="56">
        <f t="shared" si="12"/>
        <v>0</v>
      </c>
      <c r="N25" s="56">
        <f t="shared" si="8"/>
        <v>0</v>
      </c>
      <c r="O25" s="56">
        <f t="shared" si="6"/>
        <v>0</v>
      </c>
      <c r="P25" s="118" t="e">
        <f t="shared" si="7"/>
        <v>#DIV/0!</v>
      </c>
      <c r="Q25" s="181" t="e">
        <f t="shared" si="9"/>
        <v>#DIV/0!</v>
      </c>
      <c r="R25" s="181">
        <f t="shared" si="10"/>
        <v>0</v>
      </c>
    </row>
    <row r="26" spans="2:18" hidden="1">
      <c r="B26" s="78">
        <f t="shared" si="1"/>
        <v>43862</v>
      </c>
      <c r="C26" s="75">
        <f>IF(F26&lt;&gt;0,-INDEX([9]Delta!$F$1:$EE$997,$L$13,$I26),0)</f>
        <v>0</v>
      </c>
      <c r="D26" s="71">
        <f>IF(F26&lt;&gt;0,VLOOKUP($J26,'Table 1'!$B$13:$C$33,2,FALSE)/12*1000*Study_MW,0)</f>
        <v>0</v>
      </c>
      <c r="E26" s="71">
        <f t="shared" si="17"/>
        <v>0</v>
      </c>
      <c r="F26" s="75">
        <f>INDEX([9]Delta!$F$1:$EE$997,$L$14,$I26)</f>
        <v>0</v>
      </c>
      <c r="G26" s="76" t="e">
        <f t="shared" si="3"/>
        <v>#DIV/0!</v>
      </c>
      <c r="I26" s="77">
        <f t="shared" ref="I26:I89" si="18">I14+13</f>
        <v>15</v>
      </c>
      <c r="J26" s="73">
        <f t="shared" si="4"/>
        <v>2020</v>
      </c>
      <c r="K26" s="78" t="str">
        <f t="shared" ref="K26:K89" si="19">IF(ISNUMBER(F26),IF(F26&lt;&gt;0,B26,""),"")</f>
        <v/>
      </c>
      <c r="L26" s="73">
        <f t="shared" si="11"/>
        <v>2029</v>
      </c>
      <c r="M26" s="56">
        <f t="shared" si="12"/>
        <v>0</v>
      </c>
      <c r="N26" s="56">
        <f t="shared" si="8"/>
        <v>0</v>
      </c>
      <c r="O26" s="56">
        <f>SUMIF($J$13:$J$264,L26,$F$13:$F$264)</f>
        <v>0</v>
      </c>
      <c r="P26" s="118" t="e">
        <f>(M26+N26)/O26</f>
        <v>#DIV/0!</v>
      </c>
      <c r="Q26" s="181" t="e">
        <f t="shared" si="9"/>
        <v>#DIV/0!</v>
      </c>
      <c r="R26" s="181">
        <f t="shared" si="10"/>
        <v>0</v>
      </c>
    </row>
    <row r="27" spans="2:18" hidden="1">
      <c r="B27" s="78">
        <f t="shared" si="1"/>
        <v>43891</v>
      </c>
      <c r="C27" s="75">
        <f>IF(F27&lt;&gt;0,-INDEX([9]Delta!$F$1:$EE$997,$L$13,$I27),0)</f>
        <v>0</v>
      </c>
      <c r="D27" s="71">
        <f>IF(F27&lt;&gt;0,VLOOKUP($J27,'Table 1'!$B$13:$C$33,2,FALSE)/12*1000*Study_MW,0)</f>
        <v>0</v>
      </c>
      <c r="E27" s="71">
        <f t="shared" si="17"/>
        <v>0</v>
      </c>
      <c r="F27" s="75">
        <f>INDEX([9]Delta!$F$1:$EE$997,$L$14,$I27)</f>
        <v>0</v>
      </c>
      <c r="G27" s="76" t="e">
        <f t="shared" si="3"/>
        <v>#DIV/0!</v>
      </c>
      <c r="I27" s="77">
        <f t="shared" si="18"/>
        <v>16</v>
      </c>
      <c r="J27" s="73">
        <f t="shared" si="4"/>
        <v>2020</v>
      </c>
      <c r="K27" s="78" t="str">
        <f t="shared" si="19"/>
        <v/>
      </c>
      <c r="L27" s="73">
        <f t="shared" si="11"/>
        <v>2030</v>
      </c>
      <c r="M27" s="56">
        <f t="shared" si="12"/>
        <v>0</v>
      </c>
      <c r="N27" s="56">
        <f t="shared" si="8"/>
        <v>0</v>
      </c>
      <c r="O27" s="56">
        <f t="shared" ref="O27:O31" si="20">SUMIF($J$13:$J$264,L27,$F$13:$F$264)</f>
        <v>0</v>
      </c>
      <c r="P27" s="118" t="e">
        <f t="shared" ref="P27:P31" si="21">(M27+N27)/O27</f>
        <v>#DIV/0!</v>
      </c>
      <c r="Q27" s="181" t="e">
        <f t="shared" si="9"/>
        <v>#DIV/0!</v>
      </c>
      <c r="R27" s="181">
        <f t="shared" si="10"/>
        <v>0</v>
      </c>
    </row>
    <row r="28" spans="2:18" hidden="1">
      <c r="B28" s="78">
        <f t="shared" si="1"/>
        <v>43922</v>
      </c>
      <c r="C28" s="75">
        <f>IF(F28&lt;&gt;0,-INDEX([9]Delta!$F$1:$EE$997,$L$13,$I28),0)</f>
        <v>0</v>
      </c>
      <c r="D28" s="71">
        <f>IF(F28&lt;&gt;0,VLOOKUP($J28,'Table 1'!$B$13:$C$33,2,FALSE)/12*1000*Study_MW,0)</f>
        <v>0</v>
      </c>
      <c r="E28" s="71">
        <f t="shared" si="17"/>
        <v>0</v>
      </c>
      <c r="F28" s="75">
        <f>INDEX([9]Delta!$F$1:$EE$997,$L$14,$I28)</f>
        <v>0</v>
      </c>
      <c r="G28" s="76" t="e">
        <f t="shared" si="3"/>
        <v>#DIV/0!</v>
      </c>
      <c r="I28" s="77">
        <f t="shared" si="18"/>
        <v>17</v>
      </c>
      <c r="J28" s="73">
        <f t="shared" si="4"/>
        <v>2020</v>
      </c>
      <c r="K28" s="78" t="str">
        <f t="shared" si="19"/>
        <v/>
      </c>
      <c r="L28" s="73">
        <f t="shared" si="11"/>
        <v>2031</v>
      </c>
      <c r="M28" s="56">
        <f t="shared" si="12"/>
        <v>0</v>
      </c>
      <c r="N28" s="56">
        <f t="shared" si="8"/>
        <v>0</v>
      </c>
      <c r="O28" s="56">
        <f t="shared" si="20"/>
        <v>0</v>
      </c>
      <c r="P28" s="118" t="e">
        <f t="shared" si="21"/>
        <v>#DIV/0!</v>
      </c>
      <c r="Q28" s="181" t="e">
        <f t="shared" si="9"/>
        <v>#DIV/0!</v>
      </c>
      <c r="R28" s="181">
        <f t="shared" si="10"/>
        <v>0</v>
      </c>
    </row>
    <row r="29" spans="2:18" hidden="1">
      <c r="B29" s="78">
        <f t="shared" si="1"/>
        <v>43952</v>
      </c>
      <c r="C29" s="75">
        <f>IF(F29&lt;&gt;0,-INDEX([9]Delta!$F$1:$EE$997,$L$13,$I29),0)</f>
        <v>0</v>
      </c>
      <c r="D29" s="71">
        <f>IF(F29&lt;&gt;0,VLOOKUP($J29,'Table 1'!$B$13:$C$33,2,FALSE)/12*1000*Study_MW,0)</f>
        <v>0</v>
      </c>
      <c r="E29" s="71">
        <f t="shared" si="17"/>
        <v>0</v>
      </c>
      <c r="F29" s="75">
        <f>INDEX([9]Delta!$F$1:$EE$997,$L$14,$I29)</f>
        <v>0</v>
      </c>
      <c r="G29" s="76" t="e">
        <f t="shared" si="3"/>
        <v>#DIV/0!</v>
      </c>
      <c r="I29" s="77">
        <f t="shared" si="18"/>
        <v>18</v>
      </c>
      <c r="J29" s="73">
        <f t="shared" si="4"/>
        <v>2020</v>
      </c>
      <c r="K29" s="78" t="str">
        <f t="shared" si="19"/>
        <v/>
      </c>
      <c r="L29" s="73">
        <f t="shared" si="11"/>
        <v>2032</v>
      </c>
      <c r="M29" s="56">
        <f t="shared" si="12"/>
        <v>0</v>
      </c>
      <c r="N29" s="56">
        <f t="shared" si="8"/>
        <v>0</v>
      </c>
      <c r="O29" s="56">
        <f t="shared" si="20"/>
        <v>0</v>
      </c>
      <c r="P29" s="118" t="e">
        <f t="shared" si="21"/>
        <v>#DIV/0!</v>
      </c>
      <c r="Q29" s="181" t="e">
        <f t="shared" si="9"/>
        <v>#DIV/0!</v>
      </c>
      <c r="R29" s="181">
        <f t="shared" si="10"/>
        <v>0</v>
      </c>
    </row>
    <row r="30" spans="2:18" hidden="1">
      <c r="B30" s="78">
        <f t="shared" si="1"/>
        <v>43983</v>
      </c>
      <c r="C30" s="75">
        <f>IF(F30&lt;&gt;0,-INDEX([9]Delta!$F$1:$EE$997,$L$13,$I30),0)</f>
        <v>0</v>
      </c>
      <c r="D30" s="71">
        <f>IF(F30&lt;&gt;0,VLOOKUP($J30,'Table 1'!$B$13:$C$33,2,FALSE)/12*1000*Study_MW,0)</f>
        <v>0</v>
      </c>
      <c r="E30" s="71">
        <f t="shared" si="17"/>
        <v>0</v>
      </c>
      <c r="F30" s="75">
        <f>INDEX([9]Delta!$F$1:$EE$997,$L$14,$I30)</f>
        <v>0</v>
      </c>
      <c r="G30" s="76" t="e">
        <f t="shared" si="3"/>
        <v>#DIV/0!</v>
      </c>
      <c r="I30" s="77">
        <f t="shared" si="18"/>
        <v>19</v>
      </c>
      <c r="J30" s="73">
        <f t="shared" si="4"/>
        <v>2020</v>
      </c>
      <c r="K30" s="78" t="str">
        <f t="shared" si="19"/>
        <v/>
      </c>
      <c r="L30" s="73">
        <f t="shared" si="11"/>
        <v>2033</v>
      </c>
      <c r="M30" s="56">
        <f t="shared" si="12"/>
        <v>0</v>
      </c>
      <c r="N30" s="56">
        <f t="shared" si="8"/>
        <v>0</v>
      </c>
      <c r="O30" s="56">
        <f t="shared" si="20"/>
        <v>0</v>
      </c>
      <c r="P30" s="118" t="e">
        <f t="shared" si="21"/>
        <v>#DIV/0!</v>
      </c>
      <c r="Q30" s="181" t="e">
        <f t="shared" si="9"/>
        <v>#DIV/0!</v>
      </c>
      <c r="R30" s="181">
        <f t="shared" si="10"/>
        <v>0</v>
      </c>
    </row>
    <row r="31" spans="2:18" hidden="1">
      <c r="B31" s="78">
        <f t="shared" si="1"/>
        <v>44013</v>
      </c>
      <c r="C31" s="75">
        <f>IF(F31&lt;&gt;0,-INDEX([9]Delta!$F$1:$EE$997,$L$13,$I31),0)</f>
        <v>0</v>
      </c>
      <c r="D31" s="71">
        <f>IF(F31&lt;&gt;0,VLOOKUP($J31,'Table 1'!$B$13:$C$33,2,FALSE)/12*1000*Study_MW,0)</f>
        <v>0</v>
      </c>
      <c r="E31" s="71">
        <f t="shared" si="17"/>
        <v>0</v>
      </c>
      <c r="F31" s="75">
        <f>INDEX([9]Delta!$F$1:$EE$997,$L$14,$I31)</f>
        <v>0</v>
      </c>
      <c r="G31" s="76" t="e">
        <f t="shared" si="3"/>
        <v>#DIV/0!</v>
      </c>
      <c r="I31" s="77">
        <f t="shared" si="18"/>
        <v>20</v>
      </c>
      <c r="J31" s="73">
        <f t="shared" si="4"/>
        <v>2020</v>
      </c>
      <c r="K31" s="78" t="str">
        <f t="shared" si="19"/>
        <v/>
      </c>
      <c r="L31" s="73">
        <f t="shared" si="11"/>
        <v>2034</v>
      </c>
      <c r="M31" s="56">
        <f t="shared" si="12"/>
        <v>0</v>
      </c>
      <c r="N31" s="56">
        <f t="shared" si="8"/>
        <v>0</v>
      </c>
      <c r="O31" s="56">
        <f t="shared" si="20"/>
        <v>0</v>
      </c>
      <c r="P31" s="118" t="e">
        <f t="shared" si="21"/>
        <v>#DIV/0!</v>
      </c>
      <c r="Q31" s="181" t="e">
        <f t="shared" si="9"/>
        <v>#DIV/0!</v>
      </c>
      <c r="R31" s="181">
        <f t="shared" si="10"/>
        <v>0</v>
      </c>
    </row>
    <row r="32" spans="2:18" hidden="1">
      <c r="B32" s="78">
        <f t="shared" si="1"/>
        <v>44044</v>
      </c>
      <c r="C32" s="75">
        <f>IF(F32&lt;&gt;0,-INDEX([9]Delta!$F$1:$EE$997,$L$13,$I32),0)</f>
        <v>0</v>
      </c>
      <c r="D32" s="71">
        <f>IF(F32&lt;&gt;0,VLOOKUP($J32,'Table 1'!$B$13:$C$33,2,FALSE)/12*1000*Study_MW,0)</f>
        <v>0</v>
      </c>
      <c r="E32" s="71">
        <f t="shared" si="17"/>
        <v>0</v>
      </c>
      <c r="F32" s="75">
        <f>INDEX([9]Delta!$F$1:$EE$997,$L$14,$I32)</f>
        <v>0</v>
      </c>
      <c r="G32" s="76" t="e">
        <f t="shared" si="3"/>
        <v>#DIV/0!</v>
      </c>
      <c r="I32" s="77">
        <f t="shared" si="18"/>
        <v>21</v>
      </c>
      <c r="J32" s="73">
        <f t="shared" si="4"/>
        <v>2020</v>
      </c>
      <c r="K32" s="78" t="str">
        <f t="shared" si="19"/>
        <v/>
      </c>
      <c r="L32" s="73">
        <f t="shared" si="11"/>
        <v>2035</v>
      </c>
      <c r="M32" s="56">
        <f t="shared" si="12"/>
        <v>0</v>
      </c>
      <c r="N32" s="56">
        <f t="shared" si="8"/>
        <v>0</v>
      </c>
      <c r="O32" s="56">
        <f t="shared" ref="O32:O35" si="22">SUMIF($J$13:$J$264,L32,$F$13:$F$264)</f>
        <v>0</v>
      </c>
      <c r="P32" s="118" t="e">
        <f t="shared" ref="P32:P34" si="23">(M32+N32)/O32</f>
        <v>#DIV/0!</v>
      </c>
      <c r="Q32" s="181" t="e">
        <f t="shared" si="9"/>
        <v>#DIV/0!</v>
      </c>
      <c r="R32" s="181">
        <f t="shared" si="10"/>
        <v>0</v>
      </c>
    </row>
    <row r="33" spans="2:20" hidden="1">
      <c r="B33" s="78">
        <f t="shared" si="1"/>
        <v>44075</v>
      </c>
      <c r="C33" s="75">
        <f>IF(F33&lt;&gt;0,-INDEX([9]Delta!$F$1:$EE$997,$L$13,$I33),0)</f>
        <v>0</v>
      </c>
      <c r="D33" s="71">
        <f>IF(F33&lt;&gt;0,VLOOKUP($J33,'Table 1'!$B$13:$C$33,2,FALSE)/12*1000*Study_MW,0)</f>
        <v>0</v>
      </c>
      <c r="E33" s="71">
        <f t="shared" si="17"/>
        <v>0</v>
      </c>
      <c r="F33" s="75">
        <f>INDEX([9]Delta!$F$1:$EE$997,$L$14,$I33)</f>
        <v>0</v>
      </c>
      <c r="G33" s="76" t="e">
        <f t="shared" si="3"/>
        <v>#DIV/0!</v>
      </c>
      <c r="I33" s="77">
        <f t="shared" si="18"/>
        <v>22</v>
      </c>
      <c r="J33" s="73">
        <f t="shared" si="4"/>
        <v>2020</v>
      </c>
      <c r="K33" s="78" t="str">
        <f t="shared" si="19"/>
        <v/>
      </c>
      <c r="L33" s="73">
        <f t="shared" si="11"/>
        <v>2036</v>
      </c>
      <c r="M33" s="56">
        <f t="shared" si="12"/>
        <v>0</v>
      </c>
      <c r="N33" s="56">
        <f t="shared" si="8"/>
        <v>0</v>
      </c>
      <c r="O33" s="56">
        <f t="shared" si="22"/>
        <v>0</v>
      </c>
      <c r="P33" s="118" t="e">
        <f t="shared" si="23"/>
        <v>#DIV/0!</v>
      </c>
      <c r="Q33" s="181" t="e">
        <f t="shared" si="9"/>
        <v>#DIV/0!</v>
      </c>
      <c r="R33" s="181">
        <f t="shared" si="10"/>
        <v>0</v>
      </c>
    </row>
    <row r="34" spans="2:20" hidden="1">
      <c r="B34" s="78">
        <f t="shared" si="1"/>
        <v>44105</v>
      </c>
      <c r="C34" s="75">
        <f>IF(F34&lt;&gt;0,-INDEX([9]Delta!$F$1:$EE$997,$L$13,$I34),0)</f>
        <v>0</v>
      </c>
      <c r="D34" s="71">
        <f>IF(F34&lt;&gt;0,VLOOKUP($J34,'Table 1'!$B$13:$C$33,2,FALSE)/12*1000*Study_MW,0)</f>
        <v>0</v>
      </c>
      <c r="E34" s="71">
        <f t="shared" si="17"/>
        <v>0</v>
      </c>
      <c r="F34" s="75">
        <f>INDEX([9]Delta!$F$1:$EE$997,$L$14,$I34)</f>
        <v>0</v>
      </c>
      <c r="G34" s="76" t="e">
        <f t="shared" si="3"/>
        <v>#DIV/0!</v>
      </c>
      <c r="I34" s="77">
        <f t="shared" si="18"/>
        <v>23</v>
      </c>
      <c r="J34" s="73">
        <f t="shared" si="4"/>
        <v>2020</v>
      </c>
      <c r="K34" s="78" t="str">
        <f t="shared" si="19"/>
        <v/>
      </c>
      <c r="L34" s="73">
        <f t="shared" si="11"/>
        <v>2037</v>
      </c>
      <c r="M34" s="56">
        <f t="shared" si="12"/>
        <v>0</v>
      </c>
      <c r="N34" s="56">
        <f t="shared" si="8"/>
        <v>0</v>
      </c>
      <c r="O34" s="56">
        <f t="shared" si="22"/>
        <v>0</v>
      </c>
      <c r="P34" s="118" t="e">
        <f t="shared" si="23"/>
        <v>#DIV/0!</v>
      </c>
      <c r="Q34" s="181" t="e">
        <f t="shared" ref="Q34" si="24">M34/O34</f>
        <v>#DIV/0!</v>
      </c>
      <c r="R34" s="181">
        <f t="shared" ref="R34" si="25">IFERROR(N34/O34,0)</f>
        <v>0</v>
      </c>
    </row>
    <row r="35" spans="2:20" hidden="1">
      <c r="B35" s="78">
        <f t="shared" si="1"/>
        <v>44136</v>
      </c>
      <c r="C35" s="75">
        <f>IF(F35&lt;&gt;0,-INDEX([9]Delta!$F$1:$EE$997,$L$13,$I35),0)</f>
        <v>0</v>
      </c>
      <c r="D35" s="71">
        <f>IF(F35&lt;&gt;0,VLOOKUP($J35,'Table 1'!$B$13:$C$33,2,FALSE)/12*1000*Study_MW,0)</f>
        <v>0</v>
      </c>
      <c r="E35" s="71">
        <f t="shared" si="17"/>
        <v>0</v>
      </c>
      <c r="F35" s="75">
        <f>INDEX([9]Delta!$F$1:$EE$997,$L$14,$I35)</f>
        <v>0</v>
      </c>
      <c r="G35" s="76" t="e">
        <f t="shared" si="3"/>
        <v>#DIV/0!</v>
      </c>
      <c r="I35" s="77">
        <f t="shared" si="18"/>
        <v>24</v>
      </c>
      <c r="J35" s="73">
        <f t="shared" si="4"/>
        <v>2020</v>
      </c>
      <c r="K35" s="78" t="str">
        <f t="shared" si="19"/>
        <v/>
      </c>
      <c r="L35" s="73">
        <f t="shared" si="11"/>
        <v>2038</v>
      </c>
      <c r="M35" s="56">
        <f t="shared" si="12"/>
        <v>0</v>
      </c>
      <c r="N35" s="56">
        <f t="shared" si="8"/>
        <v>0</v>
      </c>
      <c r="O35" s="56">
        <f t="shared" si="22"/>
        <v>0</v>
      </c>
      <c r="P35" s="118" t="e">
        <f t="shared" ref="P35" si="26">(M35+N35)/O35</f>
        <v>#DIV/0!</v>
      </c>
      <c r="Q35" s="181" t="e">
        <f t="shared" ref="Q35" si="27">M35/O35</f>
        <v>#DIV/0!</v>
      </c>
      <c r="R35" s="181">
        <f t="shared" ref="R35" si="28">IFERROR(N35/O35,0)</f>
        <v>0</v>
      </c>
    </row>
    <row r="36" spans="2:20" hidden="1">
      <c r="B36" s="82">
        <f t="shared" si="1"/>
        <v>44166</v>
      </c>
      <c r="C36" s="79">
        <f>IF(F36&lt;&gt;0,-INDEX([9]Delta!$F$1:$EE$997,$L$13,$I36),0)</f>
        <v>0</v>
      </c>
      <c r="D36" s="80">
        <f>IF(F36&lt;&gt;0,VLOOKUP($J36,'Table 1'!$B$13:$C$33,2,FALSE)/12*1000*Study_MW,0)</f>
        <v>0</v>
      </c>
      <c r="E36" s="80">
        <f t="shared" si="17"/>
        <v>0</v>
      </c>
      <c r="F36" s="79">
        <f>INDEX([9]Delta!$F$1:$EE$997,$L$14,$I36)</f>
        <v>0</v>
      </c>
      <c r="G36" s="81" t="e">
        <f t="shared" si="3"/>
        <v>#DIV/0!</v>
      </c>
      <c r="I36" s="64">
        <f t="shared" si="18"/>
        <v>25</v>
      </c>
      <c r="J36" s="73">
        <f t="shared" si="4"/>
        <v>2020</v>
      </c>
      <c r="K36" s="82" t="str">
        <f t="shared" si="19"/>
        <v/>
      </c>
      <c r="L36" s="73">
        <f t="shared" si="11"/>
        <v>2039</v>
      </c>
      <c r="M36" s="56">
        <f t="shared" si="12"/>
        <v>0</v>
      </c>
      <c r="N36" s="56">
        <f t="shared" si="8"/>
        <v>0</v>
      </c>
      <c r="O36" s="56">
        <f t="shared" ref="O36" si="29">SUMIF($J$13:$J$264,L36,$F$13:$F$264)</f>
        <v>0</v>
      </c>
      <c r="P36" s="118" t="e">
        <f t="shared" ref="P36" si="30">(M36+N36)/O36</f>
        <v>#DIV/0!</v>
      </c>
      <c r="Q36" s="181" t="e">
        <f t="shared" ref="Q36" si="31">M36/O36</f>
        <v>#DIV/0!</v>
      </c>
      <c r="R36" s="181">
        <f t="shared" ref="R36" si="32">IFERROR(N36/O36,0)</f>
        <v>0</v>
      </c>
    </row>
    <row r="37" spans="2:20" hidden="1" outlineLevel="1">
      <c r="B37" s="74">
        <f t="shared" si="1"/>
        <v>44197</v>
      </c>
      <c r="C37" s="69">
        <f>IF(F37&lt;&gt;0,-INDEX([9]Delta!$F$1:$EE$997,$L$13,$I37),0)</f>
        <v>0</v>
      </c>
      <c r="D37" s="70">
        <f>IF(F37&lt;&gt;0,VLOOKUP($J37,'Table 1'!$B$13:$C$33,2,FALSE)/12*1000*Study_MW,0)</f>
        <v>0</v>
      </c>
      <c r="E37" s="70">
        <f t="shared" si="17"/>
        <v>0</v>
      </c>
      <c r="F37" s="69">
        <f>INDEX([9]Delta!$F$1:$EE$997,$L$14,$I37)</f>
        <v>0</v>
      </c>
      <c r="G37" s="72" t="e">
        <f t="shared" si="3"/>
        <v>#DIV/0!</v>
      </c>
      <c r="I37" s="60">
        <f>I25+13</f>
        <v>27</v>
      </c>
      <c r="J37" s="73">
        <f t="shared" si="4"/>
        <v>2021</v>
      </c>
      <c r="K37" s="74" t="str">
        <f t="shared" si="19"/>
        <v/>
      </c>
      <c r="M37" s="192"/>
    </row>
    <row r="38" spans="2:20" hidden="1" outlineLevel="1">
      <c r="B38" s="78">
        <f t="shared" si="1"/>
        <v>44228</v>
      </c>
      <c r="C38" s="75">
        <f>IF(F38&lt;&gt;0,-INDEX([9]Delta!$F$1:$EE$997,$L$13,$I38),0)</f>
        <v>0</v>
      </c>
      <c r="D38" s="71">
        <f>IF(F38&lt;&gt;0,VLOOKUP($J38,'Table 1'!$B$13:$C$33,2,FALSE)/12*1000*Study_MW,0)</f>
        <v>0</v>
      </c>
      <c r="E38" s="71">
        <f t="shared" si="17"/>
        <v>0</v>
      </c>
      <c r="F38" s="75">
        <f>INDEX([9]Delta!$F$1:$EE$997,$L$14,$I38)</f>
        <v>0</v>
      </c>
      <c r="G38" s="76" t="e">
        <f t="shared" si="3"/>
        <v>#DIV/0!</v>
      </c>
      <c r="I38" s="77">
        <f t="shared" si="18"/>
        <v>28</v>
      </c>
      <c r="J38" s="73">
        <f t="shared" si="4"/>
        <v>2021</v>
      </c>
      <c r="K38" s="78" t="str">
        <f t="shared" si="19"/>
        <v/>
      </c>
      <c r="M38" s="192"/>
    </row>
    <row r="39" spans="2:20" hidden="1" outlineLevel="1">
      <c r="B39" s="78">
        <f t="shared" si="1"/>
        <v>44256</v>
      </c>
      <c r="C39" s="75">
        <f>IF(F39&lt;&gt;0,-INDEX([9]Delta!$F$1:$EE$997,$L$13,$I39),0)</f>
        <v>0</v>
      </c>
      <c r="D39" s="71">
        <f>IF(F39&lt;&gt;0,VLOOKUP($J39,'Table 1'!$B$13:$C$33,2,FALSE)/12*1000*Study_MW,0)</f>
        <v>0</v>
      </c>
      <c r="E39" s="71">
        <f t="shared" si="17"/>
        <v>0</v>
      </c>
      <c r="F39" s="75">
        <f>INDEX([9]Delta!$F$1:$EE$997,$L$14,$I39)</f>
        <v>0</v>
      </c>
      <c r="G39" s="76" t="e">
        <f t="shared" si="3"/>
        <v>#DIV/0!</v>
      </c>
      <c r="I39" s="77">
        <f t="shared" si="18"/>
        <v>29</v>
      </c>
      <c r="J39" s="73">
        <f t="shared" si="4"/>
        <v>2021</v>
      </c>
      <c r="K39" s="78" t="str">
        <f t="shared" si="19"/>
        <v/>
      </c>
    </row>
    <row r="40" spans="2:20" hidden="1" outlineLevel="1">
      <c r="B40" s="78">
        <f t="shared" si="1"/>
        <v>44287</v>
      </c>
      <c r="C40" s="75">
        <f>IF(F40&lt;&gt;0,-INDEX([9]Delta!$F$1:$EE$997,$L$13,$I40),0)</f>
        <v>0</v>
      </c>
      <c r="D40" s="71">
        <f>IF(F40&lt;&gt;0,VLOOKUP($J40,'Table 1'!$B$13:$C$33,2,FALSE)/12*1000*Study_MW,0)</f>
        <v>0</v>
      </c>
      <c r="E40" s="71">
        <f t="shared" si="17"/>
        <v>0</v>
      </c>
      <c r="F40" s="75">
        <f>INDEX([9]Delta!$F$1:$EE$997,$L$14,$I40)</f>
        <v>0</v>
      </c>
      <c r="G40" s="76" t="e">
        <f t="shared" si="3"/>
        <v>#DIV/0!</v>
      </c>
      <c r="I40" s="77">
        <f t="shared" si="18"/>
        <v>30</v>
      </c>
      <c r="J40" s="73">
        <f t="shared" si="4"/>
        <v>2021</v>
      </c>
      <c r="K40" s="78" t="str">
        <f t="shared" si="19"/>
        <v/>
      </c>
      <c r="O40" s="219" t="str">
        <f>"15 Year Starting "&amp;YEAR($K$5)+2</f>
        <v>15 Year Starting 2021</v>
      </c>
      <c r="P40" s="58">
        <f ca="1">NPV($K$9,INDIRECT("C"&amp;$P$5+24&amp;":C"&amp;$P$6+24))</f>
        <v>0</v>
      </c>
      <c r="Q40" s="58">
        <f ca="1">NPV($K$9,INDIRECT("D"&amp;$P$5+24&amp;":D"&amp;$P$6+24))</f>
        <v>0</v>
      </c>
      <c r="R40" s="58">
        <f ca="1">NPV($K$9,INDIRECT("E"&amp;$P$5+24&amp;":E"&amp;$P$6+24))</f>
        <v>0</v>
      </c>
      <c r="S40" s="58">
        <f ca="1">NPV($K$9,INDIRECT("F"&amp;$P$5+24&amp;":F"&amp;$P$6+24))</f>
        <v>0</v>
      </c>
      <c r="T40" s="92" t="e">
        <f ca="1">R40/S40</f>
        <v>#DIV/0!</v>
      </c>
    </row>
    <row r="41" spans="2:20" hidden="1" outlineLevel="1">
      <c r="B41" s="78">
        <f t="shared" si="1"/>
        <v>44317</v>
      </c>
      <c r="C41" s="75">
        <f>IF(F41&lt;&gt;0,-INDEX([9]Delta!$F$1:$EE$997,$L$13,$I41),0)</f>
        <v>0</v>
      </c>
      <c r="D41" s="71">
        <f>IF(F41&lt;&gt;0,VLOOKUP($J41,'Table 1'!$B$13:$C$33,2,FALSE)/12*1000*Study_MW,0)</f>
        <v>0</v>
      </c>
      <c r="E41" s="71">
        <f t="shared" si="17"/>
        <v>0</v>
      </c>
      <c r="F41" s="75">
        <f>INDEX([9]Delta!$F$1:$EE$997,$L$14,$I41)</f>
        <v>0</v>
      </c>
      <c r="G41" s="76" t="e">
        <f t="shared" si="3"/>
        <v>#DIV/0!</v>
      </c>
      <c r="I41" s="77">
        <f t="shared" si="18"/>
        <v>31</v>
      </c>
      <c r="J41" s="73">
        <f t="shared" si="4"/>
        <v>2021</v>
      </c>
      <c r="K41" s="78" t="str">
        <f t="shared" si="19"/>
        <v/>
      </c>
      <c r="O41" s="219" t="str">
        <f>"15 Year Starting "&amp;YEAR($K$5)+3</f>
        <v>15 Year Starting 2022</v>
      </c>
      <c r="P41" s="58">
        <f ca="1">NPV($K$9,INDIRECT("C"&amp;$P$5+36&amp;":C"&amp;$P$6+36))</f>
        <v>0</v>
      </c>
      <c r="Q41" s="58">
        <f ca="1">NPV($K$9,INDIRECT("D"&amp;$P$5+36&amp;":D"&amp;$P$6+36))</f>
        <v>0</v>
      </c>
      <c r="R41" s="58">
        <f ca="1">NPV($K$9,INDIRECT("E"&amp;$P$5+36&amp;":E"&amp;$P$6+36))</f>
        <v>0</v>
      </c>
      <c r="S41" s="58">
        <f ca="1">NPV($K$9,INDIRECT("F"&amp;$P$5+36&amp;":F"&amp;$P$6+36))</f>
        <v>0</v>
      </c>
      <c r="T41" s="92" t="e">
        <f ca="1">R41/S41</f>
        <v>#DIV/0!</v>
      </c>
    </row>
    <row r="42" spans="2:20" hidden="1" outlineLevel="1">
      <c r="B42" s="78">
        <f t="shared" si="1"/>
        <v>44348</v>
      </c>
      <c r="C42" s="75">
        <f>IF(F42&lt;&gt;0,-INDEX([9]Delta!$F$1:$EE$997,$L$13,$I42),0)</f>
        <v>0</v>
      </c>
      <c r="D42" s="71">
        <f>IF(F42&lt;&gt;0,VLOOKUP($J42,'Table 1'!$B$13:$C$33,2,FALSE)/12*1000*Study_MW,0)</f>
        <v>0</v>
      </c>
      <c r="E42" s="71">
        <f t="shared" si="17"/>
        <v>0</v>
      </c>
      <c r="F42" s="75">
        <f>INDEX([9]Delta!$F$1:$EE$997,$L$14,$I42)</f>
        <v>0</v>
      </c>
      <c r="G42" s="76" t="e">
        <f t="shared" si="3"/>
        <v>#DIV/0!</v>
      </c>
      <c r="I42" s="77">
        <f t="shared" si="18"/>
        <v>32</v>
      </c>
      <c r="J42" s="73">
        <f t="shared" si="4"/>
        <v>2021</v>
      </c>
      <c r="K42" s="78" t="str">
        <f t="shared" si="19"/>
        <v/>
      </c>
    </row>
    <row r="43" spans="2:20" hidden="1" outlineLevel="1">
      <c r="B43" s="78">
        <f t="shared" si="1"/>
        <v>44378</v>
      </c>
      <c r="C43" s="75">
        <f>IF(F43&lt;&gt;0,-INDEX([9]Delta!$F$1:$EE$997,$L$13,$I43),0)</f>
        <v>0</v>
      </c>
      <c r="D43" s="71">
        <f>IF(F43&lt;&gt;0,VLOOKUP($J43,'Table 1'!$B$13:$C$33,2,FALSE)/12*1000*Study_MW,0)</f>
        <v>0</v>
      </c>
      <c r="E43" s="71">
        <f t="shared" si="17"/>
        <v>0</v>
      </c>
      <c r="F43" s="75">
        <f>INDEX([9]Delta!$F$1:$EE$997,$L$14,$I43)</f>
        <v>0</v>
      </c>
      <c r="G43" s="76" t="e">
        <f t="shared" si="3"/>
        <v>#DIV/0!</v>
      </c>
      <c r="I43" s="77">
        <f t="shared" si="18"/>
        <v>33</v>
      </c>
      <c r="J43" s="73">
        <f t="shared" si="4"/>
        <v>2021</v>
      </c>
      <c r="K43" s="78" t="str">
        <f t="shared" si="19"/>
        <v/>
      </c>
    </row>
    <row r="44" spans="2:20" hidden="1" outlineLevel="1">
      <c r="B44" s="78">
        <f t="shared" si="1"/>
        <v>44409</v>
      </c>
      <c r="C44" s="75">
        <f>IF(F44&lt;&gt;0,-INDEX([9]Delta!$F$1:$EE$997,$L$13,$I44),0)</f>
        <v>0</v>
      </c>
      <c r="D44" s="71">
        <f>IF(F44&lt;&gt;0,VLOOKUP($J44,'Table 1'!$B$13:$C$33,2,FALSE)/12*1000*Study_MW,0)</f>
        <v>0</v>
      </c>
      <c r="E44" s="71">
        <f t="shared" si="17"/>
        <v>0</v>
      </c>
      <c r="F44" s="75">
        <f>INDEX([9]Delta!$F$1:$EE$997,$L$14,$I44)</f>
        <v>0</v>
      </c>
      <c r="G44" s="76" t="e">
        <f t="shared" si="3"/>
        <v>#DIV/0!</v>
      </c>
      <c r="I44" s="77">
        <f t="shared" si="18"/>
        <v>34</v>
      </c>
      <c r="J44" s="73">
        <f t="shared" si="4"/>
        <v>2021</v>
      </c>
      <c r="K44" s="78" t="str">
        <f t="shared" si="19"/>
        <v/>
      </c>
    </row>
    <row r="45" spans="2:20" hidden="1" outlineLevel="1">
      <c r="B45" s="78">
        <f t="shared" si="1"/>
        <v>44440</v>
      </c>
      <c r="C45" s="75">
        <f>IF(F45&lt;&gt;0,-INDEX([9]Delta!$F$1:$EE$997,$L$13,$I45),0)</f>
        <v>0</v>
      </c>
      <c r="D45" s="71">
        <f>IF(F45&lt;&gt;0,VLOOKUP($J45,'Table 1'!$B$13:$C$33,2,FALSE)/12*1000*Study_MW,0)</f>
        <v>0</v>
      </c>
      <c r="E45" s="71">
        <f t="shared" si="17"/>
        <v>0</v>
      </c>
      <c r="F45" s="75">
        <f>INDEX([9]Delta!$F$1:$EE$997,$L$14,$I45)</f>
        <v>0</v>
      </c>
      <c r="G45" s="76" t="e">
        <f t="shared" si="3"/>
        <v>#DIV/0!</v>
      </c>
      <c r="I45" s="77">
        <f t="shared" si="18"/>
        <v>35</v>
      </c>
      <c r="J45" s="73">
        <f t="shared" si="4"/>
        <v>2021</v>
      </c>
      <c r="K45" s="78" t="str">
        <f t="shared" si="19"/>
        <v/>
      </c>
    </row>
    <row r="46" spans="2:20" hidden="1" outlineLevel="1">
      <c r="B46" s="78">
        <f t="shared" si="1"/>
        <v>44470</v>
      </c>
      <c r="C46" s="75">
        <f>IF(F46&lt;&gt;0,-INDEX([9]Delta!$F$1:$EE$997,$L$13,$I46),0)</f>
        <v>0</v>
      </c>
      <c r="D46" s="71">
        <f>IF(F46&lt;&gt;0,VLOOKUP($J46,'Table 1'!$B$13:$C$33,2,FALSE)/12*1000*Study_MW,0)</f>
        <v>0</v>
      </c>
      <c r="E46" s="71">
        <f t="shared" si="17"/>
        <v>0</v>
      </c>
      <c r="F46" s="75">
        <f>INDEX([9]Delta!$F$1:$EE$997,$L$14,$I46)</f>
        <v>0</v>
      </c>
      <c r="G46" s="76" t="e">
        <f t="shared" si="3"/>
        <v>#DIV/0!</v>
      </c>
      <c r="I46" s="77">
        <f t="shared" si="18"/>
        <v>36</v>
      </c>
      <c r="J46" s="73">
        <f t="shared" si="4"/>
        <v>2021</v>
      </c>
      <c r="K46" s="78" t="str">
        <f t="shared" si="19"/>
        <v/>
      </c>
    </row>
    <row r="47" spans="2:20" hidden="1" outlineLevel="1">
      <c r="B47" s="78">
        <f t="shared" si="1"/>
        <v>44501</v>
      </c>
      <c r="C47" s="75">
        <f>IF(F47&lt;&gt;0,-INDEX([9]Delta!$F$1:$EE$997,$L$13,$I47),0)</f>
        <v>0</v>
      </c>
      <c r="D47" s="71">
        <f>IF(F47&lt;&gt;0,VLOOKUP($J47,'Table 1'!$B$13:$C$33,2,FALSE)/12*1000*Study_MW,0)</f>
        <v>0</v>
      </c>
      <c r="E47" s="71">
        <f t="shared" si="17"/>
        <v>0</v>
      </c>
      <c r="F47" s="75">
        <f>INDEX([9]Delta!$F$1:$EE$997,$L$14,$I47)</f>
        <v>0</v>
      </c>
      <c r="G47" s="76" t="e">
        <f t="shared" si="3"/>
        <v>#DIV/0!</v>
      </c>
      <c r="I47" s="77">
        <f t="shared" si="18"/>
        <v>37</v>
      </c>
      <c r="J47" s="73">
        <f t="shared" si="4"/>
        <v>2021</v>
      </c>
      <c r="K47" s="78" t="str">
        <f t="shared" si="19"/>
        <v/>
      </c>
    </row>
    <row r="48" spans="2:20" hidden="1" outlineLevel="1">
      <c r="B48" s="82">
        <f t="shared" si="1"/>
        <v>44531</v>
      </c>
      <c r="C48" s="79">
        <f>IF(F48&lt;&gt;0,-INDEX([9]Delta!$F$1:$EE$997,$L$13,$I48),0)</f>
        <v>0</v>
      </c>
      <c r="D48" s="80">
        <f>IF(F48&lt;&gt;0,VLOOKUP($J48,'Table 1'!$B$13:$C$33,2,FALSE)/12*1000*Study_MW,0)</f>
        <v>0</v>
      </c>
      <c r="E48" s="80">
        <f t="shared" si="17"/>
        <v>0</v>
      </c>
      <c r="F48" s="79">
        <f>INDEX([9]Delta!$F$1:$EE$997,$L$14,$I48)</f>
        <v>0</v>
      </c>
      <c r="G48" s="81" t="e">
        <f t="shared" si="3"/>
        <v>#DIV/0!</v>
      </c>
      <c r="I48" s="64">
        <f t="shared" si="18"/>
        <v>38</v>
      </c>
      <c r="J48" s="73">
        <f t="shared" si="4"/>
        <v>2021</v>
      </c>
      <c r="K48" s="82" t="str">
        <f t="shared" si="19"/>
        <v/>
      </c>
    </row>
    <row r="49" spans="2:11" hidden="1" outlineLevel="1">
      <c r="B49" s="74">
        <f t="shared" si="1"/>
        <v>44562</v>
      </c>
      <c r="C49" s="69">
        <f>IF(F49&lt;&gt;0,-INDEX([9]Delta!$F$1:$EE$997,$L$13,$I49),0)</f>
        <v>0</v>
      </c>
      <c r="D49" s="70">
        <f>IF(F49&lt;&gt;0,VLOOKUP($J49,'Table 1'!$B$13:$C$33,2,FALSE)/12*1000*Study_MW,0)</f>
        <v>0</v>
      </c>
      <c r="E49" s="70">
        <f t="shared" si="17"/>
        <v>0</v>
      </c>
      <c r="F49" s="69">
        <f>INDEX([9]Delta!$F$1:$EE$997,$L$14,$I49)</f>
        <v>0</v>
      </c>
      <c r="G49" s="72" t="e">
        <f t="shared" si="3"/>
        <v>#DIV/0!</v>
      </c>
      <c r="I49" s="60">
        <f>I37+13</f>
        <v>40</v>
      </c>
      <c r="J49" s="73">
        <f t="shared" si="4"/>
        <v>2022</v>
      </c>
      <c r="K49" s="74" t="str">
        <f t="shared" si="19"/>
        <v/>
      </c>
    </row>
    <row r="50" spans="2:11" hidden="1" outlineLevel="1">
      <c r="B50" s="78">
        <f t="shared" si="1"/>
        <v>44593</v>
      </c>
      <c r="C50" s="75">
        <f>IF(F50&lt;&gt;0,-INDEX([9]Delta!$F$1:$EE$997,$L$13,$I50),0)</f>
        <v>0</v>
      </c>
      <c r="D50" s="71">
        <f>IF(F50&lt;&gt;0,VLOOKUP($J50,'Table 1'!$B$13:$C$33,2,FALSE)/12*1000*Study_MW,0)</f>
        <v>0</v>
      </c>
      <c r="E50" s="71">
        <f t="shared" si="17"/>
        <v>0</v>
      </c>
      <c r="F50" s="75">
        <f>INDEX([9]Delta!$F$1:$EE$997,$L$14,$I50)</f>
        <v>0</v>
      </c>
      <c r="G50" s="76" t="e">
        <f t="shared" si="3"/>
        <v>#DIV/0!</v>
      </c>
      <c r="I50" s="77">
        <f t="shared" si="18"/>
        <v>41</v>
      </c>
      <c r="J50" s="73">
        <f t="shared" si="4"/>
        <v>2022</v>
      </c>
      <c r="K50" s="78" t="str">
        <f t="shared" si="19"/>
        <v/>
      </c>
    </row>
    <row r="51" spans="2:11" hidden="1" outlineLevel="1">
      <c r="B51" s="78">
        <f t="shared" si="1"/>
        <v>44621</v>
      </c>
      <c r="C51" s="75">
        <f>IF(F51&lt;&gt;0,-INDEX([9]Delta!$F$1:$EE$997,$L$13,$I51),0)</f>
        <v>0</v>
      </c>
      <c r="D51" s="71">
        <f>IF(F51&lt;&gt;0,VLOOKUP($J51,'Table 1'!$B$13:$C$33,2,FALSE)/12*1000*Study_MW,0)</f>
        <v>0</v>
      </c>
      <c r="E51" s="71">
        <f t="shared" si="17"/>
        <v>0</v>
      </c>
      <c r="F51" s="75">
        <f>INDEX([9]Delta!$F$1:$EE$997,$L$14,$I51)</f>
        <v>0</v>
      </c>
      <c r="G51" s="76" t="e">
        <f t="shared" si="3"/>
        <v>#DIV/0!</v>
      </c>
      <c r="I51" s="77">
        <f t="shared" si="18"/>
        <v>42</v>
      </c>
      <c r="J51" s="73">
        <f t="shared" si="4"/>
        <v>2022</v>
      </c>
      <c r="K51" s="78" t="str">
        <f t="shared" si="19"/>
        <v/>
      </c>
    </row>
    <row r="52" spans="2:11" hidden="1" outlineLevel="1">
      <c r="B52" s="78">
        <f t="shared" si="1"/>
        <v>44652</v>
      </c>
      <c r="C52" s="75">
        <f>IF(F52&lt;&gt;0,-INDEX([9]Delta!$F$1:$EE$997,$L$13,$I52),0)</f>
        <v>0</v>
      </c>
      <c r="D52" s="71">
        <f>IF(F52&lt;&gt;0,VLOOKUP($J52,'Table 1'!$B$13:$C$33,2,FALSE)/12*1000*Study_MW,0)</f>
        <v>0</v>
      </c>
      <c r="E52" s="71">
        <f t="shared" si="17"/>
        <v>0</v>
      </c>
      <c r="F52" s="75">
        <f>INDEX([9]Delta!$F$1:$EE$997,$L$14,$I52)</f>
        <v>0</v>
      </c>
      <c r="G52" s="76" t="e">
        <f t="shared" si="3"/>
        <v>#DIV/0!</v>
      </c>
      <c r="I52" s="77">
        <f t="shared" si="18"/>
        <v>43</v>
      </c>
      <c r="J52" s="73">
        <f t="shared" si="4"/>
        <v>2022</v>
      </c>
      <c r="K52" s="78" t="str">
        <f t="shared" si="19"/>
        <v/>
      </c>
    </row>
    <row r="53" spans="2:11" hidden="1" outlineLevel="1">
      <c r="B53" s="78">
        <f t="shared" si="1"/>
        <v>44682</v>
      </c>
      <c r="C53" s="75">
        <f>IF(F53&lt;&gt;0,-INDEX([9]Delta!$F$1:$EE$997,$L$13,$I53),0)</f>
        <v>0</v>
      </c>
      <c r="D53" s="71">
        <f>IF(F53&lt;&gt;0,VLOOKUP($J53,'Table 1'!$B$13:$C$33,2,FALSE)/12*1000*Study_MW,0)</f>
        <v>0</v>
      </c>
      <c r="E53" s="71">
        <f t="shared" si="17"/>
        <v>0</v>
      </c>
      <c r="F53" s="75">
        <f>INDEX([9]Delta!$F$1:$EE$997,$L$14,$I53)</f>
        <v>0</v>
      </c>
      <c r="G53" s="76" t="e">
        <f t="shared" si="3"/>
        <v>#DIV/0!</v>
      </c>
      <c r="I53" s="77">
        <f t="shared" si="18"/>
        <v>44</v>
      </c>
      <c r="J53" s="73">
        <f t="shared" si="4"/>
        <v>2022</v>
      </c>
      <c r="K53" s="78" t="str">
        <f t="shared" si="19"/>
        <v/>
      </c>
    </row>
    <row r="54" spans="2:11" hidden="1" outlineLevel="1">
      <c r="B54" s="78">
        <f t="shared" si="1"/>
        <v>44713</v>
      </c>
      <c r="C54" s="75">
        <f>IF(F54&lt;&gt;0,-INDEX([9]Delta!$F$1:$EE$997,$L$13,$I54),0)</f>
        <v>0</v>
      </c>
      <c r="D54" s="71">
        <f>IF(F54&lt;&gt;0,VLOOKUP($J54,'Table 1'!$B$13:$C$33,2,FALSE)/12*1000*Study_MW,0)</f>
        <v>0</v>
      </c>
      <c r="E54" s="71">
        <f t="shared" si="17"/>
        <v>0</v>
      </c>
      <c r="F54" s="75">
        <f>INDEX([9]Delta!$F$1:$EE$997,$L$14,$I54)</f>
        <v>0</v>
      </c>
      <c r="G54" s="76" t="e">
        <f t="shared" si="3"/>
        <v>#DIV/0!</v>
      </c>
      <c r="I54" s="77">
        <f t="shared" si="18"/>
        <v>45</v>
      </c>
      <c r="J54" s="73">
        <f t="shared" si="4"/>
        <v>2022</v>
      </c>
      <c r="K54" s="78" t="str">
        <f t="shared" si="19"/>
        <v/>
      </c>
    </row>
    <row r="55" spans="2:11" hidden="1" outlineLevel="1">
      <c r="B55" s="78">
        <f t="shared" si="1"/>
        <v>44743</v>
      </c>
      <c r="C55" s="75">
        <f>IF(F55&lt;&gt;0,-INDEX([9]Delta!$F$1:$EE$997,$L$13,$I55),0)</f>
        <v>0</v>
      </c>
      <c r="D55" s="71">
        <f>IF(F55&lt;&gt;0,VLOOKUP($J55,'Table 1'!$B$13:$C$33,2,FALSE)/12*1000*Study_MW,0)</f>
        <v>0</v>
      </c>
      <c r="E55" s="71">
        <f t="shared" si="17"/>
        <v>0</v>
      </c>
      <c r="F55" s="75">
        <f>INDEX([9]Delta!$F$1:$EE$997,$L$14,$I55)</f>
        <v>0</v>
      </c>
      <c r="G55" s="76" t="e">
        <f t="shared" si="3"/>
        <v>#DIV/0!</v>
      </c>
      <c r="I55" s="77">
        <f t="shared" si="18"/>
        <v>46</v>
      </c>
      <c r="J55" s="73">
        <f t="shared" si="4"/>
        <v>2022</v>
      </c>
      <c r="K55" s="78" t="str">
        <f t="shared" si="19"/>
        <v/>
      </c>
    </row>
    <row r="56" spans="2:11" hidden="1" outlineLevel="1">
      <c r="B56" s="78">
        <f t="shared" si="1"/>
        <v>44774</v>
      </c>
      <c r="C56" s="75">
        <f>IF(F56&lt;&gt;0,-INDEX([9]Delta!$F$1:$EE$997,$L$13,$I56),0)</f>
        <v>0</v>
      </c>
      <c r="D56" s="71">
        <f>IF(F56&lt;&gt;0,VLOOKUP($J56,'Table 1'!$B$13:$C$33,2,FALSE)/12*1000*Study_MW,0)</f>
        <v>0</v>
      </c>
      <c r="E56" s="71">
        <f t="shared" si="17"/>
        <v>0</v>
      </c>
      <c r="F56" s="75">
        <f>INDEX([9]Delta!$F$1:$EE$997,$L$14,$I56)</f>
        <v>0</v>
      </c>
      <c r="G56" s="76" t="e">
        <f t="shared" si="3"/>
        <v>#DIV/0!</v>
      </c>
      <c r="I56" s="77">
        <f t="shared" si="18"/>
        <v>47</v>
      </c>
      <c r="J56" s="73">
        <f t="shared" si="4"/>
        <v>2022</v>
      </c>
      <c r="K56" s="78" t="str">
        <f t="shared" si="19"/>
        <v/>
      </c>
    </row>
    <row r="57" spans="2:11" hidden="1" outlineLevel="1">
      <c r="B57" s="78">
        <f t="shared" si="1"/>
        <v>44805</v>
      </c>
      <c r="C57" s="75">
        <f>IF(F57&lt;&gt;0,-INDEX([9]Delta!$F$1:$EE$997,$L$13,$I57),0)</f>
        <v>0</v>
      </c>
      <c r="D57" s="71">
        <f>IF(F57&lt;&gt;0,VLOOKUP($J57,'Table 1'!$B$13:$C$33,2,FALSE)/12*1000*Study_MW,0)</f>
        <v>0</v>
      </c>
      <c r="E57" s="71">
        <f t="shared" si="17"/>
        <v>0</v>
      </c>
      <c r="F57" s="75">
        <f>INDEX([9]Delta!$F$1:$EE$997,$L$14,$I57)</f>
        <v>0</v>
      </c>
      <c r="G57" s="76" t="e">
        <f t="shared" si="3"/>
        <v>#DIV/0!</v>
      </c>
      <c r="I57" s="77">
        <f t="shared" si="18"/>
        <v>48</v>
      </c>
      <c r="J57" s="73">
        <f t="shared" si="4"/>
        <v>2022</v>
      </c>
      <c r="K57" s="78" t="str">
        <f t="shared" si="19"/>
        <v/>
      </c>
    </row>
    <row r="58" spans="2:11" hidden="1" outlineLevel="1">
      <c r="B58" s="78">
        <f t="shared" si="1"/>
        <v>44835</v>
      </c>
      <c r="C58" s="75">
        <f>IF(F58&lt;&gt;0,-INDEX([9]Delta!$F$1:$EE$997,$L$13,$I58),0)</f>
        <v>0</v>
      </c>
      <c r="D58" s="71">
        <f>IF(F58&lt;&gt;0,VLOOKUP($J58,'Table 1'!$B$13:$C$33,2,FALSE)/12*1000*Study_MW,0)</f>
        <v>0</v>
      </c>
      <c r="E58" s="71">
        <f t="shared" si="17"/>
        <v>0</v>
      </c>
      <c r="F58" s="75">
        <f>INDEX([9]Delta!$F$1:$EE$997,$L$14,$I58)</f>
        <v>0</v>
      </c>
      <c r="G58" s="76" t="e">
        <f t="shared" si="3"/>
        <v>#DIV/0!</v>
      </c>
      <c r="I58" s="77">
        <f t="shared" si="18"/>
        <v>49</v>
      </c>
      <c r="J58" s="73">
        <f t="shared" si="4"/>
        <v>2022</v>
      </c>
      <c r="K58" s="78" t="str">
        <f t="shared" si="19"/>
        <v/>
      </c>
    </row>
    <row r="59" spans="2:11" hidden="1" outlineLevel="1">
      <c r="B59" s="78">
        <f t="shared" si="1"/>
        <v>44866</v>
      </c>
      <c r="C59" s="75">
        <f>IF(F59&lt;&gt;0,-INDEX([9]Delta!$F$1:$EE$997,$L$13,$I59),0)</f>
        <v>0</v>
      </c>
      <c r="D59" s="71">
        <f>IF(F59&lt;&gt;0,VLOOKUP($J59,'Table 1'!$B$13:$C$33,2,FALSE)/12*1000*Study_MW,0)</f>
        <v>0</v>
      </c>
      <c r="E59" s="71">
        <f t="shared" si="17"/>
        <v>0</v>
      </c>
      <c r="F59" s="75">
        <f>INDEX([9]Delta!$F$1:$EE$997,$L$14,$I59)</f>
        <v>0</v>
      </c>
      <c r="G59" s="76" t="e">
        <f t="shared" si="3"/>
        <v>#DIV/0!</v>
      </c>
      <c r="I59" s="77">
        <f t="shared" si="18"/>
        <v>50</v>
      </c>
      <c r="J59" s="73">
        <f t="shared" si="4"/>
        <v>2022</v>
      </c>
      <c r="K59" s="78" t="str">
        <f t="shared" si="19"/>
        <v/>
      </c>
    </row>
    <row r="60" spans="2:11" hidden="1" outlineLevel="1">
      <c r="B60" s="82">
        <f t="shared" si="1"/>
        <v>44896</v>
      </c>
      <c r="C60" s="79">
        <f>IF(F60&lt;&gt;0,-INDEX([9]Delta!$F$1:$EE$997,$L$13,$I60),0)</f>
        <v>0</v>
      </c>
      <c r="D60" s="80">
        <f>IF(F60&lt;&gt;0,VLOOKUP($J60,'Table 1'!$B$13:$C$33,2,FALSE)/12*1000*Study_MW,0)</f>
        <v>0</v>
      </c>
      <c r="E60" s="80">
        <f t="shared" si="17"/>
        <v>0</v>
      </c>
      <c r="F60" s="79">
        <f>INDEX([9]Delta!$F$1:$EE$997,$L$14,$I60)</f>
        <v>0</v>
      </c>
      <c r="G60" s="81" t="e">
        <f t="shared" si="3"/>
        <v>#DIV/0!</v>
      </c>
      <c r="I60" s="64">
        <f t="shared" si="18"/>
        <v>51</v>
      </c>
      <c r="J60" s="73">
        <f t="shared" si="4"/>
        <v>2022</v>
      </c>
      <c r="K60" s="82" t="str">
        <f t="shared" si="19"/>
        <v/>
      </c>
    </row>
    <row r="61" spans="2:11" hidden="1" outlineLevel="1">
      <c r="B61" s="74">
        <f t="shared" si="1"/>
        <v>44927</v>
      </c>
      <c r="C61" s="69">
        <f>IF(F61&lt;&gt;0,-INDEX([9]Delta!$F$1:$EE$997,$L$13,$I61),0)</f>
        <v>0</v>
      </c>
      <c r="D61" s="70">
        <f>IF(F61&lt;&gt;0,VLOOKUP($J61,'Table 1'!$B$13:$C$33,2,FALSE)/12*1000*Study_MW,0)</f>
        <v>0</v>
      </c>
      <c r="E61" s="70">
        <f t="shared" si="17"/>
        <v>0</v>
      </c>
      <c r="F61" s="69">
        <f>INDEX([9]Delta!$F$1:$EE$997,$L$14,$I61)</f>
        <v>0</v>
      </c>
      <c r="G61" s="72" t="e">
        <f t="shared" si="3"/>
        <v>#DIV/0!</v>
      </c>
      <c r="I61" s="60">
        <f>I49+13</f>
        <v>53</v>
      </c>
      <c r="J61" s="73">
        <f t="shared" si="4"/>
        <v>2023</v>
      </c>
      <c r="K61" s="74" t="str">
        <f t="shared" si="19"/>
        <v/>
      </c>
    </row>
    <row r="62" spans="2:11" hidden="1" outlineLevel="1">
      <c r="B62" s="78">
        <f t="shared" si="1"/>
        <v>44958</v>
      </c>
      <c r="C62" s="75">
        <f>IF(F62&lt;&gt;0,-INDEX([9]Delta!$F$1:$EE$997,$L$13,$I62),0)</f>
        <v>0</v>
      </c>
      <c r="D62" s="71">
        <f>IF(F62&lt;&gt;0,VLOOKUP($J62,'Table 1'!$B$13:$C$33,2,FALSE)/12*1000*Study_MW,0)</f>
        <v>0</v>
      </c>
      <c r="E62" s="71">
        <f t="shared" si="17"/>
        <v>0</v>
      </c>
      <c r="F62" s="75">
        <f>INDEX([9]Delta!$F$1:$EE$997,$L$14,$I62)</f>
        <v>0</v>
      </c>
      <c r="G62" s="76" t="e">
        <f t="shared" si="3"/>
        <v>#DIV/0!</v>
      </c>
      <c r="I62" s="77">
        <f t="shared" si="18"/>
        <v>54</v>
      </c>
      <c r="J62" s="73">
        <f t="shared" si="4"/>
        <v>2023</v>
      </c>
      <c r="K62" s="78" t="str">
        <f t="shared" si="19"/>
        <v/>
      </c>
    </row>
    <row r="63" spans="2:11" hidden="1" outlineLevel="1">
      <c r="B63" s="78">
        <f t="shared" si="1"/>
        <v>44986</v>
      </c>
      <c r="C63" s="75">
        <f>IF(F63&lt;&gt;0,-INDEX([9]Delta!$F$1:$EE$997,$L$13,$I63),0)</f>
        <v>0</v>
      </c>
      <c r="D63" s="71">
        <f>IF(F63&lt;&gt;0,VLOOKUP($J63,'Table 1'!$B$13:$C$33,2,FALSE)/12*1000*Study_MW,0)</f>
        <v>0</v>
      </c>
      <c r="E63" s="71">
        <f t="shared" si="17"/>
        <v>0</v>
      </c>
      <c r="F63" s="75">
        <f>INDEX([9]Delta!$F$1:$EE$997,$L$14,$I63)</f>
        <v>0</v>
      </c>
      <c r="G63" s="76" t="e">
        <f t="shared" si="3"/>
        <v>#DIV/0!</v>
      </c>
      <c r="I63" s="77">
        <f t="shared" si="18"/>
        <v>55</v>
      </c>
      <c r="J63" s="73">
        <f t="shared" si="4"/>
        <v>2023</v>
      </c>
      <c r="K63" s="78" t="str">
        <f t="shared" si="19"/>
        <v/>
      </c>
    </row>
    <row r="64" spans="2:11" hidden="1" outlineLevel="1">
      <c r="B64" s="78">
        <f t="shared" si="1"/>
        <v>45017</v>
      </c>
      <c r="C64" s="75">
        <f>IF(F64&lt;&gt;0,-INDEX([9]Delta!$F$1:$EE$997,$L$13,$I64),0)</f>
        <v>0</v>
      </c>
      <c r="D64" s="71">
        <f>IF(F64&lt;&gt;0,VLOOKUP($J64,'Table 1'!$B$13:$C$33,2,FALSE)/12*1000*Study_MW,0)</f>
        <v>0</v>
      </c>
      <c r="E64" s="71">
        <f t="shared" si="17"/>
        <v>0</v>
      </c>
      <c r="F64" s="75">
        <f>INDEX([9]Delta!$F$1:$EE$997,$L$14,$I64)</f>
        <v>0</v>
      </c>
      <c r="G64" s="76" t="e">
        <f t="shared" si="3"/>
        <v>#DIV/0!</v>
      </c>
      <c r="I64" s="77">
        <f t="shared" si="18"/>
        <v>56</v>
      </c>
      <c r="J64" s="73">
        <f t="shared" si="4"/>
        <v>2023</v>
      </c>
      <c r="K64" s="78" t="str">
        <f t="shared" si="19"/>
        <v/>
      </c>
    </row>
    <row r="65" spans="2:11" hidden="1" outlineLevel="1">
      <c r="B65" s="78">
        <f t="shared" si="1"/>
        <v>45047</v>
      </c>
      <c r="C65" s="75">
        <f>IF(F65&lt;&gt;0,-INDEX([9]Delta!$F$1:$EE$997,$L$13,$I65),0)</f>
        <v>0</v>
      </c>
      <c r="D65" s="71">
        <f>IF(F65&lt;&gt;0,VLOOKUP($J65,'Table 1'!$B$13:$C$33,2,FALSE)/12*1000*Study_MW,0)</f>
        <v>0</v>
      </c>
      <c r="E65" s="71">
        <f t="shared" si="17"/>
        <v>0</v>
      </c>
      <c r="F65" s="75">
        <f>INDEX([9]Delta!$F$1:$EE$997,$L$14,$I65)</f>
        <v>0</v>
      </c>
      <c r="G65" s="76" t="e">
        <f t="shared" si="3"/>
        <v>#DIV/0!</v>
      </c>
      <c r="I65" s="77">
        <f t="shared" si="18"/>
        <v>57</v>
      </c>
      <c r="J65" s="73">
        <f t="shared" si="4"/>
        <v>2023</v>
      </c>
      <c r="K65" s="78" t="str">
        <f t="shared" si="19"/>
        <v/>
      </c>
    </row>
    <row r="66" spans="2:11" hidden="1" outlineLevel="1">
      <c r="B66" s="78">
        <f t="shared" si="1"/>
        <v>45078</v>
      </c>
      <c r="C66" s="75">
        <f>IF(F66&lt;&gt;0,-INDEX([9]Delta!$F$1:$EE$997,$L$13,$I66),0)</f>
        <v>0</v>
      </c>
      <c r="D66" s="71">
        <f>IF(F66&lt;&gt;0,VLOOKUP($J66,'Table 1'!$B$13:$C$33,2,FALSE)/12*1000*Study_MW,0)</f>
        <v>0</v>
      </c>
      <c r="E66" s="71">
        <f t="shared" si="17"/>
        <v>0</v>
      </c>
      <c r="F66" s="75">
        <f>INDEX([9]Delta!$F$1:$EE$997,$L$14,$I66)</f>
        <v>0</v>
      </c>
      <c r="G66" s="76" t="e">
        <f t="shared" si="3"/>
        <v>#DIV/0!</v>
      </c>
      <c r="I66" s="77">
        <f t="shared" si="18"/>
        <v>58</v>
      </c>
      <c r="J66" s="73">
        <f t="shared" si="4"/>
        <v>2023</v>
      </c>
      <c r="K66" s="78" t="str">
        <f t="shared" si="19"/>
        <v/>
      </c>
    </row>
    <row r="67" spans="2:11" hidden="1" outlineLevel="1">
      <c r="B67" s="78">
        <f t="shared" si="1"/>
        <v>45108</v>
      </c>
      <c r="C67" s="75">
        <f>IF(F67&lt;&gt;0,-INDEX([9]Delta!$F$1:$EE$997,$L$13,$I67),0)</f>
        <v>0</v>
      </c>
      <c r="D67" s="71">
        <f>IF(F67&lt;&gt;0,VLOOKUP($J67,'Table 1'!$B$13:$C$33,2,FALSE)/12*1000*Study_MW,0)</f>
        <v>0</v>
      </c>
      <c r="E67" s="71">
        <f t="shared" si="17"/>
        <v>0</v>
      </c>
      <c r="F67" s="75">
        <f>INDEX([9]Delta!$F$1:$EE$997,$L$14,$I67)</f>
        <v>0</v>
      </c>
      <c r="G67" s="76" t="e">
        <f t="shared" si="3"/>
        <v>#DIV/0!</v>
      </c>
      <c r="I67" s="77">
        <f t="shared" si="18"/>
        <v>59</v>
      </c>
      <c r="J67" s="73">
        <f t="shared" si="4"/>
        <v>2023</v>
      </c>
      <c r="K67" s="78" t="str">
        <f t="shared" si="19"/>
        <v/>
      </c>
    </row>
    <row r="68" spans="2:11" hidden="1" outlineLevel="1">
      <c r="B68" s="78">
        <f t="shared" si="1"/>
        <v>45139</v>
      </c>
      <c r="C68" s="75">
        <f>IF(F68&lt;&gt;0,-INDEX([9]Delta!$F$1:$EE$997,$L$13,$I68),0)</f>
        <v>0</v>
      </c>
      <c r="D68" s="71">
        <f>IF(F68&lt;&gt;0,VLOOKUP($J68,'Table 1'!$B$13:$C$33,2,FALSE)/12*1000*Study_MW,0)</f>
        <v>0</v>
      </c>
      <c r="E68" s="71">
        <f t="shared" si="17"/>
        <v>0</v>
      </c>
      <c r="F68" s="75">
        <f>INDEX([9]Delta!$F$1:$EE$997,$L$14,$I68)</f>
        <v>0</v>
      </c>
      <c r="G68" s="76" t="e">
        <f t="shared" si="3"/>
        <v>#DIV/0!</v>
      </c>
      <c r="I68" s="77">
        <f t="shared" si="18"/>
        <v>60</v>
      </c>
      <c r="J68" s="73">
        <f t="shared" si="4"/>
        <v>2023</v>
      </c>
      <c r="K68" s="78" t="str">
        <f t="shared" si="19"/>
        <v/>
      </c>
    </row>
    <row r="69" spans="2:11" hidden="1" outlineLevel="1">
      <c r="B69" s="78">
        <f t="shared" si="1"/>
        <v>45170</v>
      </c>
      <c r="C69" s="75">
        <f>IF(F69&lt;&gt;0,-INDEX([9]Delta!$F$1:$EE$997,$L$13,$I69),0)</f>
        <v>0</v>
      </c>
      <c r="D69" s="71">
        <f>IF(F69&lt;&gt;0,VLOOKUP($J69,'Table 1'!$B$13:$C$33,2,FALSE)/12*1000*Study_MW,0)</f>
        <v>0</v>
      </c>
      <c r="E69" s="71">
        <f t="shared" si="17"/>
        <v>0</v>
      </c>
      <c r="F69" s="75">
        <f>INDEX([9]Delta!$F$1:$EE$997,$L$14,$I69)</f>
        <v>0</v>
      </c>
      <c r="G69" s="76" t="e">
        <f t="shared" si="3"/>
        <v>#DIV/0!</v>
      </c>
      <c r="I69" s="77">
        <f t="shared" si="18"/>
        <v>61</v>
      </c>
      <c r="J69" s="73">
        <f t="shared" si="4"/>
        <v>2023</v>
      </c>
      <c r="K69" s="78" t="str">
        <f t="shared" si="19"/>
        <v/>
      </c>
    </row>
    <row r="70" spans="2:11" hidden="1" outlineLevel="1">
      <c r="B70" s="78">
        <f t="shared" si="1"/>
        <v>45200</v>
      </c>
      <c r="C70" s="75">
        <f>IF(F70&lt;&gt;0,-INDEX([9]Delta!$F$1:$EE$997,$L$13,$I70),0)</f>
        <v>0</v>
      </c>
      <c r="D70" s="71">
        <f>IF(F70&lt;&gt;0,VLOOKUP($J70,'Table 1'!$B$13:$C$33,2,FALSE)/12*1000*Study_MW,0)</f>
        <v>0</v>
      </c>
      <c r="E70" s="71">
        <f t="shared" si="17"/>
        <v>0</v>
      </c>
      <c r="F70" s="75">
        <f>INDEX([9]Delta!$F$1:$EE$997,$L$14,$I70)</f>
        <v>0</v>
      </c>
      <c r="G70" s="76" t="e">
        <f t="shared" si="3"/>
        <v>#DIV/0!</v>
      </c>
      <c r="I70" s="77">
        <f t="shared" si="18"/>
        <v>62</v>
      </c>
      <c r="J70" s="73">
        <f t="shared" si="4"/>
        <v>2023</v>
      </c>
      <c r="K70" s="78" t="str">
        <f t="shared" si="19"/>
        <v/>
      </c>
    </row>
    <row r="71" spans="2:11" hidden="1" outlineLevel="1">
      <c r="B71" s="78">
        <f t="shared" si="1"/>
        <v>45231</v>
      </c>
      <c r="C71" s="75">
        <f>IF(F71&lt;&gt;0,-INDEX([9]Delta!$F$1:$EE$997,$L$13,$I71),0)</f>
        <v>0</v>
      </c>
      <c r="D71" s="71">
        <f>IF(F71&lt;&gt;0,VLOOKUP($J71,'Table 1'!$B$13:$C$33,2,FALSE)/12*1000*Study_MW,0)</f>
        <v>0</v>
      </c>
      <c r="E71" s="71">
        <f t="shared" si="17"/>
        <v>0</v>
      </c>
      <c r="F71" s="75">
        <f>INDEX([9]Delta!$F$1:$EE$997,$L$14,$I71)</f>
        <v>0</v>
      </c>
      <c r="G71" s="76" t="e">
        <f t="shared" si="3"/>
        <v>#DIV/0!</v>
      </c>
      <c r="I71" s="77">
        <f t="shared" si="18"/>
        <v>63</v>
      </c>
      <c r="J71" s="73">
        <f t="shared" si="4"/>
        <v>2023</v>
      </c>
      <c r="K71" s="78" t="str">
        <f t="shared" si="19"/>
        <v/>
      </c>
    </row>
    <row r="72" spans="2:11" hidden="1" outlineLevel="1">
      <c r="B72" s="82">
        <f t="shared" si="1"/>
        <v>45261</v>
      </c>
      <c r="C72" s="79">
        <f>IF(F72&lt;&gt;0,-INDEX([9]Delta!$F$1:$EE$997,$L$13,$I72),0)</f>
        <v>0</v>
      </c>
      <c r="D72" s="80">
        <f>IF(F72&lt;&gt;0,VLOOKUP($J72,'Table 1'!$B$13:$C$33,2,FALSE)/12*1000*Study_MW,0)</f>
        <v>0</v>
      </c>
      <c r="E72" s="80">
        <f t="shared" si="17"/>
        <v>0</v>
      </c>
      <c r="F72" s="79">
        <f>INDEX([9]Delta!$F$1:$EE$997,$L$14,$I72)</f>
        <v>0</v>
      </c>
      <c r="G72" s="81" t="e">
        <f t="shared" si="3"/>
        <v>#DIV/0!</v>
      </c>
      <c r="I72" s="64">
        <f t="shared" si="18"/>
        <v>64</v>
      </c>
      <c r="J72" s="73">
        <f t="shared" si="4"/>
        <v>2023</v>
      </c>
      <c r="K72" s="82" t="str">
        <f t="shared" si="19"/>
        <v/>
      </c>
    </row>
    <row r="73" spans="2:11" hidden="1" outlineLevel="1">
      <c r="B73" s="74">
        <f t="shared" si="1"/>
        <v>45292</v>
      </c>
      <c r="C73" s="69">
        <f>IF(F73&lt;&gt;0,-INDEX([9]Delta!$F$1:$EE$997,$L$13,$I73),0)</f>
        <v>0</v>
      </c>
      <c r="D73" s="70">
        <f>IF(F73&lt;&gt;0,VLOOKUP($J73,'Table 1'!$B$13:$C$33,2,FALSE)/12*1000*Study_MW,0)</f>
        <v>0</v>
      </c>
      <c r="E73" s="70">
        <f t="shared" si="17"/>
        <v>0</v>
      </c>
      <c r="F73" s="69">
        <f>INDEX([9]Delta!$F$1:$EE$997,$L$14,$I73)</f>
        <v>0</v>
      </c>
      <c r="G73" s="72" t="e">
        <f t="shared" si="3"/>
        <v>#DIV/0!</v>
      </c>
      <c r="I73" s="60">
        <f>I61+13</f>
        <v>66</v>
      </c>
      <c r="J73" s="73">
        <f t="shared" si="4"/>
        <v>2024</v>
      </c>
      <c r="K73" s="74" t="str">
        <f t="shared" si="19"/>
        <v/>
      </c>
    </row>
    <row r="74" spans="2:11" hidden="1" outlineLevel="1">
      <c r="B74" s="78">
        <f t="shared" si="1"/>
        <v>45323</v>
      </c>
      <c r="C74" s="75">
        <f>IF(F74&lt;&gt;0,-INDEX([9]Delta!$F$1:$EE$997,$L$13,$I74),0)</f>
        <v>0</v>
      </c>
      <c r="D74" s="71">
        <f>IF(F74&lt;&gt;0,VLOOKUP($J74,'Table 1'!$B$13:$C$33,2,FALSE)/12*1000*Study_MW,0)</f>
        <v>0</v>
      </c>
      <c r="E74" s="71">
        <f t="shared" si="17"/>
        <v>0</v>
      </c>
      <c r="F74" s="75">
        <f>INDEX([9]Delta!$F$1:$EE$997,$L$14,$I74)</f>
        <v>0</v>
      </c>
      <c r="G74" s="76" t="e">
        <f t="shared" si="3"/>
        <v>#DIV/0!</v>
      </c>
      <c r="I74" s="77">
        <f t="shared" si="18"/>
        <v>67</v>
      </c>
      <c r="J74" s="73">
        <f t="shared" si="4"/>
        <v>2024</v>
      </c>
      <c r="K74" s="78" t="str">
        <f t="shared" si="19"/>
        <v/>
      </c>
    </row>
    <row r="75" spans="2:11" hidden="1" outlineLevel="1">
      <c r="B75" s="78">
        <f t="shared" si="1"/>
        <v>45352</v>
      </c>
      <c r="C75" s="75">
        <f>IF(F75&lt;&gt;0,-INDEX([9]Delta!$F$1:$EE$997,$L$13,$I75),0)</f>
        <v>0</v>
      </c>
      <c r="D75" s="71">
        <f>IF(F75&lt;&gt;0,VLOOKUP($J75,'Table 1'!$B$13:$C$33,2,FALSE)/12*1000*Study_MW,0)</f>
        <v>0</v>
      </c>
      <c r="E75" s="71">
        <f t="shared" si="17"/>
        <v>0</v>
      </c>
      <c r="F75" s="75">
        <f>INDEX([9]Delta!$F$1:$EE$997,$L$14,$I75)</f>
        <v>0</v>
      </c>
      <c r="G75" s="76" t="e">
        <f t="shared" si="3"/>
        <v>#DIV/0!</v>
      </c>
      <c r="I75" s="77">
        <f t="shared" si="18"/>
        <v>68</v>
      </c>
      <c r="J75" s="73">
        <f t="shared" si="4"/>
        <v>2024</v>
      </c>
      <c r="K75" s="78" t="str">
        <f t="shared" si="19"/>
        <v/>
      </c>
    </row>
    <row r="76" spans="2:11" hidden="1" outlineLevel="1">
      <c r="B76" s="78">
        <f t="shared" si="1"/>
        <v>45383</v>
      </c>
      <c r="C76" s="75">
        <f>IF(F76&lt;&gt;0,-INDEX([9]Delta!$F$1:$EE$997,$L$13,$I76),0)</f>
        <v>0</v>
      </c>
      <c r="D76" s="71">
        <f>IF(F76&lt;&gt;0,VLOOKUP($J76,'Table 1'!$B$13:$C$33,2,FALSE)/12*1000*Study_MW,0)</f>
        <v>0</v>
      </c>
      <c r="E76" s="71">
        <f t="shared" si="17"/>
        <v>0</v>
      </c>
      <c r="F76" s="75">
        <f>INDEX([9]Delta!$F$1:$EE$997,$L$14,$I76)</f>
        <v>0</v>
      </c>
      <c r="G76" s="76" t="e">
        <f t="shared" si="3"/>
        <v>#DIV/0!</v>
      </c>
      <c r="I76" s="77">
        <f t="shared" si="18"/>
        <v>69</v>
      </c>
      <c r="J76" s="73">
        <f t="shared" si="4"/>
        <v>2024</v>
      </c>
      <c r="K76" s="78" t="str">
        <f t="shared" si="19"/>
        <v/>
      </c>
    </row>
    <row r="77" spans="2:11" hidden="1" outlineLevel="1">
      <c r="B77" s="78">
        <f t="shared" si="1"/>
        <v>45413</v>
      </c>
      <c r="C77" s="75">
        <f>IF(F77&lt;&gt;0,-INDEX([9]Delta!$F$1:$EE$997,$L$13,$I77),0)</f>
        <v>0</v>
      </c>
      <c r="D77" s="71">
        <f>IF(F77&lt;&gt;0,VLOOKUP($J77,'Table 1'!$B$13:$C$33,2,FALSE)/12*1000*Study_MW,0)</f>
        <v>0</v>
      </c>
      <c r="E77" s="71">
        <f t="shared" si="17"/>
        <v>0</v>
      </c>
      <c r="F77" s="75">
        <f>INDEX([9]Delta!$F$1:$EE$997,$L$14,$I77)</f>
        <v>0</v>
      </c>
      <c r="G77" s="76" t="e">
        <f t="shared" si="3"/>
        <v>#DIV/0!</v>
      </c>
      <c r="I77" s="77">
        <f t="shared" si="18"/>
        <v>70</v>
      </c>
      <c r="J77" s="73">
        <f t="shared" si="4"/>
        <v>2024</v>
      </c>
      <c r="K77" s="78" t="str">
        <f t="shared" si="19"/>
        <v/>
      </c>
    </row>
    <row r="78" spans="2:11" hidden="1" outlineLevel="1">
      <c r="B78" s="78">
        <f t="shared" ref="B78:B132" si="33">EDATE(B77,1)</f>
        <v>45444</v>
      </c>
      <c r="C78" s="75">
        <f>IF(F78&lt;&gt;0,-INDEX([9]Delta!$F$1:$EE$997,$L$13,$I78),0)</f>
        <v>0</v>
      </c>
      <c r="D78" s="71">
        <f>IF(F78&lt;&gt;0,VLOOKUP($J78,'Table 1'!$B$13:$C$33,2,FALSE)/12*1000*Study_MW,0)</f>
        <v>0</v>
      </c>
      <c r="E78" s="71">
        <f t="shared" ref="E78:E132" si="34">C78+D78</f>
        <v>0</v>
      </c>
      <c r="F78" s="75">
        <f>INDEX([9]Delta!$F$1:$EE$997,$L$14,$I78)</f>
        <v>0</v>
      </c>
      <c r="G78" s="76" t="e">
        <f t="shared" ref="G78:G132" si="35">IF(ISNUMBER($F78),E78/$F78,"")</f>
        <v>#DIV/0!</v>
      </c>
      <c r="I78" s="77">
        <f t="shared" si="18"/>
        <v>71</v>
      </c>
      <c r="J78" s="73">
        <f t="shared" ref="J78:J132" si="36">YEAR(B78)</f>
        <v>2024</v>
      </c>
      <c r="K78" s="78" t="str">
        <f t="shared" si="19"/>
        <v/>
      </c>
    </row>
    <row r="79" spans="2:11" hidden="1" outlineLevel="1">
      <c r="B79" s="78">
        <f t="shared" si="33"/>
        <v>45474</v>
      </c>
      <c r="C79" s="75">
        <f>IF(F79&lt;&gt;0,-INDEX([9]Delta!$F$1:$EE$997,$L$13,$I79),0)</f>
        <v>0</v>
      </c>
      <c r="D79" s="71">
        <f>IF(F79&lt;&gt;0,VLOOKUP($J79,'Table 1'!$B$13:$C$33,2,FALSE)/12*1000*Study_MW,0)</f>
        <v>0</v>
      </c>
      <c r="E79" s="71">
        <f t="shared" si="34"/>
        <v>0</v>
      </c>
      <c r="F79" s="75">
        <f>INDEX([9]Delta!$F$1:$EE$997,$L$14,$I79)</f>
        <v>0</v>
      </c>
      <c r="G79" s="76" t="e">
        <f t="shared" si="35"/>
        <v>#DIV/0!</v>
      </c>
      <c r="I79" s="77">
        <f t="shared" si="18"/>
        <v>72</v>
      </c>
      <c r="J79" s="73">
        <f t="shared" si="36"/>
        <v>2024</v>
      </c>
      <c r="K79" s="78" t="str">
        <f t="shared" si="19"/>
        <v/>
      </c>
    </row>
    <row r="80" spans="2:11" hidden="1" outlineLevel="1">
      <c r="B80" s="78">
        <f t="shared" si="33"/>
        <v>45505</v>
      </c>
      <c r="C80" s="75">
        <f>IF(F80&lt;&gt;0,-INDEX([9]Delta!$F$1:$EE$997,$L$13,$I80),0)</f>
        <v>0</v>
      </c>
      <c r="D80" s="71">
        <f>IF(F80&lt;&gt;0,VLOOKUP($J80,'Table 1'!$B$13:$C$33,2,FALSE)/12*1000*Study_MW,0)</f>
        <v>0</v>
      </c>
      <c r="E80" s="71">
        <f t="shared" si="34"/>
        <v>0</v>
      </c>
      <c r="F80" s="75">
        <f>INDEX([9]Delta!$F$1:$EE$997,$L$14,$I80)</f>
        <v>0</v>
      </c>
      <c r="G80" s="76" t="e">
        <f t="shared" si="35"/>
        <v>#DIV/0!</v>
      </c>
      <c r="I80" s="77">
        <f t="shared" si="18"/>
        <v>73</v>
      </c>
      <c r="J80" s="73">
        <f t="shared" si="36"/>
        <v>2024</v>
      </c>
      <c r="K80" s="78" t="str">
        <f t="shared" si="19"/>
        <v/>
      </c>
    </row>
    <row r="81" spans="2:11" hidden="1" outlineLevel="1">
      <c r="B81" s="78">
        <f t="shared" si="33"/>
        <v>45536</v>
      </c>
      <c r="C81" s="75">
        <f>IF(F81&lt;&gt;0,-INDEX([9]Delta!$F$1:$EE$997,$L$13,$I81),0)</f>
        <v>0</v>
      </c>
      <c r="D81" s="71">
        <f>IF(F81&lt;&gt;0,VLOOKUP($J81,'Table 1'!$B$13:$C$33,2,FALSE)/12*1000*Study_MW,0)</f>
        <v>0</v>
      </c>
      <c r="E81" s="71">
        <f t="shared" si="34"/>
        <v>0</v>
      </c>
      <c r="F81" s="75">
        <f>INDEX([9]Delta!$F$1:$EE$997,$L$14,$I81)</f>
        <v>0</v>
      </c>
      <c r="G81" s="76" t="e">
        <f t="shared" si="35"/>
        <v>#DIV/0!</v>
      </c>
      <c r="I81" s="77">
        <f t="shared" si="18"/>
        <v>74</v>
      </c>
      <c r="J81" s="73">
        <f t="shared" si="36"/>
        <v>2024</v>
      </c>
      <c r="K81" s="78" t="str">
        <f t="shared" si="19"/>
        <v/>
      </c>
    </row>
    <row r="82" spans="2:11" hidden="1" outlineLevel="1">
      <c r="B82" s="78">
        <f t="shared" si="33"/>
        <v>45566</v>
      </c>
      <c r="C82" s="75">
        <f>IF(F82&lt;&gt;0,-INDEX([9]Delta!$F$1:$EE$997,$L$13,$I82),0)</f>
        <v>0</v>
      </c>
      <c r="D82" s="71">
        <f>IF(F82&lt;&gt;0,VLOOKUP($J82,'Table 1'!$B$13:$C$33,2,FALSE)/12*1000*Study_MW,0)</f>
        <v>0</v>
      </c>
      <c r="E82" s="71">
        <f t="shared" si="34"/>
        <v>0</v>
      </c>
      <c r="F82" s="75">
        <f>INDEX([9]Delta!$F$1:$EE$997,$L$14,$I82)</f>
        <v>0</v>
      </c>
      <c r="G82" s="76" t="e">
        <f t="shared" si="35"/>
        <v>#DIV/0!</v>
      </c>
      <c r="I82" s="77">
        <f t="shared" si="18"/>
        <v>75</v>
      </c>
      <c r="J82" s="73">
        <f t="shared" si="36"/>
        <v>2024</v>
      </c>
      <c r="K82" s="78" t="str">
        <f t="shared" si="19"/>
        <v/>
      </c>
    </row>
    <row r="83" spans="2:11" hidden="1" outlineLevel="1">
      <c r="B83" s="78">
        <f t="shared" si="33"/>
        <v>45597</v>
      </c>
      <c r="C83" s="75">
        <f>IF(F83&lt;&gt;0,-INDEX([9]Delta!$F$1:$EE$997,$L$13,$I83),0)</f>
        <v>0</v>
      </c>
      <c r="D83" s="71">
        <f>IF(F83&lt;&gt;0,VLOOKUP($J83,'Table 1'!$B$13:$C$33,2,FALSE)/12*1000*Study_MW,0)</f>
        <v>0</v>
      </c>
      <c r="E83" s="71">
        <f t="shared" si="34"/>
        <v>0</v>
      </c>
      <c r="F83" s="75">
        <f>INDEX([9]Delta!$F$1:$EE$997,$L$14,$I83)</f>
        <v>0</v>
      </c>
      <c r="G83" s="76" t="e">
        <f t="shared" si="35"/>
        <v>#DIV/0!</v>
      </c>
      <c r="I83" s="77">
        <f t="shared" si="18"/>
        <v>76</v>
      </c>
      <c r="J83" s="73">
        <f t="shared" si="36"/>
        <v>2024</v>
      </c>
      <c r="K83" s="78" t="str">
        <f t="shared" si="19"/>
        <v/>
      </c>
    </row>
    <row r="84" spans="2:11" hidden="1" outlineLevel="1">
      <c r="B84" s="82">
        <f t="shared" si="33"/>
        <v>45627</v>
      </c>
      <c r="C84" s="79">
        <f>IF(F84&lt;&gt;0,-INDEX([9]Delta!$F$1:$EE$997,$L$13,$I84),0)</f>
        <v>0</v>
      </c>
      <c r="D84" s="80">
        <f>IF(F84&lt;&gt;0,VLOOKUP($J84,'Table 1'!$B$13:$C$33,2,FALSE)/12*1000*Study_MW,0)</f>
        <v>0</v>
      </c>
      <c r="E84" s="80">
        <f t="shared" si="34"/>
        <v>0</v>
      </c>
      <c r="F84" s="79">
        <f>INDEX([9]Delta!$F$1:$EE$997,$L$14,$I84)</f>
        <v>0</v>
      </c>
      <c r="G84" s="81" t="e">
        <f t="shared" si="35"/>
        <v>#DIV/0!</v>
      </c>
      <c r="I84" s="64">
        <f t="shared" si="18"/>
        <v>77</v>
      </c>
      <c r="J84" s="73">
        <f t="shared" si="36"/>
        <v>2024</v>
      </c>
      <c r="K84" s="82" t="str">
        <f t="shared" si="19"/>
        <v/>
      </c>
    </row>
    <row r="85" spans="2:11" hidden="1" outlineLevel="1">
      <c r="B85" s="74">
        <f t="shared" si="33"/>
        <v>45658</v>
      </c>
      <c r="C85" s="69">
        <f>IF(F85&lt;&gt;0,-INDEX([9]Delta!$F$1:$EE$997,$L$13,$I85),0)</f>
        <v>0</v>
      </c>
      <c r="D85" s="70">
        <f>IF(F85&lt;&gt;0,VLOOKUP($J85,'Table 1'!$B$13:$C$33,2,FALSE)/12*1000*Study_MW,0)</f>
        <v>0</v>
      </c>
      <c r="E85" s="70">
        <f t="shared" si="34"/>
        <v>0</v>
      </c>
      <c r="F85" s="69">
        <f>INDEX([9]Delta!$F$1:$EE$997,$L$14,$I85)</f>
        <v>0</v>
      </c>
      <c r="G85" s="72" t="e">
        <f t="shared" si="35"/>
        <v>#DIV/0!</v>
      </c>
      <c r="I85" s="60">
        <f>I73+13</f>
        <v>79</v>
      </c>
      <c r="J85" s="73">
        <f t="shared" si="36"/>
        <v>2025</v>
      </c>
      <c r="K85" s="74" t="str">
        <f t="shared" si="19"/>
        <v/>
      </c>
    </row>
    <row r="86" spans="2:11" hidden="1" outlineLevel="1">
      <c r="B86" s="78">
        <f t="shared" si="33"/>
        <v>45689</v>
      </c>
      <c r="C86" s="75">
        <f>IF(F86&lt;&gt;0,-INDEX([9]Delta!$F$1:$EE$997,$L$13,$I86),0)</f>
        <v>0</v>
      </c>
      <c r="D86" s="71">
        <f>IF(F86&lt;&gt;0,VLOOKUP($J86,'Table 1'!$B$13:$C$33,2,FALSE)/12*1000*Study_MW,0)</f>
        <v>0</v>
      </c>
      <c r="E86" s="71">
        <f t="shared" si="34"/>
        <v>0</v>
      </c>
      <c r="F86" s="75">
        <f>INDEX([9]Delta!$F$1:$EE$997,$L$14,$I86)</f>
        <v>0</v>
      </c>
      <c r="G86" s="76" t="e">
        <f t="shared" si="35"/>
        <v>#DIV/0!</v>
      </c>
      <c r="I86" s="77">
        <f t="shared" si="18"/>
        <v>80</v>
      </c>
      <c r="J86" s="73">
        <f t="shared" si="36"/>
        <v>2025</v>
      </c>
      <c r="K86" s="78" t="str">
        <f t="shared" si="19"/>
        <v/>
      </c>
    </row>
    <row r="87" spans="2:11" hidden="1" outlineLevel="1">
      <c r="B87" s="78">
        <f t="shared" si="33"/>
        <v>45717</v>
      </c>
      <c r="C87" s="75">
        <f>IF(F87&lt;&gt;0,-INDEX([9]Delta!$F$1:$EE$997,$L$13,$I87),0)</f>
        <v>0</v>
      </c>
      <c r="D87" s="71">
        <f>IF(F87&lt;&gt;0,VLOOKUP($J87,'Table 1'!$B$13:$C$33,2,FALSE)/12*1000*Study_MW,0)</f>
        <v>0</v>
      </c>
      <c r="E87" s="71">
        <f t="shared" si="34"/>
        <v>0</v>
      </c>
      <c r="F87" s="75">
        <f>INDEX([9]Delta!$F$1:$EE$997,$L$14,$I87)</f>
        <v>0</v>
      </c>
      <c r="G87" s="76" t="e">
        <f t="shared" si="35"/>
        <v>#DIV/0!</v>
      </c>
      <c r="I87" s="77">
        <f t="shared" si="18"/>
        <v>81</v>
      </c>
      <c r="J87" s="73">
        <f t="shared" si="36"/>
        <v>2025</v>
      </c>
      <c r="K87" s="78" t="str">
        <f t="shared" si="19"/>
        <v/>
      </c>
    </row>
    <row r="88" spans="2:11" hidden="1" outlineLevel="1">
      <c r="B88" s="78">
        <f t="shared" si="33"/>
        <v>45748</v>
      </c>
      <c r="C88" s="75">
        <f>IF(F88&lt;&gt;0,-INDEX([9]Delta!$F$1:$EE$997,$L$13,$I88),0)</f>
        <v>0</v>
      </c>
      <c r="D88" s="71">
        <f>IF(F88&lt;&gt;0,VLOOKUP($J88,'Table 1'!$B$13:$C$33,2,FALSE)/12*1000*Study_MW,0)</f>
        <v>0</v>
      </c>
      <c r="E88" s="71">
        <f t="shared" si="34"/>
        <v>0</v>
      </c>
      <c r="F88" s="75">
        <f>INDEX([9]Delta!$F$1:$EE$997,$L$14,$I88)</f>
        <v>0</v>
      </c>
      <c r="G88" s="76" t="e">
        <f t="shared" si="35"/>
        <v>#DIV/0!</v>
      </c>
      <c r="I88" s="77">
        <f t="shared" si="18"/>
        <v>82</v>
      </c>
      <c r="J88" s="73">
        <f t="shared" si="36"/>
        <v>2025</v>
      </c>
      <c r="K88" s="78" t="str">
        <f t="shared" si="19"/>
        <v/>
      </c>
    </row>
    <row r="89" spans="2:11" hidden="1" outlineLevel="1">
      <c r="B89" s="78">
        <f t="shared" si="33"/>
        <v>45778</v>
      </c>
      <c r="C89" s="75">
        <f>IF(F89&lt;&gt;0,-INDEX([9]Delta!$F$1:$EE$997,$L$13,$I89),0)</f>
        <v>0</v>
      </c>
      <c r="D89" s="71">
        <f>IF(F89&lt;&gt;0,VLOOKUP($J89,'Table 1'!$B$13:$C$33,2,FALSE)/12*1000*Study_MW,0)</f>
        <v>0</v>
      </c>
      <c r="E89" s="71">
        <f t="shared" si="34"/>
        <v>0</v>
      </c>
      <c r="F89" s="75">
        <f>INDEX([9]Delta!$F$1:$EE$997,$L$14,$I89)</f>
        <v>0</v>
      </c>
      <c r="G89" s="76" t="e">
        <f t="shared" si="35"/>
        <v>#DIV/0!</v>
      </c>
      <c r="I89" s="77">
        <f t="shared" si="18"/>
        <v>83</v>
      </c>
      <c r="J89" s="73">
        <f t="shared" si="36"/>
        <v>2025</v>
      </c>
      <c r="K89" s="78" t="str">
        <f t="shared" si="19"/>
        <v/>
      </c>
    </row>
    <row r="90" spans="2:11" hidden="1" outlineLevel="1">
      <c r="B90" s="78">
        <f t="shared" si="33"/>
        <v>45809</v>
      </c>
      <c r="C90" s="75">
        <f>IF(F90&lt;&gt;0,-INDEX([9]Delta!$F$1:$EE$997,$L$13,$I90),0)</f>
        <v>0</v>
      </c>
      <c r="D90" s="71">
        <f>IF(F90&lt;&gt;0,VLOOKUP($J90,'Table 1'!$B$13:$C$33,2,FALSE)/12*1000*Study_MW,0)</f>
        <v>0</v>
      </c>
      <c r="E90" s="71">
        <f t="shared" si="34"/>
        <v>0</v>
      </c>
      <c r="F90" s="75">
        <f>INDEX([9]Delta!$F$1:$EE$997,$L$14,$I90)</f>
        <v>0</v>
      </c>
      <c r="G90" s="76" t="e">
        <f t="shared" si="35"/>
        <v>#DIV/0!</v>
      </c>
      <c r="I90" s="77">
        <f t="shared" ref="I90:I96" si="37">I78+13</f>
        <v>84</v>
      </c>
      <c r="J90" s="73">
        <f t="shared" si="36"/>
        <v>2025</v>
      </c>
      <c r="K90" s="78" t="str">
        <f t="shared" ref="K90:K132" si="38">IF(ISNUMBER(F90),IF(F90&lt;&gt;0,B90,""),"")</f>
        <v/>
      </c>
    </row>
    <row r="91" spans="2:11" hidden="1" outlineLevel="1">
      <c r="B91" s="78">
        <f t="shared" si="33"/>
        <v>45839</v>
      </c>
      <c r="C91" s="75">
        <f>IF(F91&lt;&gt;0,-INDEX([9]Delta!$F$1:$EE$997,$L$13,$I91),0)</f>
        <v>0</v>
      </c>
      <c r="D91" s="71">
        <f>IF(F91&lt;&gt;0,VLOOKUP($J91,'Table 1'!$B$13:$C$33,2,FALSE)/12*1000*Study_MW,0)</f>
        <v>0</v>
      </c>
      <c r="E91" s="71">
        <f t="shared" si="34"/>
        <v>0</v>
      </c>
      <c r="F91" s="75">
        <f>INDEX([9]Delta!$F$1:$EE$997,$L$14,$I91)</f>
        <v>0</v>
      </c>
      <c r="G91" s="76" t="e">
        <f t="shared" si="35"/>
        <v>#DIV/0!</v>
      </c>
      <c r="I91" s="77">
        <f t="shared" si="37"/>
        <v>85</v>
      </c>
      <c r="J91" s="73">
        <f t="shared" si="36"/>
        <v>2025</v>
      </c>
      <c r="K91" s="78" t="str">
        <f t="shared" si="38"/>
        <v/>
      </c>
    </row>
    <row r="92" spans="2:11" hidden="1" outlineLevel="1">
      <c r="B92" s="78">
        <f t="shared" si="33"/>
        <v>45870</v>
      </c>
      <c r="C92" s="75">
        <f>IF(F92&lt;&gt;0,-INDEX([9]Delta!$F$1:$EE$997,$L$13,$I92),0)</f>
        <v>0</v>
      </c>
      <c r="D92" s="71">
        <f>IF(F92&lt;&gt;0,VLOOKUP($J92,'Table 1'!$B$13:$C$33,2,FALSE)/12*1000*Study_MW,0)</f>
        <v>0</v>
      </c>
      <c r="E92" s="71">
        <f t="shared" si="34"/>
        <v>0</v>
      </c>
      <c r="F92" s="75">
        <f>INDEX([9]Delta!$F$1:$EE$997,$L$14,$I92)</f>
        <v>0</v>
      </c>
      <c r="G92" s="76" t="e">
        <f t="shared" si="35"/>
        <v>#DIV/0!</v>
      </c>
      <c r="I92" s="77">
        <f t="shared" si="37"/>
        <v>86</v>
      </c>
      <c r="J92" s="73">
        <f t="shared" si="36"/>
        <v>2025</v>
      </c>
      <c r="K92" s="78" t="str">
        <f t="shared" si="38"/>
        <v/>
      </c>
    </row>
    <row r="93" spans="2:11" hidden="1" outlineLevel="1">
      <c r="B93" s="78">
        <f t="shared" si="33"/>
        <v>45901</v>
      </c>
      <c r="C93" s="75">
        <f>IF(F93&lt;&gt;0,-INDEX([9]Delta!$F$1:$EE$997,$L$13,$I93),0)</f>
        <v>0</v>
      </c>
      <c r="D93" s="71">
        <f>IF(F93&lt;&gt;0,VLOOKUP($J93,'Table 1'!$B$13:$C$33,2,FALSE)/12*1000*Study_MW,0)</f>
        <v>0</v>
      </c>
      <c r="E93" s="71">
        <f t="shared" si="34"/>
        <v>0</v>
      </c>
      <c r="F93" s="75">
        <f>INDEX([9]Delta!$F$1:$EE$997,$L$14,$I93)</f>
        <v>0</v>
      </c>
      <c r="G93" s="76" t="e">
        <f t="shared" si="35"/>
        <v>#DIV/0!</v>
      </c>
      <c r="I93" s="77">
        <f t="shared" si="37"/>
        <v>87</v>
      </c>
      <c r="J93" s="73">
        <f t="shared" si="36"/>
        <v>2025</v>
      </c>
      <c r="K93" s="78" t="str">
        <f t="shared" si="38"/>
        <v/>
      </c>
    </row>
    <row r="94" spans="2:11" hidden="1" outlineLevel="1">
      <c r="B94" s="78">
        <f t="shared" si="33"/>
        <v>45931</v>
      </c>
      <c r="C94" s="75">
        <f>IF(F94&lt;&gt;0,-INDEX([9]Delta!$F$1:$EE$997,$L$13,$I94),0)</f>
        <v>0</v>
      </c>
      <c r="D94" s="71">
        <f>IF(F94&lt;&gt;0,VLOOKUP($J94,'Table 1'!$B$13:$C$33,2,FALSE)/12*1000*Study_MW,0)</f>
        <v>0</v>
      </c>
      <c r="E94" s="71">
        <f t="shared" si="34"/>
        <v>0</v>
      </c>
      <c r="F94" s="75">
        <f>INDEX([9]Delta!$F$1:$EE$997,$L$14,$I94)</f>
        <v>0</v>
      </c>
      <c r="G94" s="76" t="e">
        <f t="shared" si="35"/>
        <v>#DIV/0!</v>
      </c>
      <c r="I94" s="77">
        <f t="shared" si="37"/>
        <v>88</v>
      </c>
      <c r="J94" s="73">
        <f t="shared" si="36"/>
        <v>2025</v>
      </c>
      <c r="K94" s="78" t="str">
        <f t="shared" si="38"/>
        <v/>
      </c>
    </row>
    <row r="95" spans="2:11" hidden="1" outlineLevel="1">
      <c r="B95" s="78">
        <f t="shared" si="33"/>
        <v>45962</v>
      </c>
      <c r="C95" s="75">
        <f>IF(F95&lt;&gt;0,-INDEX([9]Delta!$F$1:$EE$997,$L$13,$I95),0)</f>
        <v>0</v>
      </c>
      <c r="D95" s="71">
        <f>IF(F95&lt;&gt;0,VLOOKUP($J95,'Table 1'!$B$13:$C$33,2,FALSE)/12*1000*Study_MW,0)</f>
        <v>0</v>
      </c>
      <c r="E95" s="71">
        <f t="shared" si="34"/>
        <v>0</v>
      </c>
      <c r="F95" s="75">
        <f>INDEX([9]Delta!$F$1:$EE$997,$L$14,$I95)</f>
        <v>0</v>
      </c>
      <c r="G95" s="76" t="e">
        <f t="shared" si="35"/>
        <v>#DIV/0!</v>
      </c>
      <c r="I95" s="77">
        <f t="shared" si="37"/>
        <v>89</v>
      </c>
      <c r="J95" s="73">
        <f t="shared" si="36"/>
        <v>2025</v>
      </c>
      <c r="K95" s="78" t="str">
        <f t="shared" si="38"/>
        <v/>
      </c>
    </row>
    <row r="96" spans="2:11" hidden="1" outlineLevel="1">
      <c r="B96" s="82">
        <f t="shared" si="33"/>
        <v>45992</v>
      </c>
      <c r="C96" s="79">
        <f>IF(F96&lt;&gt;0,-INDEX([9]Delta!$F$1:$EE$997,$L$13,$I96),0)</f>
        <v>0</v>
      </c>
      <c r="D96" s="80">
        <f>IF(F96&lt;&gt;0,VLOOKUP($J96,'Table 1'!$B$13:$C$33,2,FALSE)/12*1000*Study_MW,0)</f>
        <v>0</v>
      </c>
      <c r="E96" s="80">
        <f t="shared" si="34"/>
        <v>0</v>
      </c>
      <c r="F96" s="79">
        <f>INDEX([9]Delta!$F$1:$EE$997,$L$14,$I96)</f>
        <v>0</v>
      </c>
      <c r="G96" s="81" t="e">
        <f t="shared" si="35"/>
        <v>#DIV/0!</v>
      </c>
      <c r="I96" s="64">
        <f t="shared" si="37"/>
        <v>90</v>
      </c>
      <c r="J96" s="73">
        <f t="shared" si="36"/>
        <v>2025</v>
      </c>
      <c r="K96" s="82" t="str">
        <f t="shared" si="38"/>
        <v/>
      </c>
    </row>
    <row r="97" spans="2:11" hidden="1" outlineLevel="1">
      <c r="B97" s="74">
        <f t="shared" si="33"/>
        <v>46023</v>
      </c>
      <c r="C97" s="69">
        <f>IF(F97&lt;&gt;0,-INDEX([9]Delta!$F$1:$EE$997,$L$13,$I97),0)</f>
        <v>0</v>
      </c>
      <c r="D97" s="70">
        <f>IF(F97&lt;&gt;0,VLOOKUP($J97,'Table 1'!$B$13:$C$33,2,FALSE)/12*1000*Study_MW,0)</f>
        <v>0</v>
      </c>
      <c r="E97" s="70">
        <f t="shared" si="34"/>
        <v>0</v>
      </c>
      <c r="F97" s="69">
        <f>INDEX([9]Delta!$F$1:$EE$997,$L$14,$I97)</f>
        <v>0</v>
      </c>
      <c r="G97" s="72" t="e">
        <f t="shared" si="35"/>
        <v>#DIV/0!</v>
      </c>
      <c r="I97" s="60">
        <f>I85+13</f>
        <v>92</v>
      </c>
      <c r="J97" s="73">
        <f t="shared" si="36"/>
        <v>2026</v>
      </c>
      <c r="K97" s="74" t="str">
        <f t="shared" si="38"/>
        <v/>
      </c>
    </row>
    <row r="98" spans="2:11" hidden="1" outlineLevel="1">
      <c r="B98" s="78">
        <f t="shared" si="33"/>
        <v>46054</v>
      </c>
      <c r="C98" s="75">
        <f>IF(F98&lt;&gt;0,-INDEX([9]Delta!$F$1:$EE$997,$L$13,$I98),0)</f>
        <v>0</v>
      </c>
      <c r="D98" s="71">
        <f>IF(F98&lt;&gt;0,VLOOKUP($J98,'Table 1'!$B$13:$C$33,2,FALSE)/12*1000*Study_MW,0)</f>
        <v>0</v>
      </c>
      <c r="E98" s="71">
        <f t="shared" si="34"/>
        <v>0</v>
      </c>
      <c r="F98" s="75">
        <f>INDEX([9]Delta!$F$1:$EE$997,$L$14,$I98)</f>
        <v>0</v>
      </c>
      <c r="G98" s="76" t="e">
        <f t="shared" si="35"/>
        <v>#DIV/0!</v>
      </c>
      <c r="I98" s="77">
        <f t="shared" ref="I98:I120" si="39">I86+13</f>
        <v>93</v>
      </c>
      <c r="J98" s="73">
        <f t="shared" si="36"/>
        <v>2026</v>
      </c>
      <c r="K98" s="78" t="str">
        <f t="shared" si="38"/>
        <v/>
      </c>
    </row>
    <row r="99" spans="2:11" hidden="1" outlineLevel="1">
      <c r="B99" s="78">
        <f t="shared" si="33"/>
        <v>46082</v>
      </c>
      <c r="C99" s="75">
        <f>IF(F99&lt;&gt;0,-INDEX([9]Delta!$F$1:$EE$997,$L$13,$I99),0)</f>
        <v>0</v>
      </c>
      <c r="D99" s="71">
        <f>IF(F99&lt;&gt;0,VLOOKUP($J99,'Table 1'!$B$13:$C$33,2,FALSE)/12*1000*Study_MW,0)</f>
        <v>0</v>
      </c>
      <c r="E99" s="71">
        <f t="shared" si="34"/>
        <v>0</v>
      </c>
      <c r="F99" s="75">
        <f>INDEX([9]Delta!$F$1:$EE$997,$L$14,$I99)</f>
        <v>0</v>
      </c>
      <c r="G99" s="76" t="e">
        <f t="shared" si="35"/>
        <v>#DIV/0!</v>
      </c>
      <c r="I99" s="77">
        <f t="shared" si="39"/>
        <v>94</v>
      </c>
      <c r="J99" s="73">
        <f t="shared" si="36"/>
        <v>2026</v>
      </c>
      <c r="K99" s="78" t="str">
        <f t="shared" si="38"/>
        <v/>
      </c>
    </row>
    <row r="100" spans="2:11" hidden="1" outlineLevel="1">
      <c r="B100" s="78">
        <f t="shared" si="33"/>
        <v>46113</v>
      </c>
      <c r="C100" s="75">
        <f>IF(F100&lt;&gt;0,-INDEX([9]Delta!$F$1:$EE$997,$L$13,$I100),0)</f>
        <v>0</v>
      </c>
      <c r="D100" s="71">
        <f>IF(F100&lt;&gt;0,VLOOKUP($J100,'Table 1'!$B$13:$C$33,2,FALSE)/12*1000*Study_MW,0)</f>
        <v>0</v>
      </c>
      <c r="E100" s="71">
        <f t="shared" si="34"/>
        <v>0</v>
      </c>
      <c r="F100" s="75">
        <f>INDEX([9]Delta!$F$1:$EE$997,$L$14,$I100)</f>
        <v>0</v>
      </c>
      <c r="G100" s="76" t="e">
        <f t="shared" si="35"/>
        <v>#DIV/0!</v>
      </c>
      <c r="I100" s="77">
        <f t="shared" si="39"/>
        <v>95</v>
      </c>
      <c r="J100" s="73">
        <f t="shared" si="36"/>
        <v>2026</v>
      </c>
      <c r="K100" s="78" t="str">
        <f t="shared" si="38"/>
        <v/>
      </c>
    </row>
    <row r="101" spans="2:11" hidden="1" outlineLevel="1">
      <c r="B101" s="78">
        <f t="shared" si="33"/>
        <v>46143</v>
      </c>
      <c r="C101" s="75">
        <f>IF(F101&lt;&gt;0,-INDEX([9]Delta!$F$1:$EE$997,$L$13,$I101),0)</f>
        <v>0</v>
      </c>
      <c r="D101" s="71">
        <f>IF(F101&lt;&gt;0,VLOOKUP($J101,'Table 1'!$B$13:$C$33,2,FALSE)/12*1000*Study_MW,0)</f>
        <v>0</v>
      </c>
      <c r="E101" s="71">
        <f t="shared" si="34"/>
        <v>0</v>
      </c>
      <c r="F101" s="75">
        <f>INDEX([9]Delta!$F$1:$EE$997,$L$14,$I101)</f>
        <v>0</v>
      </c>
      <c r="G101" s="76" t="e">
        <f t="shared" si="35"/>
        <v>#DIV/0!</v>
      </c>
      <c r="I101" s="77">
        <f t="shared" si="39"/>
        <v>96</v>
      </c>
      <c r="J101" s="73">
        <f t="shared" si="36"/>
        <v>2026</v>
      </c>
      <c r="K101" s="78" t="str">
        <f t="shared" si="38"/>
        <v/>
      </c>
    </row>
    <row r="102" spans="2:11" hidden="1" outlineLevel="1">
      <c r="B102" s="78">
        <f t="shared" si="33"/>
        <v>46174</v>
      </c>
      <c r="C102" s="75">
        <f>IF(F102&lt;&gt;0,-INDEX([9]Delta!$F$1:$EE$997,$L$13,$I102),0)</f>
        <v>0</v>
      </c>
      <c r="D102" s="71">
        <f>IF(F102&lt;&gt;0,VLOOKUP($J102,'Table 1'!$B$13:$C$33,2,FALSE)/12*1000*Study_MW,0)</f>
        <v>0</v>
      </c>
      <c r="E102" s="71">
        <f t="shared" si="34"/>
        <v>0</v>
      </c>
      <c r="F102" s="75">
        <f>INDEX([9]Delta!$F$1:$EE$997,$L$14,$I102)</f>
        <v>0</v>
      </c>
      <c r="G102" s="76" t="e">
        <f t="shared" si="35"/>
        <v>#DIV/0!</v>
      </c>
      <c r="I102" s="77">
        <f t="shared" si="39"/>
        <v>97</v>
      </c>
      <c r="J102" s="73">
        <f t="shared" si="36"/>
        <v>2026</v>
      </c>
      <c r="K102" s="78" t="str">
        <f t="shared" si="38"/>
        <v/>
      </c>
    </row>
    <row r="103" spans="2:11" hidden="1" outlineLevel="1">
      <c r="B103" s="78">
        <f t="shared" si="33"/>
        <v>46204</v>
      </c>
      <c r="C103" s="75">
        <f>IF(F103&lt;&gt;0,-INDEX([9]Delta!$F$1:$EE$997,$L$13,$I103),0)</f>
        <v>0</v>
      </c>
      <c r="D103" s="71">
        <f>IF(F103&lt;&gt;0,VLOOKUP($J103,'Table 1'!$B$13:$C$33,2,FALSE)/12*1000*Study_MW,0)</f>
        <v>0</v>
      </c>
      <c r="E103" s="71">
        <f t="shared" si="34"/>
        <v>0</v>
      </c>
      <c r="F103" s="75">
        <f>INDEX([9]Delta!$F$1:$EE$997,$L$14,$I103)</f>
        <v>0</v>
      </c>
      <c r="G103" s="76" t="e">
        <f t="shared" si="35"/>
        <v>#DIV/0!</v>
      </c>
      <c r="I103" s="77">
        <f t="shared" si="39"/>
        <v>98</v>
      </c>
      <c r="J103" s="73">
        <f t="shared" si="36"/>
        <v>2026</v>
      </c>
      <c r="K103" s="78" t="str">
        <f t="shared" si="38"/>
        <v/>
      </c>
    </row>
    <row r="104" spans="2:11" hidden="1" outlineLevel="1">
      <c r="B104" s="78">
        <f t="shared" si="33"/>
        <v>46235</v>
      </c>
      <c r="C104" s="75">
        <f>IF(F104&lt;&gt;0,-INDEX([9]Delta!$F$1:$EE$997,$L$13,$I104),0)</f>
        <v>0</v>
      </c>
      <c r="D104" s="71">
        <f>IF(F104&lt;&gt;0,VLOOKUP($J104,'Table 1'!$B$13:$C$33,2,FALSE)/12*1000*Study_MW,0)</f>
        <v>0</v>
      </c>
      <c r="E104" s="71">
        <f t="shared" si="34"/>
        <v>0</v>
      </c>
      <c r="F104" s="75">
        <f>INDEX([9]Delta!$F$1:$EE$997,$L$14,$I104)</f>
        <v>0</v>
      </c>
      <c r="G104" s="76" t="e">
        <f t="shared" si="35"/>
        <v>#DIV/0!</v>
      </c>
      <c r="I104" s="77">
        <f t="shared" si="39"/>
        <v>99</v>
      </c>
      <c r="J104" s="73">
        <f t="shared" si="36"/>
        <v>2026</v>
      </c>
      <c r="K104" s="78" t="str">
        <f t="shared" si="38"/>
        <v/>
      </c>
    </row>
    <row r="105" spans="2:11" hidden="1" outlineLevel="1">
      <c r="B105" s="78">
        <f t="shared" si="33"/>
        <v>46266</v>
      </c>
      <c r="C105" s="75">
        <f>IF(F105&lt;&gt;0,-INDEX([9]Delta!$F$1:$EE$997,$L$13,$I105),0)</f>
        <v>0</v>
      </c>
      <c r="D105" s="71">
        <f>IF(F105&lt;&gt;0,VLOOKUP($J105,'Table 1'!$B$13:$C$33,2,FALSE)/12*1000*Study_MW,0)</f>
        <v>0</v>
      </c>
      <c r="E105" s="71">
        <f t="shared" si="34"/>
        <v>0</v>
      </c>
      <c r="F105" s="75">
        <f>INDEX([9]Delta!$F$1:$EE$997,$L$14,$I105)</f>
        <v>0</v>
      </c>
      <c r="G105" s="76" t="e">
        <f t="shared" si="35"/>
        <v>#DIV/0!</v>
      </c>
      <c r="I105" s="77">
        <f t="shared" si="39"/>
        <v>100</v>
      </c>
      <c r="J105" s="73">
        <f t="shared" si="36"/>
        <v>2026</v>
      </c>
      <c r="K105" s="78" t="str">
        <f t="shared" si="38"/>
        <v/>
      </c>
    </row>
    <row r="106" spans="2:11" hidden="1" outlineLevel="1">
      <c r="B106" s="78">
        <f t="shared" si="33"/>
        <v>46296</v>
      </c>
      <c r="C106" s="75">
        <f>IF(F106&lt;&gt;0,-INDEX([9]Delta!$F$1:$EE$997,$L$13,$I106),0)</f>
        <v>0</v>
      </c>
      <c r="D106" s="71">
        <f>IF(F106&lt;&gt;0,VLOOKUP($J106,'Table 1'!$B$13:$C$33,2,FALSE)/12*1000*Study_MW,0)</f>
        <v>0</v>
      </c>
      <c r="E106" s="71">
        <f t="shared" si="34"/>
        <v>0</v>
      </c>
      <c r="F106" s="75">
        <f>INDEX([9]Delta!$F$1:$EE$997,$L$14,$I106)</f>
        <v>0</v>
      </c>
      <c r="G106" s="76" t="e">
        <f t="shared" si="35"/>
        <v>#DIV/0!</v>
      </c>
      <c r="I106" s="77">
        <f t="shared" si="39"/>
        <v>101</v>
      </c>
      <c r="J106" s="73">
        <f t="shared" si="36"/>
        <v>2026</v>
      </c>
      <c r="K106" s="78" t="str">
        <f t="shared" si="38"/>
        <v/>
      </c>
    </row>
    <row r="107" spans="2:11" hidden="1" outlineLevel="1">
      <c r="B107" s="78">
        <f t="shared" si="33"/>
        <v>46327</v>
      </c>
      <c r="C107" s="75">
        <f>IF(F107&lt;&gt;0,-INDEX([9]Delta!$F$1:$EE$997,$L$13,$I107),0)</f>
        <v>0</v>
      </c>
      <c r="D107" s="71">
        <f>IF(F107&lt;&gt;0,VLOOKUP($J107,'Table 1'!$B$13:$C$33,2,FALSE)/12*1000*Study_MW,0)</f>
        <v>0</v>
      </c>
      <c r="E107" s="71">
        <f t="shared" si="34"/>
        <v>0</v>
      </c>
      <c r="F107" s="75">
        <f>INDEX([9]Delta!$F$1:$EE$997,$L$14,$I107)</f>
        <v>0</v>
      </c>
      <c r="G107" s="76" t="e">
        <f t="shared" si="35"/>
        <v>#DIV/0!</v>
      </c>
      <c r="I107" s="77">
        <f t="shared" si="39"/>
        <v>102</v>
      </c>
      <c r="J107" s="73">
        <f t="shared" si="36"/>
        <v>2026</v>
      </c>
      <c r="K107" s="78" t="str">
        <f t="shared" si="38"/>
        <v/>
      </c>
    </row>
    <row r="108" spans="2:11" hidden="1" outlineLevel="1">
      <c r="B108" s="82">
        <f t="shared" si="33"/>
        <v>46357</v>
      </c>
      <c r="C108" s="79">
        <f>IF(F108&lt;&gt;0,-INDEX([9]Delta!$F$1:$EE$997,$L$13,$I108),0)</f>
        <v>0</v>
      </c>
      <c r="D108" s="80">
        <f>IF(F108&lt;&gt;0,VLOOKUP($J108,'Table 1'!$B$13:$C$33,2,FALSE)/12*1000*Study_MW,0)</f>
        <v>0</v>
      </c>
      <c r="E108" s="80">
        <f t="shared" si="34"/>
        <v>0</v>
      </c>
      <c r="F108" s="79">
        <f>INDEX([9]Delta!$F$1:$EE$997,$L$14,$I108)</f>
        <v>0</v>
      </c>
      <c r="G108" s="81" t="e">
        <f t="shared" si="35"/>
        <v>#DIV/0!</v>
      </c>
      <c r="I108" s="64">
        <f t="shared" si="39"/>
        <v>103</v>
      </c>
      <c r="J108" s="73">
        <f t="shared" si="36"/>
        <v>2026</v>
      </c>
      <c r="K108" s="82" t="str">
        <f t="shared" si="38"/>
        <v/>
      </c>
    </row>
    <row r="109" spans="2:11" hidden="1" outlineLevel="1">
      <c r="B109" s="74">
        <f t="shared" si="33"/>
        <v>46388</v>
      </c>
      <c r="C109" s="69">
        <f>IF(F109&lt;&gt;0,-INDEX([9]Delta!$F$1:$EE$997,$L$13,$I109),0)</f>
        <v>0</v>
      </c>
      <c r="D109" s="70">
        <f>IF(F109&lt;&gt;0,VLOOKUP($J109,'Table 1'!$B$13:$C$33,2,FALSE)/12*1000*Study_MW,0)</f>
        <v>0</v>
      </c>
      <c r="E109" s="70">
        <f t="shared" si="34"/>
        <v>0</v>
      </c>
      <c r="F109" s="69">
        <f>INDEX([9]Delta!$F$1:$EE$997,$L$14,$I109)</f>
        <v>0</v>
      </c>
      <c r="G109" s="72" t="e">
        <f t="shared" si="35"/>
        <v>#DIV/0!</v>
      </c>
      <c r="I109" s="60">
        <f>I97+13</f>
        <v>105</v>
      </c>
      <c r="J109" s="73">
        <f t="shared" si="36"/>
        <v>2027</v>
      </c>
      <c r="K109" s="74" t="str">
        <f t="shared" si="38"/>
        <v/>
      </c>
    </row>
    <row r="110" spans="2:11" hidden="1" outlineLevel="1">
      <c r="B110" s="78">
        <f t="shared" si="33"/>
        <v>46419</v>
      </c>
      <c r="C110" s="75">
        <f>IF(F110&lt;&gt;0,-INDEX([9]Delta!$F$1:$EE$997,$L$13,$I110),0)</f>
        <v>0</v>
      </c>
      <c r="D110" s="71">
        <f>IF(F110&lt;&gt;0,VLOOKUP($J110,'Table 1'!$B$13:$C$33,2,FALSE)/12*1000*Study_MW,0)</f>
        <v>0</v>
      </c>
      <c r="E110" s="71">
        <f t="shared" si="34"/>
        <v>0</v>
      </c>
      <c r="F110" s="75">
        <f>INDEX([9]Delta!$F$1:$EE$997,$L$14,$I110)</f>
        <v>0</v>
      </c>
      <c r="G110" s="76" t="e">
        <f t="shared" si="35"/>
        <v>#DIV/0!</v>
      </c>
      <c r="I110" s="77">
        <f t="shared" si="39"/>
        <v>106</v>
      </c>
      <c r="J110" s="73">
        <f t="shared" si="36"/>
        <v>2027</v>
      </c>
      <c r="K110" s="78" t="str">
        <f t="shared" si="38"/>
        <v/>
      </c>
    </row>
    <row r="111" spans="2:11" hidden="1" outlineLevel="1">
      <c r="B111" s="78">
        <f t="shared" si="33"/>
        <v>46447</v>
      </c>
      <c r="C111" s="75">
        <f>IF(F111&lt;&gt;0,-INDEX([9]Delta!$F$1:$EE$997,$L$13,$I111),0)</f>
        <v>0</v>
      </c>
      <c r="D111" s="71">
        <f>IF(F111&lt;&gt;0,VLOOKUP($J111,'Table 1'!$B$13:$C$33,2,FALSE)/12*1000*Study_MW,0)</f>
        <v>0</v>
      </c>
      <c r="E111" s="71">
        <f t="shared" si="34"/>
        <v>0</v>
      </c>
      <c r="F111" s="75">
        <f>INDEX([9]Delta!$F$1:$EE$997,$L$14,$I111)</f>
        <v>0</v>
      </c>
      <c r="G111" s="76" t="e">
        <f t="shared" si="35"/>
        <v>#DIV/0!</v>
      </c>
      <c r="I111" s="77">
        <f t="shared" si="39"/>
        <v>107</v>
      </c>
      <c r="J111" s="73">
        <f t="shared" si="36"/>
        <v>2027</v>
      </c>
      <c r="K111" s="78" t="str">
        <f t="shared" si="38"/>
        <v/>
      </c>
    </row>
    <row r="112" spans="2:11" hidden="1" outlineLevel="1">
      <c r="B112" s="78">
        <f t="shared" si="33"/>
        <v>46478</v>
      </c>
      <c r="C112" s="75">
        <f>IF(F112&lt;&gt;0,-INDEX([9]Delta!$F$1:$EE$997,$L$13,$I112),0)</f>
        <v>0</v>
      </c>
      <c r="D112" s="71">
        <f>IF(F112&lt;&gt;0,VLOOKUP($J112,'Table 1'!$B$13:$C$33,2,FALSE)/12*1000*Study_MW,0)</f>
        <v>0</v>
      </c>
      <c r="E112" s="71">
        <f t="shared" si="34"/>
        <v>0</v>
      </c>
      <c r="F112" s="75">
        <f>INDEX([9]Delta!$F$1:$EE$997,$L$14,$I112)</f>
        <v>0</v>
      </c>
      <c r="G112" s="76" t="e">
        <f t="shared" si="35"/>
        <v>#DIV/0!</v>
      </c>
      <c r="I112" s="77">
        <f t="shared" si="39"/>
        <v>108</v>
      </c>
      <c r="J112" s="73">
        <f t="shared" si="36"/>
        <v>2027</v>
      </c>
      <c r="K112" s="78" t="str">
        <f t="shared" si="38"/>
        <v/>
      </c>
    </row>
    <row r="113" spans="2:11" hidden="1" outlineLevel="1">
      <c r="B113" s="78">
        <f t="shared" si="33"/>
        <v>46508</v>
      </c>
      <c r="C113" s="75">
        <f>IF(F113&lt;&gt;0,-INDEX([9]Delta!$F$1:$EE$997,$L$13,$I113),0)</f>
        <v>0</v>
      </c>
      <c r="D113" s="71">
        <f>IF(F113&lt;&gt;0,VLOOKUP($J113,'Table 1'!$B$13:$C$33,2,FALSE)/12*1000*Study_MW,0)</f>
        <v>0</v>
      </c>
      <c r="E113" s="71">
        <f t="shared" si="34"/>
        <v>0</v>
      </c>
      <c r="F113" s="75">
        <f>INDEX([9]Delta!$F$1:$EE$997,$L$14,$I113)</f>
        <v>0</v>
      </c>
      <c r="G113" s="76" t="e">
        <f t="shared" si="35"/>
        <v>#DIV/0!</v>
      </c>
      <c r="I113" s="77">
        <f t="shared" si="39"/>
        <v>109</v>
      </c>
      <c r="J113" s="73">
        <f t="shared" si="36"/>
        <v>2027</v>
      </c>
      <c r="K113" s="78" t="str">
        <f t="shared" si="38"/>
        <v/>
      </c>
    </row>
    <row r="114" spans="2:11" hidden="1" outlineLevel="1">
      <c r="B114" s="78">
        <f t="shared" si="33"/>
        <v>46539</v>
      </c>
      <c r="C114" s="75">
        <f>IF(F114&lt;&gt;0,-INDEX([9]Delta!$F$1:$EE$997,$L$13,$I114),0)</f>
        <v>0</v>
      </c>
      <c r="D114" s="71">
        <f>IF(F114&lt;&gt;0,VLOOKUP($J114,'Table 1'!$B$13:$C$33,2,FALSE)/12*1000*Study_MW,0)</f>
        <v>0</v>
      </c>
      <c r="E114" s="71">
        <f t="shared" si="34"/>
        <v>0</v>
      </c>
      <c r="F114" s="75">
        <f>INDEX([9]Delta!$F$1:$EE$997,$L$14,$I114)</f>
        <v>0</v>
      </c>
      <c r="G114" s="76" t="e">
        <f t="shared" si="35"/>
        <v>#DIV/0!</v>
      </c>
      <c r="I114" s="77">
        <f t="shared" si="39"/>
        <v>110</v>
      </c>
      <c r="J114" s="73">
        <f t="shared" si="36"/>
        <v>2027</v>
      </c>
      <c r="K114" s="78" t="str">
        <f t="shared" si="38"/>
        <v/>
      </c>
    </row>
    <row r="115" spans="2:11" hidden="1" outlineLevel="1">
      <c r="B115" s="78">
        <f t="shared" si="33"/>
        <v>46569</v>
      </c>
      <c r="C115" s="75">
        <f>IF(F115&lt;&gt;0,-INDEX([9]Delta!$F$1:$EE$997,$L$13,$I115),0)</f>
        <v>0</v>
      </c>
      <c r="D115" s="71">
        <f>IF(F115&lt;&gt;0,VLOOKUP($J115,'Table 1'!$B$13:$C$33,2,FALSE)/12*1000*Study_MW,0)</f>
        <v>0</v>
      </c>
      <c r="E115" s="71">
        <f t="shared" si="34"/>
        <v>0</v>
      </c>
      <c r="F115" s="75">
        <f>INDEX([9]Delta!$F$1:$EE$997,$L$14,$I115)</f>
        <v>0</v>
      </c>
      <c r="G115" s="76" t="e">
        <f t="shared" si="35"/>
        <v>#DIV/0!</v>
      </c>
      <c r="I115" s="77">
        <f t="shared" si="39"/>
        <v>111</v>
      </c>
      <c r="J115" s="73">
        <f t="shared" si="36"/>
        <v>2027</v>
      </c>
      <c r="K115" s="78" t="str">
        <f t="shared" si="38"/>
        <v/>
      </c>
    </row>
    <row r="116" spans="2:11" hidden="1" outlineLevel="1">
      <c r="B116" s="78">
        <f t="shared" si="33"/>
        <v>46600</v>
      </c>
      <c r="C116" s="75">
        <f>IF(F116&lt;&gt;0,-INDEX([9]Delta!$F$1:$EE$997,$L$13,$I116),0)</f>
        <v>0</v>
      </c>
      <c r="D116" s="71">
        <f>IF(F116&lt;&gt;0,VLOOKUP($J116,'Table 1'!$B$13:$C$33,2,FALSE)/12*1000*Study_MW,0)</f>
        <v>0</v>
      </c>
      <c r="E116" s="71">
        <f t="shared" si="34"/>
        <v>0</v>
      </c>
      <c r="F116" s="75">
        <f>INDEX([9]Delta!$F$1:$EE$997,$L$14,$I116)</f>
        <v>0</v>
      </c>
      <c r="G116" s="76" t="e">
        <f t="shared" si="35"/>
        <v>#DIV/0!</v>
      </c>
      <c r="I116" s="77">
        <f t="shared" si="39"/>
        <v>112</v>
      </c>
      <c r="J116" s="73">
        <f t="shared" si="36"/>
        <v>2027</v>
      </c>
      <c r="K116" s="78" t="str">
        <f t="shared" si="38"/>
        <v/>
      </c>
    </row>
    <row r="117" spans="2:11" hidden="1" outlineLevel="1">
      <c r="B117" s="78">
        <f t="shared" si="33"/>
        <v>46631</v>
      </c>
      <c r="C117" s="75">
        <f>IF(F117&lt;&gt;0,-INDEX([9]Delta!$F$1:$EE$997,$L$13,$I117),0)</f>
        <v>0</v>
      </c>
      <c r="D117" s="71">
        <f>IF(F117&lt;&gt;0,VLOOKUP($J117,'Table 1'!$B$13:$C$33,2,FALSE)/12*1000*Study_MW,0)</f>
        <v>0</v>
      </c>
      <c r="E117" s="71">
        <f t="shared" si="34"/>
        <v>0</v>
      </c>
      <c r="F117" s="75">
        <f>INDEX([9]Delta!$F$1:$EE$997,$L$14,$I117)</f>
        <v>0</v>
      </c>
      <c r="G117" s="76" t="e">
        <f t="shared" si="35"/>
        <v>#DIV/0!</v>
      </c>
      <c r="I117" s="77">
        <f t="shared" si="39"/>
        <v>113</v>
      </c>
      <c r="J117" s="73">
        <f t="shared" si="36"/>
        <v>2027</v>
      </c>
      <c r="K117" s="78" t="str">
        <f t="shared" si="38"/>
        <v/>
      </c>
    </row>
    <row r="118" spans="2:11" hidden="1" outlineLevel="1">
      <c r="B118" s="78">
        <f t="shared" si="33"/>
        <v>46661</v>
      </c>
      <c r="C118" s="75">
        <f>IF(F118&lt;&gt;0,-INDEX([9]Delta!$F$1:$EE$997,$L$13,$I118),0)</f>
        <v>0</v>
      </c>
      <c r="D118" s="71">
        <f>IF(F118&lt;&gt;0,VLOOKUP($J118,'Table 1'!$B$13:$C$33,2,FALSE)/12*1000*Study_MW,0)</f>
        <v>0</v>
      </c>
      <c r="E118" s="71">
        <f t="shared" si="34"/>
        <v>0</v>
      </c>
      <c r="F118" s="75">
        <f>INDEX([9]Delta!$F$1:$EE$997,$L$14,$I118)</f>
        <v>0</v>
      </c>
      <c r="G118" s="76" t="e">
        <f t="shared" si="35"/>
        <v>#DIV/0!</v>
      </c>
      <c r="I118" s="77">
        <f t="shared" si="39"/>
        <v>114</v>
      </c>
      <c r="J118" s="73">
        <f t="shared" si="36"/>
        <v>2027</v>
      </c>
      <c r="K118" s="78" t="str">
        <f t="shared" si="38"/>
        <v/>
      </c>
    </row>
    <row r="119" spans="2:11" hidden="1" outlineLevel="1">
      <c r="B119" s="78">
        <f t="shared" si="33"/>
        <v>46692</v>
      </c>
      <c r="C119" s="75">
        <f>IF(F119&lt;&gt;0,-INDEX([9]Delta!$F$1:$EE$997,$L$13,$I119),0)</f>
        <v>0</v>
      </c>
      <c r="D119" s="71">
        <f>IF(F119&lt;&gt;0,VLOOKUP($J119,'Table 1'!$B$13:$C$33,2,FALSE)/12*1000*Study_MW,0)</f>
        <v>0</v>
      </c>
      <c r="E119" s="71">
        <f t="shared" si="34"/>
        <v>0</v>
      </c>
      <c r="F119" s="75">
        <f>INDEX([9]Delta!$F$1:$EE$997,$L$14,$I119)</f>
        <v>0</v>
      </c>
      <c r="G119" s="76" t="e">
        <f t="shared" si="35"/>
        <v>#DIV/0!</v>
      </c>
      <c r="I119" s="77">
        <f t="shared" si="39"/>
        <v>115</v>
      </c>
      <c r="J119" s="73">
        <f t="shared" si="36"/>
        <v>2027</v>
      </c>
      <c r="K119" s="78" t="str">
        <f t="shared" si="38"/>
        <v/>
      </c>
    </row>
    <row r="120" spans="2:11" hidden="1" outlineLevel="1">
      <c r="B120" s="82">
        <f t="shared" si="33"/>
        <v>46722</v>
      </c>
      <c r="C120" s="79">
        <f>IF(F120&lt;&gt;0,-INDEX([9]Delta!$F$1:$EE$997,$L$13,$I120),0)</f>
        <v>0</v>
      </c>
      <c r="D120" s="80">
        <f>IF(F120&lt;&gt;0,VLOOKUP($J120,'Table 1'!$B$13:$C$33,2,FALSE)/12*1000*Study_MW,0)</f>
        <v>0</v>
      </c>
      <c r="E120" s="80">
        <f t="shared" si="34"/>
        <v>0</v>
      </c>
      <c r="F120" s="79">
        <f>INDEX([9]Delta!$F$1:$EE$997,$L$14,$I120)</f>
        <v>0</v>
      </c>
      <c r="G120" s="81" t="e">
        <f t="shared" si="35"/>
        <v>#DIV/0!</v>
      </c>
      <c r="I120" s="64">
        <f t="shared" si="39"/>
        <v>116</v>
      </c>
      <c r="J120" s="73">
        <f t="shared" si="36"/>
        <v>2027</v>
      </c>
      <c r="K120" s="82" t="str">
        <f t="shared" si="38"/>
        <v/>
      </c>
    </row>
    <row r="121" spans="2:11" hidden="1" outlineLevel="1">
      <c r="B121" s="74">
        <f t="shared" si="33"/>
        <v>46753</v>
      </c>
      <c r="C121" s="69">
        <f>IF(F121&lt;&gt;0,-INDEX([9]Delta!$F$1:$EE$997,$L$13,$I121),0)</f>
        <v>0</v>
      </c>
      <c r="D121" s="70">
        <f>IF(F121&lt;&gt;0,VLOOKUP($J121,'Table 1'!$B$13:$C$33,2,FALSE)/12*1000*Study_MW,0)</f>
        <v>0</v>
      </c>
      <c r="E121" s="70">
        <f t="shared" si="34"/>
        <v>0</v>
      </c>
      <c r="F121" s="69">
        <f>INDEX([9]Delta!$F$1:$EE$997,$L$14,$I121)</f>
        <v>0</v>
      </c>
      <c r="G121" s="72" t="e">
        <f t="shared" si="35"/>
        <v>#DIV/0!</v>
      </c>
      <c r="I121" s="60">
        <f>I109+13</f>
        <v>118</v>
      </c>
      <c r="J121" s="73">
        <f t="shared" si="36"/>
        <v>2028</v>
      </c>
      <c r="K121" s="74" t="str">
        <f t="shared" si="38"/>
        <v/>
      </c>
    </row>
    <row r="122" spans="2:11" hidden="1" outlineLevel="1">
      <c r="B122" s="78">
        <f t="shared" si="33"/>
        <v>46784</v>
      </c>
      <c r="C122" s="75">
        <f>IF(F122&lt;&gt;0,-INDEX([9]Delta!$F$1:$EE$997,$L$13,$I122),0)</f>
        <v>0</v>
      </c>
      <c r="D122" s="71">
        <f>IF(F122&lt;&gt;0,VLOOKUP($J122,'Table 1'!$B$13:$C$33,2,FALSE)/12*1000*Study_MW,0)</f>
        <v>0</v>
      </c>
      <c r="E122" s="71">
        <f t="shared" si="34"/>
        <v>0</v>
      </c>
      <c r="F122" s="75">
        <f>INDEX([9]Delta!$F$1:$EE$997,$L$14,$I122)</f>
        <v>0</v>
      </c>
      <c r="G122" s="76" t="e">
        <f t="shared" si="35"/>
        <v>#DIV/0!</v>
      </c>
      <c r="I122" s="77">
        <f t="shared" ref="I122:I132" si="40">I110+13</f>
        <v>119</v>
      </c>
      <c r="J122" s="73">
        <f t="shared" si="36"/>
        <v>2028</v>
      </c>
      <c r="K122" s="78" t="str">
        <f t="shared" si="38"/>
        <v/>
      </c>
    </row>
    <row r="123" spans="2:11" hidden="1" outlineLevel="1">
      <c r="B123" s="78">
        <f t="shared" si="33"/>
        <v>46813</v>
      </c>
      <c r="C123" s="75">
        <f>IF(F123&lt;&gt;0,-INDEX([9]Delta!$F$1:$EE$997,$L$13,$I123),0)</f>
        <v>0</v>
      </c>
      <c r="D123" s="71">
        <f>IF(F123&lt;&gt;0,VLOOKUP($J123,'Table 1'!$B$13:$C$33,2,FALSE)/12*1000*Study_MW,0)</f>
        <v>0</v>
      </c>
      <c r="E123" s="71">
        <f t="shared" si="34"/>
        <v>0</v>
      </c>
      <c r="F123" s="75">
        <f>INDEX([9]Delta!$F$1:$EE$997,$L$14,$I123)</f>
        <v>0</v>
      </c>
      <c r="G123" s="76" t="e">
        <f t="shared" si="35"/>
        <v>#DIV/0!</v>
      </c>
      <c r="I123" s="77">
        <f t="shared" si="40"/>
        <v>120</v>
      </c>
      <c r="J123" s="73">
        <f t="shared" si="36"/>
        <v>2028</v>
      </c>
      <c r="K123" s="78" t="str">
        <f t="shared" si="38"/>
        <v/>
      </c>
    </row>
    <row r="124" spans="2:11" hidden="1" outlineLevel="1">
      <c r="B124" s="78">
        <f t="shared" si="33"/>
        <v>46844</v>
      </c>
      <c r="C124" s="75">
        <f>IF(F124&lt;&gt;0,-INDEX([9]Delta!$F$1:$EE$997,$L$13,$I124),0)</f>
        <v>0</v>
      </c>
      <c r="D124" s="71">
        <f>IF(F124&lt;&gt;0,VLOOKUP($J124,'Table 1'!$B$13:$C$33,2,FALSE)/12*1000*Study_MW,0)</f>
        <v>0</v>
      </c>
      <c r="E124" s="71">
        <f t="shared" si="34"/>
        <v>0</v>
      </c>
      <c r="F124" s="75">
        <f>INDEX([9]Delta!$F$1:$EE$997,$L$14,$I124)</f>
        <v>0</v>
      </c>
      <c r="G124" s="76" t="e">
        <f t="shared" si="35"/>
        <v>#DIV/0!</v>
      </c>
      <c r="I124" s="77">
        <f t="shared" si="40"/>
        <v>121</v>
      </c>
      <c r="J124" s="73">
        <f t="shared" si="36"/>
        <v>2028</v>
      </c>
      <c r="K124" s="78" t="str">
        <f t="shared" si="38"/>
        <v/>
      </c>
    </row>
    <row r="125" spans="2:11" hidden="1" outlineLevel="1">
      <c r="B125" s="78">
        <f t="shared" si="33"/>
        <v>46874</v>
      </c>
      <c r="C125" s="75">
        <f>IF(F125&lt;&gt;0,-INDEX([9]Delta!$F$1:$EE$997,$L$13,$I125),0)</f>
        <v>0</v>
      </c>
      <c r="D125" s="71">
        <f>IF(F125&lt;&gt;0,VLOOKUP($J125,'Table 1'!$B$13:$C$33,2,FALSE)/12*1000*Study_MW,0)</f>
        <v>0</v>
      </c>
      <c r="E125" s="71">
        <f t="shared" si="34"/>
        <v>0</v>
      </c>
      <c r="F125" s="75">
        <f>INDEX([9]Delta!$F$1:$EE$997,$L$14,$I125)</f>
        <v>0</v>
      </c>
      <c r="G125" s="76" t="e">
        <f t="shared" si="35"/>
        <v>#DIV/0!</v>
      </c>
      <c r="I125" s="77">
        <f t="shared" si="40"/>
        <v>122</v>
      </c>
      <c r="J125" s="73">
        <f t="shared" si="36"/>
        <v>2028</v>
      </c>
      <c r="K125" s="78" t="str">
        <f t="shared" si="38"/>
        <v/>
      </c>
    </row>
    <row r="126" spans="2:11" hidden="1" outlineLevel="1">
      <c r="B126" s="78">
        <f t="shared" si="33"/>
        <v>46905</v>
      </c>
      <c r="C126" s="75">
        <f>IF(F126&lt;&gt;0,-INDEX([9]Delta!$F$1:$EE$997,$L$13,$I126),0)</f>
        <v>0</v>
      </c>
      <c r="D126" s="71">
        <f>IF(F126&lt;&gt;0,VLOOKUP($J126,'Table 1'!$B$13:$C$33,2,FALSE)/12*1000*Study_MW,0)</f>
        <v>0</v>
      </c>
      <c r="E126" s="71">
        <f t="shared" si="34"/>
        <v>0</v>
      </c>
      <c r="F126" s="75">
        <f>INDEX([9]Delta!$F$1:$EE$997,$L$14,$I126)</f>
        <v>0</v>
      </c>
      <c r="G126" s="76" t="e">
        <f t="shared" si="35"/>
        <v>#DIV/0!</v>
      </c>
      <c r="I126" s="77">
        <f t="shared" si="40"/>
        <v>123</v>
      </c>
      <c r="J126" s="73">
        <f t="shared" si="36"/>
        <v>2028</v>
      </c>
      <c r="K126" s="78" t="str">
        <f t="shared" si="38"/>
        <v/>
      </c>
    </row>
    <row r="127" spans="2:11" hidden="1" outlineLevel="1">
      <c r="B127" s="78">
        <f t="shared" si="33"/>
        <v>46935</v>
      </c>
      <c r="C127" s="75">
        <f>IF(F127&lt;&gt;0,-INDEX([9]Delta!$F$1:$EE$997,$L$13,$I127),0)</f>
        <v>0</v>
      </c>
      <c r="D127" s="71">
        <f>IF(F127&lt;&gt;0,VLOOKUP($J127,'Table 1'!$B$13:$C$33,2,FALSE)/12*1000*Study_MW,0)</f>
        <v>0</v>
      </c>
      <c r="E127" s="71">
        <f t="shared" si="34"/>
        <v>0</v>
      </c>
      <c r="F127" s="75">
        <f>INDEX([9]Delta!$F$1:$EE$997,$L$14,$I127)</f>
        <v>0</v>
      </c>
      <c r="G127" s="76" t="e">
        <f t="shared" si="35"/>
        <v>#DIV/0!</v>
      </c>
      <c r="I127" s="77">
        <f t="shared" si="40"/>
        <v>124</v>
      </c>
      <c r="J127" s="73">
        <f t="shared" si="36"/>
        <v>2028</v>
      </c>
      <c r="K127" s="78" t="str">
        <f t="shared" si="38"/>
        <v/>
      </c>
    </row>
    <row r="128" spans="2:11" hidden="1" outlineLevel="1">
      <c r="B128" s="78">
        <f t="shared" si="33"/>
        <v>46966</v>
      </c>
      <c r="C128" s="75">
        <f>IF(F128&lt;&gt;0,-INDEX([9]Delta!$F$1:$EE$997,$L$13,$I128),0)</f>
        <v>0</v>
      </c>
      <c r="D128" s="71">
        <f>IF(F128&lt;&gt;0,VLOOKUP($J128,'Table 1'!$B$13:$C$33,2,FALSE)/12*1000*Study_MW,0)</f>
        <v>0</v>
      </c>
      <c r="E128" s="71">
        <f t="shared" si="34"/>
        <v>0</v>
      </c>
      <c r="F128" s="75">
        <f>INDEX([9]Delta!$F$1:$EE$997,$L$14,$I128)</f>
        <v>0</v>
      </c>
      <c r="G128" s="76" t="e">
        <f t="shared" si="35"/>
        <v>#DIV/0!</v>
      </c>
      <c r="I128" s="77">
        <f t="shared" si="40"/>
        <v>125</v>
      </c>
      <c r="J128" s="73">
        <f t="shared" si="36"/>
        <v>2028</v>
      </c>
      <c r="K128" s="78" t="str">
        <f t="shared" si="38"/>
        <v/>
      </c>
    </row>
    <row r="129" spans="2:11" hidden="1" outlineLevel="1">
      <c r="B129" s="78">
        <f t="shared" si="33"/>
        <v>46997</v>
      </c>
      <c r="C129" s="75">
        <f>IF(F129&lt;&gt;0,-INDEX([9]Delta!$F$1:$EE$997,$L$13,$I129),0)</f>
        <v>0</v>
      </c>
      <c r="D129" s="71">
        <f>IF(F129&lt;&gt;0,VLOOKUP($J129,'Table 1'!$B$13:$C$33,2,FALSE)/12*1000*Study_MW,0)</f>
        <v>0</v>
      </c>
      <c r="E129" s="71">
        <f t="shared" si="34"/>
        <v>0</v>
      </c>
      <c r="F129" s="75">
        <f>INDEX([9]Delta!$F$1:$EE$997,$L$14,$I129)</f>
        <v>0</v>
      </c>
      <c r="G129" s="76" t="e">
        <f t="shared" si="35"/>
        <v>#DIV/0!</v>
      </c>
      <c r="I129" s="77">
        <f t="shared" si="40"/>
        <v>126</v>
      </c>
      <c r="J129" s="73">
        <f t="shared" si="36"/>
        <v>2028</v>
      </c>
      <c r="K129" s="78" t="str">
        <f t="shared" si="38"/>
        <v/>
      </c>
    </row>
    <row r="130" spans="2:11" hidden="1" outlineLevel="1">
      <c r="B130" s="78">
        <f t="shared" si="33"/>
        <v>47027</v>
      </c>
      <c r="C130" s="75">
        <f>IF(F130&lt;&gt;0,-INDEX([9]Delta!$F$1:$EE$997,$L$13,$I130),0)</f>
        <v>0</v>
      </c>
      <c r="D130" s="71">
        <f>IF(F130&lt;&gt;0,VLOOKUP($J130,'Table 1'!$B$13:$C$33,2,FALSE)/12*1000*Study_MW,0)</f>
        <v>0</v>
      </c>
      <c r="E130" s="71">
        <f t="shared" si="34"/>
        <v>0</v>
      </c>
      <c r="F130" s="75">
        <f>INDEX([9]Delta!$F$1:$EE$997,$L$14,$I130)</f>
        <v>0</v>
      </c>
      <c r="G130" s="76" t="e">
        <f t="shared" si="35"/>
        <v>#DIV/0!</v>
      </c>
      <c r="I130" s="77">
        <f t="shared" si="40"/>
        <v>127</v>
      </c>
      <c r="J130" s="73">
        <f t="shared" si="36"/>
        <v>2028</v>
      </c>
      <c r="K130" s="78" t="str">
        <f t="shared" si="38"/>
        <v/>
      </c>
    </row>
    <row r="131" spans="2:11" hidden="1" outlineLevel="1">
      <c r="B131" s="78">
        <f t="shared" si="33"/>
        <v>47058</v>
      </c>
      <c r="C131" s="75">
        <f>IF(F131&lt;&gt;0,-INDEX([9]Delta!$F$1:$EE$997,$L$13,$I131),0)</f>
        <v>0</v>
      </c>
      <c r="D131" s="71">
        <f>IF(F131&lt;&gt;0,VLOOKUP($J131,'Table 1'!$B$13:$C$33,2,FALSE)/12*1000*Study_MW,0)</f>
        <v>0</v>
      </c>
      <c r="E131" s="71">
        <f t="shared" si="34"/>
        <v>0</v>
      </c>
      <c r="F131" s="75">
        <f>INDEX([9]Delta!$F$1:$EE$997,$L$14,$I131)</f>
        <v>0</v>
      </c>
      <c r="G131" s="76" t="e">
        <f t="shared" si="35"/>
        <v>#DIV/0!</v>
      </c>
      <c r="I131" s="77">
        <f t="shared" si="40"/>
        <v>128</v>
      </c>
      <c r="J131" s="73">
        <f t="shared" si="36"/>
        <v>2028</v>
      </c>
      <c r="K131" s="78" t="str">
        <f t="shared" si="38"/>
        <v/>
      </c>
    </row>
    <row r="132" spans="2:11" hidden="1" outlineLevel="1">
      <c r="B132" s="82">
        <f t="shared" si="33"/>
        <v>47088</v>
      </c>
      <c r="C132" s="79">
        <f>IF(F132&lt;&gt;0,-INDEX([9]Delta!$F$1:$EE$997,$L$13,$I132),0)</f>
        <v>0</v>
      </c>
      <c r="D132" s="80">
        <f>IF(F132&lt;&gt;0,VLOOKUP($J132,'Table 1'!$B$13:$C$33,2,FALSE)/12*1000*Study_MW,0)</f>
        <v>0</v>
      </c>
      <c r="E132" s="80">
        <f t="shared" si="34"/>
        <v>0</v>
      </c>
      <c r="F132" s="79">
        <f>INDEX([9]Delta!$F$1:$EE$997,$L$14,$I132)</f>
        <v>0</v>
      </c>
      <c r="G132" s="81" t="e">
        <f t="shared" si="35"/>
        <v>#DIV/0!</v>
      </c>
      <c r="I132" s="64">
        <f t="shared" si="40"/>
        <v>129</v>
      </c>
      <c r="J132" s="73">
        <f t="shared" si="36"/>
        <v>2028</v>
      </c>
      <c r="K132" s="82" t="str">
        <f t="shared" si="38"/>
        <v/>
      </c>
    </row>
    <row r="133" spans="2:11" hidden="1" outlineLevel="1">
      <c r="B133" s="74"/>
      <c r="C133" s="69"/>
      <c r="D133" s="70"/>
      <c r="E133" s="70"/>
      <c r="F133" s="69"/>
      <c r="G133" s="72"/>
      <c r="I133" s="60"/>
      <c r="J133" s="73"/>
      <c r="K133" s="74"/>
    </row>
    <row r="134" spans="2:11" hidden="1" outlineLevel="1">
      <c r="B134" s="78"/>
      <c r="C134" s="75"/>
      <c r="D134" s="71"/>
      <c r="E134" s="71"/>
      <c r="F134" s="75"/>
      <c r="G134" s="76"/>
      <c r="I134" s="77"/>
      <c r="J134" s="73"/>
      <c r="K134" s="78"/>
    </row>
    <row r="135" spans="2:11" hidden="1" outlineLevel="1">
      <c r="B135" s="78"/>
      <c r="C135" s="75"/>
      <c r="D135" s="71"/>
      <c r="E135" s="71"/>
      <c r="F135" s="75"/>
      <c r="G135" s="76"/>
      <c r="I135" s="77"/>
      <c r="J135" s="73"/>
      <c r="K135" s="78"/>
    </row>
    <row r="136" spans="2:11" hidden="1" outlineLevel="1">
      <c r="B136" s="78"/>
      <c r="C136" s="75"/>
      <c r="D136" s="71"/>
      <c r="E136" s="71"/>
      <c r="F136" s="75"/>
      <c r="G136" s="76"/>
      <c r="I136" s="77"/>
      <c r="J136" s="73"/>
      <c r="K136" s="78"/>
    </row>
    <row r="137" spans="2:11" hidden="1" outlineLevel="1">
      <c r="B137" s="78"/>
      <c r="C137" s="75"/>
      <c r="D137" s="71"/>
      <c r="E137" s="71"/>
      <c r="F137" s="75"/>
      <c r="G137" s="76"/>
      <c r="I137" s="77"/>
      <c r="J137" s="73"/>
      <c r="K137" s="78"/>
    </row>
    <row r="138" spans="2:11" hidden="1" outlineLevel="1">
      <c r="B138" s="78"/>
      <c r="C138" s="75"/>
      <c r="D138" s="71"/>
      <c r="E138" s="71"/>
      <c r="F138" s="75"/>
      <c r="G138" s="76"/>
      <c r="I138" s="77"/>
      <c r="J138" s="73"/>
      <c r="K138" s="78"/>
    </row>
    <row r="139" spans="2:11" hidden="1" outlineLevel="1">
      <c r="B139" s="78"/>
      <c r="C139" s="75"/>
      <c r="D139" s="71"/>
      <c r="E139" s="71"/>
      <c r="F139" s="75"/>
      <c r="G139" s="76"/>
      <c r="I139" s="77"/>
      <c r="J139" s="73"/>
      <c r="K139" s="78"/>
    </row>
    <row r="140" spans="2:11" hidden="1" outlineLevel="1">
      <c r="B140" s="78"/>
      <c r="C140" s="75"/>
      <c r="D140" s="71"/>
      <c r="E140" s="71"/>
      <c r="F140" s="75"/>
      <c r="G140" s="76"/>
      <c r="I140" s="77"/>
      <c r="J140" s="73"/>
      <c r="K140" s="78"/>
    </row>
    <row r="141" spans="2:11" hidden="1" outlineLevel="1">
      <c r="B141" s="78"/>
      <c r="C141" s="75"/>
      <c r="D141" s="71"/>
      <c r="E141" s="71"/>
      <c r="F141" s="75"/>
      <c r="G141" s="76"/>
      <c r="I141" s="77"/>
      <c r="J141" s="73"/>
      <c r="K141" s="78"/>
    </row>
    <row r="142" spans="2:11" hidden="1" outlineLevel="1">
      <c r="B142" s="78"/>
      <c r="C142" s="75"/>
      <c r="D142" s="71"/>
      <c r="E142" s="71"/>
      <c r="F142" s="75"/>
      <c r="G142" s="76"/>
      <c r="I142" s="77"/>
      <c r="J142" s="73"/>
      <c r="K142" s="78"/>
    </row>
    <row r="143" spans="2:11" hidden="1" outlineLevel="1">
      <c r="B143" s="78"/>
      <c r="C143" s="75"/>
      <c r="D143" s="71"/>
      <c r="E143" s="71"/>
      <c r="F143" s="75"/>
      <c r="G143" s="76"/>
      <c r="I143" s="77"/>
      <c r="J143" s="73"/>
      <c r="K143" s="78"/>
    </row>
    <row r="144" spans="2:11" hidden="1" outlineLevel="1">
      <c r="B144" s="82"/>
      <c r="C144" s="79"/>
      <c r="D144" s="80"/>
      <c r="E144" s="80"/>
      <c r="F144" s="79"/>
      <c r="G144" s="81"/>
      <c r="I144" s="64"/>
      <c r="J144" s="73"/>
      <c r="K144" s="82"/>
    </row>
    <row r="145" spans="2:11" hidden="1" outlineLevel="1">
      <c r="B145" s="74"/>
      <c r="C145" s="69"/>
      <c r="D145" s="70"/>
      <c r="E145" s="70"/>
      <c r="F145" s="69"/>
      <c r="G145" s="72"/>
      <c r="I145" s="60"/>
      <c r="J145" s="73"/>
      <c r="K145" s="74"/>
    </row>
    <row r="146" spans="2:11" hidden="1" outlineLevel="1">
      <c r="B146" s="78"/>
      <c r="C146" s="75"/>
      <c r="D146" s="71"/>
      <c r="E146" s="71"/>
      <c r="F146" s="75"/>
      <c r="G146" s="76"/>
      <c r="I146" s="77"/>
      <c r="J146" s="73"/>
      <c r="K146" s="78"/>
    </row>
    <row r="147" spans="2:11" hidden="1" outlineLevel="1">
      <c r="B147" s="78"/>
      <c r="C147" s="75"/>
      <c r="D147" s="71"/>
      <c r="E147" s="71"/>
      <c r="F147" s="75"/>
      <c r="G147" s="76"/>
      <c r="I147" s="77"/>
      <c r="J147" s="73"/>
      <c r="K147" s="78"/>
    </row>
    <row r="148" spans="2:11" hidden="1" outlineLevel="1">
      <c r="B148" s="78"/>
      <c r="C148" s="75"/>
      <c r="D148" s="71"/>
      <c r="E148" s="71"/>
      <c r="F148" s="75"/>
      <c r="G148" s="76"/>
      <c r="I148" s="77"/>
      <c r="J148" s="73"/>
      <c r="K148" s="78"/>
    </row>
    <row r="149" spans="2:11" hidden="1" outlineLevel="1">
      <c r="B149" s="78"/>
      <c r="C149" s="75"/>
      <c r="D149" s="71"/>
      <c r="E149" s="71"/>
      <c r="F149" s="75"/>
      <c r="G149" s="76"/>
      <c r="I149" s="77"/>
      <c r="J149" s="73"/>
      <c r="K149" s="78"/>
    </row>
    <row r="150" spans="2:11" hidden="1" outlineLevel="1">
      <c r="B150" s="78"/>
      <c r="C150" s="75"/>
      <c r="D150" s="71"/>
      <c r="E150" s="71"/>
      <c r="F150" s="75"/>
      <c r="G150" s="76"/>
      <c r="I150" s="77"/>
      <c r="J150" s="73"/>
      <c r="K150" s="78"/>
    </row>
    <row r="151" spans="2:11" hidden="1" outlineLevel="1">
      <c r="B151" s="78"/>
      <c r="C151" s="75"/>
      <c r="D151" s="71"/>
      <c r="E151" s="71"/>
      <c r="F151" s="75"/>
      <c r="G151" s="76"/>
      <c r="I151" s="77"/>
      <c r="J151" s="73"/>
      <c r="K151" s="78"/>
    </row>
    <row r="152" spans="2:11" hidden="1" outlineLevel="1">
      <c r="B152" s="78"/>
      <c r="C152" s="75"/>
      <c r="D152" s="71"/>
      <c r="E152" s="71"/>
      <c r="F152" s="75"/>
      <c r="G152" s="76"/>
      <c r="I152" s="77"/>
      <c r="J152" s="73"/>
      <c r="K152" s="78"/>
    </row>
    <row r="153" spans="2:11" hidden="1" outlineLevel="1">
      <c r="B153" s="78"/>
      <c r="C153" s="75"/>
      <c r="D153" s="71"/>
      <c r="E153" s="71"/>
      <c r="F153" s="75"/>
      <c r="G153" s="76"/>
      <c r="I153" s="77"/>
      <c r="J153" s="73"/>
      <c r="K153" s="78"/>
    </row>
    <row r="154" spans="2:11" hidden="1" outlineLevel="1">
      <c r="B154" s="78"/>
      <c r="C154" s="75"/>
      <c r="D154" s="71"/>
      <c r="E154" s="71"/>
      <c r="F154" s="75"/>
      <c r="G154" s="76"/>
      <c r="I154" s="77"/>
      <c r="J154" s="73"/>
      <c r="K154" s="78"/>
    </row>
    <row r="155" spans="2:11" hidden="1" outlineLevel="1">
      <c r="B155" s="78"/>
      <c r="C155" s="75"/>
      <c r="D155" s="71"/>
      <c r="E155" s="71"/>
      <c r="F155" s="75"/>
      <c r="G155" s="76"/>
      <c r="I155" s="77"/>
      <c r="J155" s="73"/>
      <c r="K155" s="78"/>
    </row>
    <row r="156" spans="2:11" hidden="1" outlineLevel="1">
      <c r="B156" s="82"/>
      <c r="C156" s="79"/>
      <c r="D156" s="80"/>
      <c r="E156" s="80"/>
      <c r="F156" s="79"/>
      <c r="G156" s="81"/>
      <c r="I156" s="64"/>
      <c r="J156" s="73"/>
      <c r="K156" s="82"/>
    </row>
    <row r="157" spans="2:11" hidden="1" outlineLevel="1">
      <c r="B157" s="74"/>
      <c r="C157" s="69"/>
      <c r="D157" s="70"/>
      <c r="E157" s="70"/>
      <c r="F157" s="69"/>
      <c r="G157" s="72"/>
      <c r="I157" s="60"/>
      <c r="J157" s="73"/>
      <c r="K157" s="74"/>
    </row>
    <row r="158" spans="2:11" hidden="1" outlineLevel="1">
      <c r="B158" s="78"/>
      <c r="C158" s="75"/>
      <c r="D158" s="71"/>
      <c r="E158" s="71"/>
      <c r="F158" s="75"/>
      <c r="G158" s="76"/>
      <c r="I158" s="77"/>
      <c r="J158" s="73"/>
      <c r="K158" s="78"/>
    </row>
    <row r="159" spans="2:11" hidden="1" outlineLevel="1">
      <c r="B159" s="78"/>
      <c r="C159" s="75"/>
      <c r="D159" s="71"/>
      <c r="E159" s="71"/>
      <c r="F159" s="75"/>
      <c r="G159" s="76"/>
      <c r="I159" s="77"/>
      <c r="J159" s="73"/>
      <c r="K159" s="78"/>
    </row>
    <row r="160" spans="2:11" hidden="1" outlineLevel="1">
      <c r="B160" s="78"/>
      <c r="C160" s="75"/>
      <c r="D160" s="71"/>
      <c r="E160" s="71"/>
      <c r="F160" s="75"/>
      <c r="G160" s="76"/>
      <c r="I160" s="77"/>
      <c r="J160" s="73"/>
      <c r="K160" s="78"/>
    </row>
    <row r="161" spans="2:11" hidden="1" outlineLevel="1">
      <c r="B161" s="78"/>
      <c r="C161" s="75"/>
      <c r="D161" s="71"/>
      <c r="E161" s="71"/>
      <c r="F161" s="75"/>
      <c r="G161" s="76"/>
      <c r="I161" s="77"/>
      <c r="J161" s="73"/>
      <c r="K161" s="78"/>
    </row>
    <row r="162" spans="2:11" hidden="1" outlineLevel="1">
      <c r="B162" s="78"/>
      <c r="C162" s="75"/>
      <c r="D162" s="71"/>
      <c r="E162" s="71"/>
      <c r="F162" s="75"/>
      <c r="G162" s="76"/>
      <c r="I162" s="77"/>
      <c r="J162" s="73"/>
      <c r="K162" s="78"/>
    </row>
    <row r="163" spans="2:11" hidden="1" outlineLevel="1">
      <c r="B163" s="78"/>
      <c r="C163" s="75"/>
      <c r="D163" s="71"/>
      <c r="E163" s="71"/>
      <c r="F163" s="75"/>
      <c r="G163" s="76"/>
      <c r="I163" s="77"/>
      <c r="J163" s="73"/>
      <c r="K163" s="78"/>
    </row>
    <row r="164" spans="2:11" hidden="1" outlineLevel="1">
      <c r="B164" s="78"/>
      <c r="C164" s="75"/>
      <c r="D164" s="71"/>
      <c r="E164" s="71"/>
      <c r="F164" s="75"/>
      <c r="G164" s="76"/>
      <c r="I164" s="77"/>
      <c r="J164" s="73"/>
      <c r="K164" s="78"/>
    </row>
    <row r="165" spans="2:11" hidden="1" outlineLevel="1">
      <c r="B165" s="78"/>
      <c r="C165" s="75"/>
      <c r="D165" s="71"/>
      <c r="E165" s="71"/>
      <c r="F165" s="75"/>
      <c r="G165" s="76"/>
      <c r="I165" s="77"/>
      <c r="J165" s="73"/>
      <c r="K165" s="78"/>
    </row>
    <row r="166" spans="2:11" hidden="1" outlineLevel="1">
      <c r="B166" s="78"/>
      <c r="C166" s="75"/>
      <c r="D166" s="71"/>
      <c r="E166" s="71"/>
      <c r="F166" s="75"/>
      <c r="G166" s="76"/>
      <c r="I166" s="77"/>
      <c r="J166" s="73"/>
      <c r="K166" s="78"/>
    </row>
    <row r="167" spans="2:11" hidden="1" outlineLevel="1">
      <c r="B167" s="78"/>
      <c r="C167" s="75"/>
      <c r="D167" s="71"/>
      <c r="E167" s="71"/>
      <c r="F167" s="75"/>
      <c r="G167" s="76"/>
      <c r="I167" s="77"/>
      <c r="J167" s="73"/>
      <c r="K167" s="78"/>
    </row>
    <row r="168" spans="2:11" hidden="1" outlineLevel="1">
      <c r="B168" s="82"/>
      <c r="C168" s="79"/>
      <c r="D168" s="80"/>
      <c r="E168" s="80"/>
      <c r="F168" s="79"/>
      <c r="G168" s="81"/>
      <c r="I168" s="64"/>
      <c r="J168" s="73"/>
      <c r="K168" s="82"/>
    </row>
    <row r="169" spans="2:11" hidden="1" outlineLevel="1">
      <c r="B169" s="74"/>
      <c r="C169" s="69"/>
      <c r="D169" s="70"/>
      <c r="E169" s="70"/>
      <c r="F169" s="69"/>
      <c r="G169" s="72"/>
      <c r="I169" s="60"/>
      <c r="J169" s="73"/>
      <c r="K169" s="74"/>
    </row>
    <row r="170" spans="2:11" hidden="1" outlineLevel="1">
      <c r="B170" s="78"/>
      <c r="C170" s="75"/>
      <c r="D170" s="71"/>
      <c r="E170" s="71"/>
      <c r="F170" s="75"/>
      <c r="G170" s="76"/>
      <c r="I170" s="77"/>
      <c r="J170" s="73"/>
      <c r="K170" s="78"/>
    </row>
    <row r="171" spans="2:11" hidden="1" outlineLevel="1">
      <c r="B171" s="78"/>
      <c r="C171" s="75"/>
      <c r="D171" s="71"/>
      <c r="E171" s="71"/>
      <c r="F171" s="75"/>
      <c r="G171" s="76"/>
      <c r="I171" s="77"/>
      <c r="J171" s="73"/>
      <c r="K171" s="78"/>
    </row>
    <row r="172" spans="2:11" hidden="1" outlineLevel="1">
      <c r="B172" s="78"/>
      <c r="C172" s="75"/>
      <c r="D172" s="71"/>
      <c r="E172" s="71"/>
      <c r="F172" s="75"/>
      <c r="G172" s="76"/>
      <c r="I172" s="77"/>
      <c r="J172" s="73"/>
      <c r="K172" s="78"/>
    </row>
    <row r="173" spans="2:11" hidden="1" outlineLevel="1">
      <c r="B173" s="78"/>
      <c r="C173" s="75"/>
      <c r="D173" s="71"/>
      <c r="E173" s="71"/>
      <c r="F173" s="75"/>
      <c r="G173" s="76"/>
      <c r="I173" s="77"/>
      <c r="J173" s="73"/>
      <c r="K173" s="78"/>
    </row>
    <row r="174" spans="2:11" hidden="1" outlineLevel="1">
      <c r="B174" s="78"/>
      <c r="C174" s="75"/>
      <c r="D174" s="71"/>
      <c r="E174" s="71"/>
      <c r="F174" s="75"/>
      <c r="G174" s="76"/>
      <c r="I174" s="77"/>
      <c r="J174" s="73"/>
      <c r="K174" s="78"/>
    </row>
    <row r="175" spans="2:11" hidden="1" outlineLevel="1">
      <c r="B175" s="78"/>
      <c r="C175" s="75"/>
      <c r="D175" s="71"/>
      <c r="E175" s="71"/>
      <c r="F175" s="75"/>
      <c r="G175" s="76"/>
      <c r="I175" s="77"/>
      <c r="J175" s="73"/>
      <c r="K175" s="78"/>
    </row>
    <row r="176" spans="2:11" hidden="1" outlineLevel="1">
      <c r="B176" s="78"/>
      <c r="C176" s="75"/>
      <c r="D176" s="71"/>
      <c r="E176" s="71"/>
      <c r="F176" s="75"/>
      <c r="G176" s="76"/>
      <c r="I176" s="77"/>
      <c r="J176" s="73"/>
      <c r="K176" s="78"/>
    </row>
    <row r="177" spans="2:11" hidden="1" outlineLevel="1">
      <c r="B177" s="78"/>
      <c r="C177" s="75"/>
      <c r="D177" s="71"/>
      <c r="E177" s="71"/>
      <c r="F177" s="75"/>
      <c r="G177" s="76"/>
      <c r="I177" s="77"/>
      <c r="J177" s="73"/>
      <c r="K177" s="78"/>
    </row>
    <row r="178" spans="2:11" hidden="1" outlineLevel="1">
      <c r="B178" s="78"/>
      <c r="C178" s="75"/>
      <c r="D178" s="71"/>
      <c r="E178" s="71"/>
      <c r="F178" s="75"/>
      <c r="G178" s="76"/>
      <c r="I178" s="77"/>
      <c r="J178" s="73"/>
      <c r="K178" s="78"/>
    </row>
    <row r="179" spans="2:11" hidden="1" outlineLevel="1">
      <c r="B179" s="78"/>
      <c r="C179" s="75"/>
      <c r="D179" s="71"/>
      <c r="E179" s="71"/>
      <c r="F179" s="75"/>
      <c r="G179" s="76"/>
      <c r="I179" s="77"/>
      <c r="J179" s="73"/>
      <c r="K179" s="78"/>
    </row>
    <row r="180" spans="2:11" hidden="1" outlineLevel="1">
      <c r="B180" s="82"/>
      <c r="C180" s="79"/>
      <c r="D180" s="80"/>
      <c r="E180" s="80"/>
      <c r="F180" s="79"/>
      <c r="G180" s="81"/>
      <c r="I180" s="64"/>
      <c r="J180" s="73"/>
      <c r="K180" s="82"/>
    </row>
    <row r="181" spans="2:11" hidden="1" outlineLevel="1" collapsed="1">
      <c r="B181" s="74"/>
      <c r="C181" s="69"/>
      <c r="D181" s="70"/>
      <c r="E181" s="70"/>
      <c r="F181" s="69"/>
      <c r="G181" s="72"/>
      <c r="I181" s="60"/>
      <c r="J181" s="73"/>
      <c r="K181" s="74"/>
    </row>
    <row r="182" spans="2:11" hidden="1" outlineLevel="1">
      <c r="B182" s="78"/>
      <c r="C182" s="75"/>
      <c r="D182" s="71"/>
      <c r="E182" s="71"/>
      <c r="F182" s="75"/>
      <c r="G182" s="76"/>
      <c r="I182" s="77"/>
      <c r="J182" s="73"/>
      <c r="K182" s="78"/>
    </row>
    <row r="183" spans="2:11" hidden="1" outlineLevel="1">
      <c r="B183" s="78"/>
      <c r="C183" s="75"/>
      <c r="D183" s="71"/>
      <c r="E183" s="71"/>
      <c r="F183" s="75"/>
      <c r="G183" s="76"/>
      <c r="I183" s="77"/>
      <c r="J183" s="73"/>
      <c r="K183" s="78"/>
    </row>
    <row r="184" spans="2:11" hidden="1" outlineLevel="1">
      <c r="B184" s="78"/>
      <c r="C184" s="75"/>
      <c r="D184" s="71"/>
      <c r="E184" s="71"/>
      <c r="F184" s="75"/>
      <c r="G184" s="76"/>
      <c r="I184" s="77"/>
      <c r="J184" s="73"/>
      <c r="K184" s="78"/>
    </row>
    <row r="185" spans="2:11" hidden="1" outlineLevel="1">
      <c r="B185" s="78"/>
      <c r="C185" s="75"/>
      <c r="D185" s="71"/>
      <c r="E185" s="71"/>
      <c r="F185" s="75"/>
      <c r="G185" s="76"/>
      <c r="I185" s="77"/>
      <c r="J185" s="73"/>
      <c r="K185" s="78"/>
    </row>
    <row r="186" spans="2:11" hidden="1" outlineLevel="1">
      <c r="B186" s="78"/>
      <c r="C186" s="75"/>
      <c r="D186" s="71"/>
      <c r="E186" s="71"/>
      <c r="F186" s="75"/>
      <c r="G186" s="76"/>
      <c r="I186" s="77"/>
      <c r="J186" s="73"/>
      <c r="K186" s="78"/>
    </row>
    <row r="187" spans="2:11" hidden="1" outlineLevel="1">
      <c r="B187" s="78"/>
      <c r="C187" s="75"/>
      <c r="D187" s="71"/>
      <c r="E187" s="71"/>
      <c r="F187" s="75"/>
      <c r="G187" s="76"/>
      <c r="I187" s="77"/>
      <c r="J187" s="73"/>
      <c r="K187" s="78"/>
    </row>
    <row r="188" spans="2:11" hidden="1" outlineLevel="1">
      <c r="B188" s="78"/>
      <c r="C188" s="75"/>
      <c r="D188" s="71"/>
      <c r="E188" s="71"/>
      <c r="F188" s="75"/>
      <c r="G188" s="76"/>
      <c r="I188" s="77"/>
      <c r="J188" s="73"/>
      <c r="K188" s="78"/>
    </row>
    <row r="189" spans="2:11" hidden="1" outlineLevel="1">
      <c r="B189" s="78"/>
      <c r="C189" s="75"/>
      <c r="D189" s="71"/>
      <c r="E189" s="71"/>
      <c r="F189" s="75"/>
      <c r="G189" s="76"/>
      <c r="I189" s="77"/>
      <c r="J189" s="73"/>
      <c r="K189" s="78"/>
    </row>
    <row r="190" spans="2:11" hidden="1" outlineLevel="1">
      <c r="B190" s="78"/>
      <c r="C190" s="75"/>
      <c r="D190" s="71"/>
      <c r="E190" s="71"/>
      <c r="F190" s="75"/>
      <c r="G190" s="76"/>
      <c r="I190" s="77"/>
      <c r="J190" s="73"/>
      <c r="K190" s="78"/>
    </row>
    <row r="191" spans="2:11" hidden="1" outlineLevel="1">
      <c r="B191" s="78"/>
      <c r="C191" s="75"/>
      <c r="D191" s="71"/>
      <c r="E191" s="71"/>
      <c r="F191" s="75"/>
      <c r="G191" s="76"/>
      <c r="I191" s="77"/>
      <c r="J191" s="73"/>
      <c r="K191" s="78"/>
    </row>
    <row r="192" spans="2:11" hidden="1" outlineLevel="1">
      <c r="B192" s="82"/>
      <c r="C192" s="79"/>
      <c r="D192" s="80"/>
      <c r="E192" s="80"/>
      <c r="F192" s="79"/>
      <c r="G192" s="81"/>
      <c r="I192" s="64"/>
      <c r="J192" s="73"/>
      <c r="K192" s="82"/>
    </row>
    <row r="193" spans="2:11" hidden="1">
      <c r="B193" s="74"/>
      <c r="C193" s="69"/>
      <c r="D193" s="70"/>
      <c r="E193" s="70"/>
      <c r="F193" s="69"/>
      <c r="G193" s="72"/>
      <c r="I193" s="60"/>
      <c r="J193" s="73"/>
      <c r="K193" s="74"/>
    </row>
    <row r="194" spans="2:11" hidden="1">
      <c r="B194" s="78"/>
      <c r="C194" s="75"/>
      <c r="D194" s="71"/>
      <c r="E194" s="71"/>
      <c r="F194" s="75"/>
      <c r="G194" s="76"/>
      <c r="I194" s="77"/>
      <c r="J194" s="73"/>
      <c r="K194" s="78"/>
    </row>
    <row r="195" spans="2:11" hidden="1">
      <c r="B195" s="78"/>
      <c r="C195" s="75"/>
      <c r="D195" s="71"/>
      <c r="E195" s="71"/>
      <c r="F195" s="75"/>
      <c r="G195" s="76"/>
      <c r="I195" s="77"/>
      <c r="J195" s="73"/>
      <c r="K195" s="78"/>
    </row>
    <row r="196" spans="2:11" hidden="1">
      <c r="B196" s="78"/>
      <c r="C196" s="75"/>
      <c r="D196" s="71"/>
      <c r="E196" s="71"/>
      <c r="F196" s="75"/>
      <c r="G196" s="76"/>
      <c r="I196" s="77"/>
      <c r="J196" s="73"/>
      <c r="K196" s="78"/>
    </row>
    <row r="197" spans="2:11" hidden="1">
      <c r="B197" s="78"/>
      <c r="C197" s="75"/>
      <c r="D197" s="71"/>
      <c r="E197" s="71"/>
      <c r="F197" s="75"/>
      <c r="G197" s="76"/>
      <c r="I197" s="77"/>
      <c r="J197" s="73"/>
      <c r="K197" s="78"/>
    </row>
    <row r="198" spans="2:11" hidden="1">
      <c r="B198" s="78"/>
      <c r="C198" s="75"/>
      <c r="D198" s="71"/>
      <c r="E198" s="71"/>
      <c r="F198" s="75"/>
      <c r="G198" s="76"/>
      <c r="I198" s="77"/>
      <c r="J198" s="73"/>
      <c r="K198" s="78"/>
    </row>
    <row r="199" spans="2:11" hidden="1">
      <c r="B199" s="78"/>
      <c r="C199" s="75"/>
      <c r="D199" s="71"/>
      <c r="E199" s="71"/>
      <c r="F199" s="75"/>
      <c r="G199" s="76"/>
      <c r="I199" s="77"/>
      <c r="J199" s="73"/>
      <c r="K199" s="78"/>
    </row>
    <row r="200" spans="2:11" hidden="1">
      <c r="B200" s="78"/>
      <c r="C200" s="75"/>
      <c r="D200" s="71"/>
      <c r="E200" s="71"/>
      <c r="F200" s="75"/>
      <c r="G200" s="76"/>
      <c r="I200" s="77"/>
      <c r="J200" s="73"/>
      <c r="K200" s="78"/>
    </row>
    <row r="201" spans="2:11" hidden="1">
      <c r="B201" s="78"/>
      <c r="C201" s="75"/>
      <c r="D201" s="71"/>
      <c r="E201" s="71"/>
      <c r="F201" s="75"/>
      <c r="G201" s="76"/>
      <c r="I201" s="77"/>
      <c r="J201" s="73"/>
      <c r="K201" s="78"/>
    </row>
    <row r="202" spans="2:11" hidden="1">
      <c r="B202" s="78"/>
      <c r="C202" s="75"/>
      <c r="D202" s="71"/>
      <c r="E202" s="71"/>
      <c r="F202" s="75"/>
      <c r="G202" s="76"/>
      <c r="I202" s="77"/>
      <c r="J202" s="73"/>
      <c r="K202" s="78"/>
    </row>
    <row r="203" spans="2:11" hidden="1">
      <c r="B203" s="78"/>
      <c r="C203" s="75"/>
      <c r="D203" s="71"/>
      <c r="E203" s="71"/>
      <c r="F203" s="75"/>
      <c r="G203" s="76"/>
      <c r="I203" s="77"/>
      <c r="J203" s="73"/>
      <c r="K203" s="78"/>
    </row>
    <row r="204" spans="2:11" hidden="1">
      <c r="B204" s="82"/>
      <c r="C204" s="79"/>
      <c r="D204" s="80"/>
      <c r="E204" s="80"/>
      <c r="F204" s="79"/>
      <c r="G204" s="81"/>
      <c r="I204" s="64"/>
      <c r="J204" s="73"/>
      <c r="K204" s="82"/>
    </row>
    <row r="205" spans="2:11" hidden="1" outlineLevel="1">
      <c r="B205" s="74"/>
      <c r="C205" s="69"/>
      <c r="D205" s="70"/>
      <c r="E205" s="70"/>
      <c r="F205" s="69"/>
      <c r="G205" s="72"/>
      <c r="I205" s="60"/>
      <c r="J205" s="73"/>
      <c r="K205" s="74"/>
    </row>
    <row r="206" spans="2:11" hidden="1" outlineLevel="1">
      <c r="B206" s="78"/>
      <c r="C206" s="75"/>
      <c r="D206" s="71"/>
      <c r="E206" s="71"/>
      <c r="F206" s="75"/>
      <c r="G206" s="76"/>
      <c r="I206" s="77"/>
      <c r="J206" s="73"/>
      <c r="K206" s="78"/>
    </row>
    <row r="207" spans="2:11" hidden="1" outlineLevel="1">
      <c r="B207" s="78"/>
      <c r="C207" s="75"/>
      <c r="D207" s="71"/>
      <c r="E207" s="71"/>
      <c r="F207" s="75"/>
      <c r="G207" s="76"/>
      <c r="I207" s="77"/>
      <c r="J207" s="73"/>
      <c r="K207" s="78"/>
    </row>
    <row r="208" spans="2:11" hidden="1" outlineLevel="1">
      <c r="B208" s="78"/>
      <c r="C208" s="75"/>
      <c r="D208" s="71"/>
      <c r="E208" s="71"/>
      <c r="F208" s="75"/>
      <c r="G208" s="76"/>
      <c r="I208" s="77"/>
      <c r="J208" s="73"/>
      <c r="K208" s="78"/>
    </row>
    <row r="209" spans="2:13" hidden="1" outlineLevel="1">
      <c r="B209" s="78"/>
      <c r="C209" s="75"/>
      <c r="D209" s="71"/>
      <c r="E209" s="71"/>
      <c r="F209" s="75"/>
      <c r="G209" s="76"/>
      <c r="I209" s="77"/>
      <c r="J209" s="73"/>
      <c r="K209" s="78"/>
    </row>
    <row r="210" spans="2:13" hidden="1" outlineLevel="1">
      <c r="B210" s="78"/>
      <c r="C210" s="75"/>
      <c r="D210" s="71"/>
      <c r="E210" s="71"/>
      <c r="F210" s="75"/>
      <c r="G210" s="76"/>
      <c r="I210" s="77"/>
      <c r="J210" s="73"/>
      <c r="K210" s="78"/>
    </row>
    <row r="211" spans="2:13" hidden="1" outlineLevel="1">
      <c r="B211" s="78"/>
      <c r="C211" s="75"/>
      <c r="D211" s="71"/>
      <c r="E211" s="71"/>
      <c r="F211" s="75"/>
      <c r="G211" s="76"/>
      <c r="I211" s="77"/>
      <c r="J211" s="73"/>
      <c r="K211" s="78"/>
    </row>
    <row r="212" spans="2:13" hidden="1" outlineLevel="1">
      <c r="B212" s="78"/>
      <c r="C212" s="75"/>
      <c r="D212" s="71"/>
      <c r="E212" s="71"/>
      <c r="F212" s="75"/>
      <c r="G212" s="76"/>
      <c r="I212" s="77"/>
      <c r="J212" s="73"/>
      <c r="K212" s="78"/>
    </row>
    <row r="213" spans="2:13" hidden="1" outlineLevel="1">
      <c r="B213" s="78"/>
      <c r="C213" s="75"/>
      <c r="D213" s="71"/>
      <c r="E213" s="71"/>
      <c r="F213" s="75"/>
      <c r="G213" s="76"/>
      <c r="I213" s="77"/>
      <c r="J213" s="73"/>
      <c r="K213" s="78"/>
    </row>
    <row r="214" spans="2:13" hidden="1" outlineLevel="1">
      <c r="B214" s="78"/>
      <c r="C214" s="75"/>
      <c r="D214" s="71"/>
      <c r="E214" s="71"/>
      <c r="F214" s="75"/>
      <c r="G214" s="76"/>
      <c r="I214" s="77"/>
      <c r="J214" s="73"/>
      <c r="K214" s="78"/>
    </row>
    <row r="215" spans="2:13" hidden="1" outlineLevel="1">
      <c r="B215" s="78"/>
      <c r="C215" s="75"/>
      <c r="D215" s="71"/>
      <c r="E215" s="71"/>
      <c r="F215" s="75"/>
      <c r="G215" s="76"/>
      <c r="I215" s="77"/>
      <c r="J215" s="73"/>
      <c r="K215" s="78"/>
    </row>
    <row r="216" spans="2:13" hidden="1" outlineLevel="1">
      <c r="B216" s="82"/>
      <c r="C216" s="79"/>
      <c r="D216" s="80"/>
      <c r="E216" s="80"/>
      <c r="F216" s="79"/>
      <c r="G216" s="81"/>
      <c r="I216" s="64"/>
      <c r="J216" s="73"/>
      <c r="K216" s="82"/>
    </row>
    <row r="217" spans="2:13" hidden="1" outlineLevel="1">
      <c r="B217" s="74"/>
      <c r="C217" s="69"/>
      <c r="D217" s="70"/>
      <c r="E217" s="70"/>
      <c r="F217" s="69"/>
      <c r="G217" s="72"/>
      <c r="I217" s="60"/>
      <c r="J217" s="73"/>
      <c r="K217" s="74"/>
      <c r="M217" s="41"/>
    </row>
    <row r="218" spans="2:13" hidden="1" outlineLevel="1">
      <c r="B218" s="78"/>
      <c r="C218" s="75"/>
      <c r="D218" s="71"/>
      <c r="E218" s="71"/>
      <c r="F218" s="75"/>
      <c r="G218" s="76"/>
      <c r="I218" s="77"/>
      <c r="J218" s="73"/>
      <c r="K218" s="78"/>
      <c r="M218" s="41"/>
    </row>
    <row r="219" spans="2:13" hidden="1" outlineLevel="1">
      <c r="B219" s="78"/>
      <c r="C219" s="75"/>
      <c r="D219" s="71"/>
      <c r="E219" s="71"/>
      <c r="F219" s="75"/>
      <c r="G219" s="76"/>
      <c r="I219" s="77"/>
      <c r="J219" s="73"/>
      <c r="K219" s="78"/>
      <c r="M219" s="41"/>
    </row>
    <row r="220" spans="2:13" hidden="1" outlineLevel="1">
      <c r="B220" s="78"/>
      <c r="C220" s="75"/>
      <c r="D220" s="71"/>
      <c r="E220" s="71"/>
      <c r="F220" s="75"/>
      <c r="G220" s="76"/>
      <c r="I220" s="77"/>
      <c r="J220" s="73"/>
      <c r="K220" s="78"/>
      <c r="M220" s="41"/>
    </row>
    <row r="221" spans="2:13" hidden="1" outlineLevel="1">
      <c r="B221" s="78"/>
      <c r="C221" s="75"/>
      <c r="D221" s="71"/>
      <c r="E221" s="71"/>
      <c r="F221" s="75"/>
      <c r="G221" s="76"/>
      <c r="I221" s="77"/>
      <c r="J221" s="73"/>
      <c r="K221" s="78"/>
      <c r="M221" s="41"/>
    </row>
    <row r="222" spans="2:13" hidden="1" outlineLevel="1">
      <c r="B222" s="78"/>
      <c r="C222" s="75"/>
      <c r="D222" s="71"/>
      <c r="E222" s="71"/>
      <c r="F222" s="75"/>
      <c r="G222" s="76"/>
      <c r="I222" s="77"/>
      <c r="J222" s="73"/>
      <c r="K222" s="78"/>
      <c r="M222" s="41"/>
    </row>
    <row r="223" spans="2:13" hidden="1" outlineLevel="1">
      <c r="B223" s="78"/>
      <c r="C223" s="75"/>
      <c r="D223" s="71"/>
      <c r="E223" s="71"/>
      <c r="F223" s="75"/>
      <c r="G223" s="76"/>
      <c r="I223" s="77"/>
      <c r="J223" s="73"/>
      <c r="K223" s="78"/>
      <c r="M223" s="41"/>
    </row>
    <row r="224" spans="2:13" hidden="1" outlineLevel="1">
      <c r="B224" s="78"/>
      <c r="C224" s="75"/>
      <c r="D224" s="71"/>
      <c r="E224" s="71"/>
      <c r="F224" s="75"/>
      <c r="G224" s="76"/>
      <c r="I224" s="77"/>
      <c r="J224" s="73"/>
      <c r="K224" s="78"/>
      <c r="M224" s="41"/>
    </row>
    <row r="225" spans="2:20" hidden="1" outlineLevel="1">
      <c r="B225" s="78"/>
      <c r="C225" s="75"/>
      <c r="D225" s="71"/>
      <c r="E225" s="71"/>
      <c r="F225" s="75"/>
      <c r="G225" s="76"/>
      <c r="I225" s="77"/>
      <c r="J225" s="73"/>
      <c r="K225" s="78"/>
      <c r="M225" s="41"/>
    </row>
    <row r="226" spans="2:20" hidden="1" outlineLevel="1">
      <c r="B226" s="78"/>
      <c r="C226" s="75"/>
      <c r="D226" s="71"/>
      <c r="E226" s="71"/>
      <c r="F226" s="75"/>
      <c r="G226" s="76"/>
      <c r="I226" s="77"/>
      <c r="J226" s="73"/>
      <c r="K226" s="78"/>
      <c r="M226" s="41"/>
    </row>
    <row r="227" spans="2:20" hidden="1" outlineLevel="1">
      <c r="B227" s="78"/>
      <c r="C227" s="75"/>
      <c r="D227" s="71"/>
      <c r="E227" s="71"/>
      <c r="F227" s="75"/>
      <c r="G227" s="76"/>
      <c r="I227" s="77"/>
      <c r="J227" s="73"/>
      <c r="K227" s="78"/>
      <c r="M227" s="41"/>
      <c r="T227" s="193"/>
    </row>
    <row r="228" spans="2:20" hidden="1" outlineLevel="1">
      <c r="B228" s="82"/>
      <c r="C228" s="79"/>
      <c r="D228" s="80"/>
      <c r="E228" s="80"/>
      <c r="F228" s="79"/>
      <c r="G228" s="81"/>
      <c r="I228" s="64"/>
      <c r="J228" s="73"/>
      <c r="K228" s="82"/>
      <c r="M228" s="41"/>
      <c r="T228" s="193"/>
    </row>
    <row r="229" spans="2:20" hidden="1" outlineLevel="1">
      <c r="B229" s="74"/>
      <c r="C229" s="69"/>
      <c r="D229" s="70"/>
      <c r="E229" s="70"/>
      <c r="F229" s="69"/>
      <c r="G229" s="72"/>
      <c r="I229" s="60"/>
      <c r="J229" s="73"/>
      <c r="K229" s="74"/>
      <c r="M229" s="41"/>
      <c r="T229" s="193"/>
    </row>
    <row r="230" spans="2:20" hidden="1" outlineLevel="1">
      <c r="B230" s="78"/>
      <c r="C230" s="75"/>
      <c r="D230" s="71"/>
      <c r="E230" s="71"/>
      <c r="F230" s="75"/>
      <c r="G230" s="76"/>
      <c r="I230" s="77"/>
      <c r="J230" s="73"/>
      <c r="K230" s="78"/>
      <c r="M230" s="41"/>
      <c r="T230" s="193"/>
    </row>
    <row r="231" spans="2:20" hidden="1" outlineLevel="1">
      <c r="B231" s="78"/>
      <c r="C231" s="75"/>
      <c r="D231" s="71"/>
      <c r="E231" s="71"/>
      <c r="F231" s="75"/>
      <c r="G231" s="76"/>
      <c r="I231" s="77"/>
      <c r="J231" s="73"/>
      <c r="K231" s="78"/>
      <c r="M231" s="41"/>
      <c r="T231" s="193"/>
    </row>
    <row r="232" spans="2:20" hidden="1" outlineLevel="1">
      <c r="B232" s="78"/>
      <c r="C232" s="75"/>
      <c r="D232" s="71"/>
      <c r="E232" s="71"/>
      <c r="F232" s="75"/>
      <c r="G232" s="76"/>
      <c r="I232" s="77"/>
      <c r="J232" s="73"/>
      <c r="K232" s="78"/>
      <c r="M232" s="41"/>
      <c r="T232" s="193"/>
    </row>
    <row r="233" spans="2:20" hidden="1" outlineLevel="1">
      <c r="B233" s="78"/>
      <c r="C233" s="75"/>
      <c r="D233" s="71"/>
      <c r="E233" s="71"/>
      <c r="F233" s="75"/>
      <c r="G233" s="76"/>
      <c r="I233" s="77"/>
      <c r="J233" s="73"/>
      <c r="K233" s="78"/>
      <c r="M233" s="41"/>
      <c r="T233" s="193"/>
    </row>
    <row r="234" spans="2:20" hidden="1" outlineLevel="1">
      <c r="B234" s="78"/>
      <c r="C234" s="75"/>
      <c r="D234" s="71"/>
      <c r="E234" s="71"/>
      <c r="F234" s="75"/>
      <c r="G234" s="76"/>
      <c r="I234" s="77"/>
      <c r="J234" s="73"/>
      <c r="K234" s="78"/>
      <c r="M234" s="41"/>
      <c r="T234" s="193"/>
    </row>
    <row r="235" spans="2:20" hidden="1" outlineLevel="1">
      <c r="B235" s="78"/>
      <c r="C235" s="75"/>
      <c r="D235" s="71"/>
      <c r="E235" s="71"/>
      <c r="F235" s="75"/>
      <c r="G235" s="76"/>
      <c r="I235" s="77"/>
      <c r="J235" s="73"/>
      <c r="K235" s="78"/>
      <c r="M235" s="41"/>
      <c r="T235" s="193"/>
    </row>
    <row r="236" spans="2:20" hidden="1" outlineLevel="1">
      <c r="B236" s="78"/>
      <c r="C236" s="75"/>
      <c r="D236" s="71"/>
      <c r="E236" s="71"/>
      <c r="F236" s="75"/>
      <c r="G236" s="76"/>
      <c r="I236" s="77"/>
      <c r="J236" s="73"/>
      <c r="K236" s="78"/>
      <c r="M236" s="41"/>
      <c r="T236" s="193"/>
    </row>
    <row r="237" spans="2:20" hidden="1" outlineLevel="1">
      <c r="B237" s="78"/>
      <c r="C237" s="75"/>
      <c r="D237" s="71"/>
      <c r="E237" s="71"/>
      <c r="F237" s="75"/>
      <c r="G237" s="76"/>
      <c r="I237" s="77"/>
      <c r="J237" s="73"/>
      <c r="K237" s="78"/>
      <c r="M237" s="41"/>
      <c r="T237" s="193"/>
    </row>
    <row r="238" spans="2:20" hidden="1" outlineLevel="1">
      <c r="B238" s="78"/>
      <c r="C238" s="75"/>
      <c r="D238" s="71"/>
      <c r="E238" s="71"/>
      <c r="F238" s="75"/>
      <c r="G238" s="76"/>
      <c r="I238" s="77"/>
      <c r="J238" s="73"/>
      <c r="K238" s="78"/>
      <c r="M238" s="41"/>
      <c r="T238" s="193"/>
    </row>
    <row r="239" spans="2:20" hidden="1" outlineLevel="1">
      <c r="B239" s="78"/>
      <c r="C239" s="75"/>
      <c r="D239" s="71"/>
      <c r="E239" s="71"/>
      <c r="F239" s="75"/>
      <c r="G239" s="76"/>
      <c r="I239" s="77"/>
      <c r="J239" s="73"/>
      <c r="K239" s="78"/>
      <c r="M239" s="41"/>
      <c r="T239" s="193"/>
    </row>
    <row r="240" spans="2:20" hidden="1" outlineLevel="1">
      <c r="B240" s="82"/>
      <c r="C240" s="79"/>
      <c r="D240" s="80"/>
      <c r="E240" s="80"/>
      <c r="F240" s="79"/>
      <c r="G240" s="81"/>
      <c r="I240" s="64"/>
      <c r="J240" s="73"/>
      <c r="K240" s="82"/>
      <c r="M240" s="41"/>
      <c r="T240" s="193"/>
    </row>
    <row r="241" spans="2:20" hidden="1" outlineLevel="1">
      <c r="B241" s="212"/>
      <c r="C241" s="201"/>
      <c r="D241" s="202"/>
      <c r="E241" s="202"/>
      <c r="F241" s="201"/>
      <c r="G241" s="203"/>
      <c r="I241" s="60"/>
      <c r="J241" s="73"/>
      <c r="K241" s="74"/>
      <c r="M241" s="41"/>
      <c r="T241" s="193"/>
    </row>
    <row r="242" spans="2:20" hidden="1" outlineLevel="1">
      <c r="B242" s="213"/>
      <c r="C242" s="195"/>
      <c r="D242" s="196"/>
      <c r="E242" s="196"/>
      <c r="F242" s="195"/>
      <c r="G242" s="197"/>
      <c r="I242" s="77"/>
      <c r="J242" s="73"/>
      <c r="K242" s="78"/>
      <c r="M242" s="41"/>
      <c r="T242" s="193"/>
    </row>
    <row r="243" spans="2:20" hidden="1" outlineLevel="1">
      <c r="B243" s="213"/>
      <c r="C243" s="195"/>
      <c r="D243" s="196"/>
      <c r="E243" s="196"/>
      <c r="F243" s="195"/>
      <c r="G243" s="197"/>
      <c r="I243" s="77"/>
      <c r="J243" s="73"/>
      <c r="K243" s="78"/>
      <c r="M243" s="41"/>
      <c r="T243" s="193"/>
    </row>
    <row r="244" spans="2:20" hidden="1" outlineLevel="1">
      <c r="B244" s="213"/>
      <c r="C244" s="195"/>
      <c r="D244" s="196"/>
      <c r="E244" s="196"/>
      <c r="F244" s="195"/>
      <c r="G244" s="197"/>
      <c r="I244" s="77"/>
      <c r="J244" s="73"/>
      <c r="K244" s="78"/>
      <c r="M244" s="41"/>
      <c r="T244" s="193"/>
    </row>
    <row r="245" spans="2:20" hidden="1" outlineLevel="1">
      <c r="B245" s="213"/>
      <c r="C245" s="195"/>
      <c r="D245" s="196"/>
      <c r="E245" s="196"/>
      <c r="F245" s="195"/>
      <c r="G245" s="197"/>
      <c r="I245" s="77"/>
      <c r="J245" s="73"/>
      <c r="K245" s="78"/>
      <c r="M245" s="41"/>
      <c r="T245" s="193"/>
    </row>
    <row r="246" spans="2:20" hidden="1" outlineLevel="1">
      <c r="B246" s="213"/>
      <c r="C246" s="195"/>
      <c r="D246" s="196"/>
      <c r="E246" s="196"/>
      <c r="F246" s="195"/>
      <c r="G246" s="197"/>
      <c r="I246" s="77"/>
      <c r="J246" s="73"/>
      <c r="K246" s="78"/>
      <c r="M246" s="41"/>
      <c r="T246" s="193"/>
    </row>
    <row r="247" spans="2:20" hidden="1" outlineLevel="1">
      <c r="B247" s="213"/>
      <c r="C247" s="195"/>
      <c r="D247" s="196"/>
      <c r="E247" s="196"/>
      <c r="F247" s="195"/>
      <c r="G247" s="197"/>
      <c r="I247" s="77"/>
      <c r="J247" s="73"/>
      <c r="K247" s="78"/>
      <c r="M247" s="41"/>
      <c r="T247" s="193"/>
    </row>
    <row r="248" spans="2:20" hidden="1" outlineLevel="1">
      <c r="B248" s="213"/>
      <c r="C248" s="195"/>
      <c r="D248" s="196"/>
      <c r="E248" s="196"/>
      <c r="F248" s="195"/>
      <c r="G248" s="197"/>
      <c r="I248" s="77"/>
      <c r="J248" s="73"/>
      <c r="K248" s="78"/>
      <c r="M248" s="41"/>
      <c r="T248" s="193"/>
    </row>
    <row r="249" spans="2:20" hidden="1" outlineLevel="1">
      <c r="B249" s="213"/>
      <c r="C249" s="195"/>
      <c r="D249" s="196"/>
      <c r="E249" s="196"/>
      <c r="F249" s="195"/>
      <c r="G249" s="197"/>
      <c r="I249" s="77"/>
      <c r="J249" s="73"/>
      <c r="K249" s="78"/>
      <c r="M249" s="41"/>
      <c r="T249" s="193"/>
    </row>
    <row r="250" spans="2:20" hidden="1" outlineLevel="1">
      <c r="B250" s="213"/>
      <c r="C250" s="195"/>
      <c r="D250" s="196"/>
      <c r="E250" s="196"/>
      <c r="F250" s="195"/>
      <c r="G250" s="197"/>
      <c r="I250" s="77"/>
      <c r="J250" s="73"/>
      <c r="K250" s="78"/>
      <c r="M250" s="41"/>
      <c r="T250" s="193"/>
    </row>
    <row r="251" spans="2:20" hidden="1" outlineLevel="1">
      <c r="B251" s="213"/>
      <c r="C251" s="195"/>
      <c r="D251" s="196"/>
      <c r="E251" s="196"/>
      <c r="F251" s="195"/>
      <c r="G251" s="197"/>
      <c r="I251" s="77"/>
      <c r="J251" s="73"/>
      <c r="K251" s="78"/>
      <c r="M251" s="41"/>
      <c r="O251" s="193"/>
      <c r="P251" s="193"/>
      <c r="T251" s="193"/>
    </row>
    <row r="252" spans="2:20" hidden="1" outlineLevel="1" collapsed="1">
      <c r="B252" s="214"/>
      <c r="C252" s="198"/>
      <c r="D252" s="199"/>
      <c r="E252" s="199"/>
      <c r="F252" s="198"/>
      <c r="G252" s="200"/>
      <c r="I252" s="64"/>
      <c r="J252" s="73"/>
      <c r="K252" s="82"/>
      <c r="M252" s="41"/>
      <c r="O252" s="193"/>
      <c r="P252" s="193"/>
      <c r="T252" s="193"/>
    </row>
    <row r="253" spans="2:20" hidden="1" outlineLevel="1">
      <c r="B253" s="212"/>
      <c r="C253" s="201"/>
      <c r="D253" s="202"/>
      <c r="E253" s="202"/>
      <c r="F253" s="201"/>
      <c r="G253" s="203"/>
      <c r="I253" s="60"/>
      <c r="J253" s="73"/>
      <c r="K253" s="74"/>
      <c r="M253" s="41"/>
      <c r="O253" s="193"/>
      <c r="P253" s="193"/>
      <c r="T253" s="193"/>
    </row>
    <row r="254" spans="2:20" hidden="1" outlineLevel="1">
      <c r="B254" s="213"/>
      <c r="C254" s="195"/>
      <c r="D254" s="196"/>
      <c r="E254" s="196"/>
      <c r="F254" s="195"/>
      <c r="G254" s="197"/>
      <c r="I254" s="77"/>
      <c r="J254" s="73"/>
      <c r="K254" s="78"/>
      <c r="M254" s="41"/>
      <c r="O254" s="193"/>
      <c r="P254" s="193"/>
      <c r="T254" s="193"/>
    </row>
    <row r="255" spans="2:20" hidden="1" outlineLevel="1">
      <c r="B255" s="213"/>
      <c r="C255" s="195"/>
      <c r="D255" s="196"/>
      <c r="E255" s="196"/>
      <c r="F255" s="195"/>
      <c r="G255" s="197"/>
      <c r="I255" s="77"/>
      <c r="J255" s="73"/>
      <c r="K255" s="78"/>
      <c r="M255" s="41"/>
      <c r="O255" s="193"/>
      <c r="P255" s="193"/>
      <c r="T255" s="193"/>
    </row>
    <row r="256" spans="2:20" hidden="1" outlineLevel="1">
      <c r="B256" s="213"/>
      <c r="C256" s="195"/>
      <c r="D256" s="196"/>
      <c r="E256" s="196"/>
      <c r="F256" s="195"/>
      <c r="G256" s="197"/>
      <c r="I256" s="77"/>
      <c r="J256" s="73"/>
      <c r="K256" s="78"/>
      <c r="M256" s="41"/>
      <c r="O256" s="193"/>
      <c r="P256" s="193"/>
      <c r="T256" s="193"/>
    </row>
    <row r="257" spans="2:20" hidden="1" outlineLevel="1">
      <c r="B257" s="213"/>
      <c r="C257" s="195"/>
      <c r="D257" s="196"/>
      <c r="E257" s="196"/>
      <c r="F257" s="195"/>
      <c r="G257" s="197"/>
      <c r="I257" s="77"/>
      <c r="J257" s="73"/>
      <c r="K257" s="78"/>
      <c r="M257" s="41"/>
      <c r="O257" s="193"/>
      <c r="P257" s="193"/>
      <c r="T257" s="193"/>
    </row>
    <row r="258" spans="2:20" hidden="1" outlineLevel="1">
      <c r="B258" s="213"/>
      <c r="C258" s="195"/>
      <c r="D258" s="196"/>
      <c r="E258" s="196"/>
      <c r="F258" s="195"/>
      <c r="G258" s="197"/>
      <c r="I258" s="77"/>
      <c r="J258" s="73"/>
      <c r="K258" s="78"/>
      <c r="M258" s="41"/>
      <c r="O258" s="193"/>
      <c r="P258" s="193"/>
      <c r="T258" s="193"/>
    </row>
    <row r="259" spans="2:20" hidden="1" outlineLevel="1">
      <c r="B259" s="213"/>
      <c r="C259" s="195"/>
      <c r="D259" s="196"/>
      <c r="E259" s="196"/>
      <c r="F259" s="195"/>
      <c r="G259" s="197"/>
      <c r="I259" s="77"/>
      <c r="J259" s="73"/>
      <c r="K259" s="78"/>
      <c r="M259" s="41"/>
      <c r="O259" s="193"/>
      <c r="P259" s="193"/>
    </row>
    <row r="260" spans="2:20" hidden="1" outlineLevel="1">
      <c r="B260" s="213"/>
      <c r="C260" s="195"/>
      <c r="D260" s="196"/>
      <c r="E260" s="196"/>
      <c r="F260" s="195"/>
      <c r="G260" s="197"/>
      <c r="I260" s="77"/>
      <c r="J260" s="73"/>
      <c r="K260" s="78"/>
      <c r="M260" s="41"/>
      <c r="O260" s="193"/>
      <c r="P260" s="193"/>
    </row>
    <row r="261" spans="2:20" hidden="1" outlineLevel="1">
      <c r="B261" s="213"/>
      <c r="C261" s="195"/>
      <c r="D261" s="196"/>
      <c r="E261" s="196"/>
      <c r="F261" s="195"/>
      <c r="G261" s="197"/>
      <c r="I261" s="77"/>
      <c r="J261" s="73"/>
      <c r="K261" s="78"/>
      <c r="M261" s="41"/>
      <c r="O261" s="193"/>
      <c r="P261" s="193"/>
    </row>
    <row r="262" spans="2:20" hidden="1" outlineLevel="1">
      <c r="B262" s="213"/>
      <c r="C262" s="195"/>
      <c r="D262" s="196"/>
      <c r="E262" s="196"/>
      <c r="F262" s="195"/>
      <c r="G262" s="197"/>
      <c r="I262" s="77"/>
      <c r="J262" s="73"/>
      <c r="K262" s="78"/>
      <c r="M262" s="41"/>
    </row>
    <row r="263" spans="2:20" hidden="1" outlineLevel="1">
      <c r="B263" s="213"/>
      <c r="C263" s="195"/>
      <c r="D263" s="196"/>
      <c r="E263" s="196"/>
      <c r="F263" s="195"/>
      <c r="G263" s="197"/>
      <c r="I263" s="77"/>
      <c r="J263" s="73"/>
      <c r="K263" s="78"/>
      <c r="M263" s="41"/>
    </row>
    <row r="264" spans="2:20" hidden="1" outlineLevel="1">
      <c r="B264" s="214"/>
      <c r="C264" s="198"/>
      <c r="D264" s="199"/>
      <c r="E264" s="199"/>
      <c r="F264" s="198"/>
      <c r="G264" s="200"/>
      <c r="I264" s="64"/>
      <c r="J264" s="73"/>
      <c r="K264" s="82"/>
      <c r="M264" s="41"/>
    </row>
    <row r="265" spans="2:20" collapsed="1">
      <c r="B265" s="83"/>
      <c r="K265" s="73"/>
    </row>
    <row r="266" spans="2:20" hidden="1">
      <c r="B266" s="56" t="str">
        <f>"Note: Energy Dollars in "&amp;YEAR(B253)&amp;" are "&amp;YEAR(B241)&amp;" x ("&amp;YEAR(B241)&amp;" / "&amp;YEAR(B193)&amp;" ) ^ (1/4)"</f>
        <v>Note: Energy Dollars in 1900 are 1900 x (1900 / 1900 ) ^ (1/4)</v>
      </c>
    </row>
  </sheetData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3.83203125" style="122" customWidth="1"/>
    <col min="9" max="10" width="12.5" style="122" customWidth="1"/>
    <col min="11" max="11" width="11.6640625" style="122" customWidth="1"/>
    <col min="12" max="12" width="9.33203125" style="122"/>
    <col min="13" max="13" width="6.1640625" style="122" customWidth="1"/>
    <col min="14" max="14" width="7.83203125" style="173" customWidth="1"/>
    <col min="15" max="16384" width="9.33203125" style="122"/>
  </cols>
  <sheetData>
    <row r="1" spans="2:16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6" ht="15.75">
      <c r="B2" s="120" t="s">
        <v>101</v>
      </c>
      <c r="C2" s="121"/>
      <c r="D2" s="121"/>
      <c r="E2" s="121"/>
      <c r="F2" s="121"/>
      <c r="G2" s="121"/>
      <c r="H2" s="121"/>
      <c r="I2" s="121"/>
      <c r="J2" s="121"/>
    </row>
    <row r="3" spans="2:16" ht="15.75">
      <c r="B3" s="120"/>
      <c r="C3" s="121"/>
      <c r="D3" s="121"/>
      <c r="E3" s="121"/>
      <c r="F3" s="121"/>
      <c r="G3" s="121"/>
      <c r="H3" s="121"/>
      <c r="I3" s="121"/>
      <c r="J3" s="121"/>
    </row>
    <row r="4" spans="2:16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6" ht="51.75" customHeight="1">
      <c r="B5" s="125" t="s">
        <v>0</v>
      </c>
      <c r="C5" s="126" t="s">
        <v>107</v>
      </c>
      <c r="D5" s="126" t="s">
        <v>102</v>
      </c>
      <c r="E5" s="17" t="s">
        <v>55</v>
      </c>
      <c r="H5" s="173"/>
      <c r="N5" s="122"/>
    </row>
    <row r="6" spans="2:16" ht="24" customHeight="1">
      <c r="B6" s="127"/>
      <c r="C6" s="129" t="s">
        <v>9</v>
      </c>
      <c r="D6" s="128" t="s">
        <v>103</v>
      </c>
      <c r="E6" s="19" t="s">
        <v>9</v>
      </c>
      <c r="H6" s="173"/>
      <c r="N6" s="122"/>
    </row>
    <row r="7" spans="2:16">
      <c r="C7" s="130" t="s">
        <v>2</v>
      </c>
      <c r="D7" s="130" t="s">
        <v>4</v>
      </c>
      <c r="E7" s="130" t="s">
        <v>25</v>
      </c>
      <c r="H7" s="173"/>
      <c r="N7" s="122"/>
    </row>
    <row r="8" spans="2:16" ht="6" customHeight="1">
      <c r="H8" s="173"/>
      <c r="N8" s="122"/>
    </row>
    <row r="9" spans="2:16" ht="15.75">
      <c r="B9" s="43" t="str">
        <f>B2</f>
        <v>2017 IRP Aeolus-Bridger/Anticline Transmission</v>
      </c>
      <c r="D9" s="124"/>
      <c r="E9" s="124"/>
      <c r="N9" s="122"/>
    </row>
    <row r="10" spans="2:16">
      <c r="B10" s="141">
        <v>2020</v>
      </c>
      <c r="C10" s="133">
        <f>ROUND(C11/(1+$D44),2)</f>
        <v>47.41</v>
      </c>
      <c r="D10" s="141">
        <v>2</v>
      </c>
      <c r="E10" s="135">
        <f t="shared" ref="E10:E32" si="0">SUM(C10:C10)*D10/12</f>
        <v>7.9016666666666664</v>
      </c>
      <c r="F10" s="124"/>
      <c r="G10" s="160"/>
      <c r="M10" s="174"/>
      <c r="N10" s="138"/>
      <c r="O10" s="139"/>
      <c r="P10" s="140"/>
    </row>
    <row r="11" spans="2:16">
      <c r="B11" s="141">
        <f t="shared" ref="B11:B32" si="1">B10+1</f>
        <v>2021</v>
      </c>
      <c r="C11" s="133">
        <f>D36</f>
        <v>48.5910167356733</v>
      </c>
      <c r="D11" s="141">
        <v>12</v>
      </c>
      <c r="E11" s="135">
        <f t="shared" si="0"/>
        <v>48.5910167356733</v>
      </c>
      <c r="F11" s="124"/>
      <c r="G11" s="160"/>
      <c r="M11" s="174"/>
      <c r="N11" s="204"/>
      <c r="O11" s="204"/>
      <c r="P11" s="140"/>
    </row>
    <row r="12" spans="2:16">
      <c r="B12" s="141">
        <f t="shared" si="1"/>
        <v>2022</v>
      </c>
      <c r="C12" s="133">
        <f>ROUND(C11*(1+$D46),2)</f>
        <v>49.76</v>
      </c>
      <c r="D12" s="141">
        <v>12</v>
      </c>
      <c r="E12" s="135">
        <f t="shared" si="0"/>
        <v>49.76</v>
      </c>
      <c r="F12" s="124"/>
      <c r="H12" s="174"/>
      <c r="J12" s="205"/>
      <c r="N12" s="122"/>
    </row>
    <row r="13" spans="2:16">
      <c r="B13" s="141">
        <f t="shared" si="1"/>
        <v>2023</v>
      </c>
      <c r="C13" s="133">
        <f>ROUND(C12*(1+$D47),2)</f>
        <v>50.95</v>
      </c>
      <c r="D13" s="141">
        <v>12</v>
      </c>
      <c r="E13" s="135">
        <f t="shared" si="0"/>
        <v>50.95000000000001</v>
      </c>
      <c r="F13" s="124"/>
      <c r="H13" s="174"/>
      <c r="I13" s="138"/>
      <c r="J13" s="205"/>
      <c r="N13" s="122"/>
    </row>
    <row r="14" spans="2:16">
      <c r="B14" s="141">
        <f t="shared" si="1"/>
        <v>2024</v>
      </c>
      <c r="C14" s="133">
        <f>ROUND(C13*(1+$D48),2)</f>
        <v>52.12</v>
      </c>
      <c r="D14" s="141">
        <v>12</v>
      </c>
      <c r="E14" s="135">
        <f t="shared" si="0"/>
        <v>52.12</v>
      </c>
      <c r="F14" s="124"/>
      <c r="H14" s="174"/>
      <c r="K14" s="206"/>
      <c r="N14" s="122"/>
    </row>
    <row r="15" spans="2:16">
      <c r="B15" s="141">
        <f t="shared" si="1"/>
        <v>2025</v>
      </c>
      <c r="C15" s="133">
        <f>ROUND(C14*(1+$D49),2)</f>
        <v>53.32</v>
      </c>
      <c r="D15" s="141">
        <v>12</v>
      </c>
      <c r="E15" s="135">
        <f t="shared" si="0"/>
        <v>53.32</v>
      </c>
      <c r="F15" s="124"/>
      <c r="H15" s="174"/>
      <c r="N15" s="122"/>
    </row>
    <row r="16" spans="2:16">
      <c r="B16" s="141">
        <f t="shared" si="1"/>
        <v>2026</v>
      </c>
      <c r="C16" s="133">
        <f t="shared" ref="C16:C24" si="2">ROUND(C15*(1+$G41),2)</f>
        <v>54.49</v>
      </c>
      <c r="D16" s="141">
        <v>12</v>
      </c>
      <c r="E16" s="135">
        <f t="shared" si="0"/>
        <v>54.49</v>
      </c>
      <c r="F16" s="124"/>
      <c r="H16" s="174"/>
      <c r="J16" s="171"/>
      <c r="N16" s="122"/>
    </row>
    <row r="17" spans="2:14">
      <c r="B17" s="141">
        <f t="shared" si="1"/>
        <v>2027</v>
      </c>
      <c r="C17" s="133">
        <f t="shared" si="2"/>
        <v>55.69</v>
      </c>
      <c r="D17" s="141">
        <v>12</v>
      </c>
      <c r="E17" s="135">
        <f t="shared" si="0"/>
        <v>55.69</v>
      </c>
      <c r="F17" s="124"/>
      <c r="H17" s="174"/>
      <c r="N17" s="122"/>
    </row>
    <row r="18" spans="2:14">
      <c r="B18" s="141">
        <f t="shared" si="1"/>
        <v>2028</v>
      </c>
      <c r="C18" s="133">
        <f t="shared" si="2"/>
        <v>56.92</v>
      </c>
      <c r="D18" s="141">
        <v>12</v>
      </c>
      <c r="E18" s="135">
        <f t="shared" si="0"/>
        <v>56.919999999999995</v>
      </c>
      <c r="F18" s="124"/>
      <c r="H18" s="174"/>
      <c r="N18" s="122"/>
    </row>
    <row r="19" spans="2:14">
      <c r="B19" s="141">
        <f t="shared" si="1"/>
        <v>2029</v>
      </c>
      <c r="C19" s="133">
        <f t="shared" si="2"/>
        <v>58.12</v>
      </c>
      <c r="D19" s="141">
        <v>12</v>
      </c>
      <c r="E19" s="135">
        <f t="shared" si="0"/>
        <v>58.12</v>
      </c>
      <c r="F19" s="124"/>
      <c r="H19" s="174"/>
      <c r="N19" s="122"/>
    </row>
    <row r="20" spans="2:14">
      <c r="B20" s="141">
        <f t="shared" si="1"/>
        <v>2030</v>
      </c>
      <c r="C20" s="143">
        <f t="shared" si="2"/>
        <v>59.28</v>
      </c>
      <c r="D20" s="141">
        <v>12</v>
      </c>
      <c r="E20" s="135">
        <f t="shared" si="0"/>
        <v>59.28</v>
      </c>
      <c r="F20" s="124"/>
      <c r="H20" s="174"/>
      <c r="N20" s="122"/>
    </row>
    <row r="21" spans="2:14">
      <c r="B21" s="141">
        <f t="shared" si="1"/>
        <v>2031</v>
      </c>
      <c r="C21" s="143">
        <f t="shared" si="2"/>
        <v>60.47</v>
      </c>
      <c r="D21" s="141">
        <v>12</v>
      </c>
      <c r="E21" s="135">
        <f t="shared" si="0"/>
        <v>60.47</v>
      </c>
      <c r="F21" s="124"/>
      <c r="H21" s="174"/>
      <c r="N21" s="122"/>
    </row>
    <row r="22" spans="2:14">
      <c r="B22" s="141">
        <f t="shared" si="1"/>
        <v>2032</v>
      </c>
      <c r="C22" s="133">
        <f t="shared" si="2"/>
        <v>61.68</v>
      </c>
      <c r="D22" s="141">
        <v>12</v>
      </c>
      <c r="E22" s="135">
        <f t="shared" si="0"/>
        <v>61.68</v>
      </c>
      <c r="F22" s="124"/>
      <c r="H22" s="174"/>
      <c r="N22" s="122"/>
    </row>
    <row r="23" spans="2:14">
      <c r="B23" s="141">
        <f t="shared" si="1"/>
        <v>2033</v>
      </c>
      <c r="C23" s="133">
        <f t="shared" si="2"/>
        <v>62.91</v>
      </c>
      <c r="D23" s="141">
        <v>12</v>
      </c>
      <c r="E23" s="135">
        <f t="shared" si="0"/>
        <v>62.91</v>
      </c>
      <c r="F23" s="124"/>
      <c r="H23" s="174"/>
      <c r="N23" s="122"/>
    </row>
    <row r="24" spans="2:14">
      <c r="B24" s="141">
        <f t="shared" si="1"/>
        <v>2034</v>
      </c>
      <c r="C24" s="133">
        <f t="shared" si="2"/>
        <v>64.17</v>
      </c>
      <c r="D24" s="141">
        <v>12</v>
      </c>
      <c r="E24" s="135">
        <f t="shared" si="0"/>
        <v>64.17</v>
      </c>
      <c r="F24" s="124"/>
      <c r="H24" s="174"/>
      <c r="N24" s="122"/>
    </row>
    <row r="25" spans="2:14">
      <c r="B25" s="141">
        <f t="shared" si="1"/>
        <v>2035</v>
      </c>
      <c r="C25" s="133">
        <f t="shared" ref="C25:C32" si="3">ROUND(C24*(1+$K41),2)</f>
        <v>65.45</v>
      </c>
      <c r="D25" s="141">
        <v>12</v>
      </c>
      <c r="E25" s="135">
        <f t="shared" si="0"/>
        <v>65.45</v>
      </c>
      <c r="F25" s="124"/>
      <c r="H25" s="174"/>
      <c r="N25" s="122"/>
    </row>
    <row r="26" spans="2:14">
      <c r="B26" s="141">
        <f t="shared" si="1"/>
        <v>2036</v>
      </c>
      <c r="C26" s="133">
        <f t="shared" si="3"/>
        <v>66.760000000000005</v>
      </c>
      <c r="D26" s="141">
        <v>12</v>
      </c>
      <c r="E26" s="135">
        <f t="shared" si="0"/>
        <v>66.760000000000005</v>
      </c>
      <c r="F26" s="124"/>
      <c r="H26" s="174"/>
      <c r="N26" s="122"/>
    </row>
    <row r="27" spans="2:14">
      <c r="B27" s="141">
        <f t="shared" si="1"/>
        <v>2037</v>
      </c>
      <c r="C27" s="133">
        <f t="shared" si="3"/>
        <v>68.16</v>
      </c>
      <c r="D27" s="141">
        <v>12</v>
      </c>
      <c r="E27" s="135">
        <f t="shared" si="0"/>
        <v>68.16</v>
      </c>
      <c r="F27" s="124"/>
      <c r="H27" s="174"/>
      <c r="N27" s="122"/>
    </row>
    <row r="28" spans="2:14">
      <c r="B28" s="141">
        <f t="shared" si="1"/>
        <v>2038</v>
      </c>
      <c r="C28" s="133">
        <f t="shared" si="3"/>
        <v>69.59</v>
      </c>
      <c r="D28" s="141">
        <v>12</v>
      </c>
      <c r="E28" s="135">
        <f t="shared" si="0"/>
        <v>69.59</v>
      </c>
      <c r="F28" s="124"/>
      <c r="H28" s="174"/>
      <c r="N28" s="122"/>
    </row>
    <row r="29" spans="2:14">
      <c r="B29" s="141">
        <f t="shared" si="1"/>
        <v>2039</v>
      </c>
      <c r="C29" s="133">
        <f t="shared" si="3"/>
        <v>71.05</v>
      </c>
      <c r="D29" s="141">
        <v>12</v>
      </c>
      <c r="E29" s="135">
        <f t="shared" si="0"/>
        <v>71.05</v>
      </c>
      <c r="F29" s="124"/>
      <c r="H29" s="174"/>
      <c r="N29" s="122"/>
    </row>
    <row r="30" spans="2:14">
      <c r="B30" s="141">
        <f t="shared" si="1"/>
        <v>2040</v>
      </c>
      <c r="C30" s="133">
        <f t="shared" si="3"/>
        <v>72.540000000000006</v>
      </c>
      <c r="D30" s="141">
        <v>12</v>
      </c>
      <c r="E30" s="135">
        <f t="shared" si="0"/>
        <v>72.540000000000006</v>
      </c>
      <c r="F30" s="124"/>
      <c r="H30" s="174"/>
      <c r="N30" s="122"/>
    </row>
    <row r="31" spans="2:14">
      <c r="B31" s="141">
        <f t="shared" si="1"/>
        <v>2041</v>
      </c>
      <c r="C31" s="133">
        <f t="shared" si="3"/>
        <v>74.14</v>
      </c>
      <c r="D31" s="141">
        <v>12</v>
      </c>
      <c r="E31" s="135">
        <f t="shared" si="0"/>
        <v>74.14</v>
      </c>
      <c r="F31" s="124"/>
      <c r="H31" s="174"/>
      <c r="N31" s="122"/>
    </row>
    <row r="32" spans="2:14">
      <c r="B32" s="141">
        <f t="shared" si="1"/>
        <v>2042</v>
      </c>
      <c r="C32" s="133">
        <f t="shared" si="3"/>
        <v>75.77</v>
      </c>
      <c r="D32" s="141">
        <v>12</v>
      </c>
      <c r="E32" s="135">
        <f t="shared" si="0"/>
        <v>75.77</v>
      </c>
      <c r="F32" s="124"/>
      <c r="G32" s="160"/>
      <c r="H32" s="174"/>
      <c r="N32" s="122"/>
    </row>
    <row r="33" spans="2:14">
      <c r="B33" s="141"/>
      <c r="C33" s="137"/>
      <c r="D33" s="133"/>
      <c r="E33" s="133"/>
      <c r="F33" s="134"/>
      <c r="G33" s="133"/>
      <c r="H33" s="133"/>
      <c r="I33" s="135"/>
      <c r="J33" s="135"/>
      <c r="K33" s="144"/>
    </row>
    <row r="34" spans="2:14">
      <c r="B34" s="131"/>
      <c r="C34" s="137"/>
      <c r="D34" s="133"/>
      <c r="E34" s="133"/>
      <c r="F34" s="134"/>
      <c r="G34" s="133"/>
      <c r="H34" s="133"/>
      <c r="I34" s="135"/>
      <c r="J34" s="135"/>
      <c r="K34" s="144"/>
    </row>
    <row r="35" spans="2:14" ht="15">
      <c r="C35" s="207" t="s">
        <v>104</v>
      </c>
      <c r="D35" s="208">
        <v>750</v>
      </c>
      <c r="E35" s="133"/>
      <c r="F35" s="134"/>
      <c r="G35" s="133"/>
      <c r="H35" s="133"/>
      <c r="I35" s="135"/>
      <c r="J35" s="135"/>
      <c r="K35" s="144"/>
    </row>
    <row r="36" spans="2:14" ht="39.75" customHeight="1">
      <c r="B36" s="254" t="s">
        <v>108</v>
      </c>
      <c r="C36" s="255"/>
      <c r="D36" s="218">
        <v>48.5910167356733</v>
      </c>
      <c r="E36" s="133"/>
      <c r="F36" s="134"/>
      <c r="G36" s="133"/>
      <c r="H36" s="133"/>
      <c r="I36" s="135"/>
      <c r="J36" s="135"/>
      <c r="K36" s="144"/>
    </row>
    <row r="39" spans="2:14" ht="13.5" thickBot="1">
      <c r="D39" s="161"/>
    </row>
    <row r="40" spans="2:14" ht="13.5" thickBot="1">
      <c r="C40" s="40" t="str">
        <f>"Company Official Inflation Forecast Dated "&amp;TEXT('Table 4'!$G$5,"mmmm dd, yyyy")</f>
        <v>Company Official Inflation Forecast Dated June 29, 2018</v>
      </c>
      <c r="D40" s="149"/>
      <c r="E40" s="149"/>
      <c r="F40" s="149"/>
      <c r="G40" s="149"/>
      <c r="H40" s="149"/>
      <c r="I40" s="149"/>
      <c r="J40" s="149"/>
      <c r="K40" s="151"/>
    </row>
    <row r="41" spans="2:14">
      <c r="C41" s="88">
        <v>2017</v>
      </c>
      <c r="D41" s="41">
        <v>0.02</v>
      </c>
      <c r="E41" s="86"/>
      <c r="F41" s="88">
        <f>C49+1</f>
        <v>2026</v>
      </c>
      <c r="G41" s="41">
        <v>2.1999999999999999E-2</v>
      </c>
      <c r="H41" s="86"/>
      <c r="I41" s="88">
        <f>F49+1</f>
        <v>2035</v>
      </c>
      <c r="J41" s="88"/>
      <c r="K41" s="41">
        <v>0.02</v>
      </c>
    </row>
    <row r="42" spans="2:14">
      <c r="C42" s="88">
        <f t="shared" ref="C42:C49" si="4">C41+1</f>
        <v>2018</v>
      </c>
      <c r="D42" s="41">
        <v>2.3E-2</v>
      </c>
      <c r="E42" s="86"/>
      <c r="F42" s="88">
        <f t="shared" ref="F42:F49" si="5">F41+1</f>
        <v>2027</v>
      </c>
      <c r="G42" s="41">
        <v>2.1999999999999999E-2</v>
      </c>
      <c r="H42" s="86"/>
      <c r="I42" s="88">
        <f t="shared" ref="I42:I49" si="6">I41+1</f>
        <v>2036</v>
      </c>
      <c r="J42" s="88"/>
      <c r="K42" s="41">
        <v>0.02</v>
      </c>
    </row>
    <row r="43" spans="2:14">
      <c r="C43" s="88">
        <f t="shared" si="4"/>
        <v>2019</v>
      </c>
      <c r="D43" s="41">
        <v>2.1999999999999999E-2</v>
      </c>
      <c r="E43" s="86"/>
      <c r="F43" s="88">
        <f t="shared" si="5"/>
        <v>2028</v>
      </c>
      <c r="G43" s="41">
        <v>2.1999999999999999E-2</v>
      </c>
      <c r="H43" s="86"/>
      <c r="I43" s="88">
        <f t="shared" si="6"/>
        <v>2037</v>
      </c>
      <c r="J43" s="88"/>
      <c r="K43" s="41">
        <v>2.1000000000000001E-2</v>
      </c>
    </row>
    <row r="44" spans="2:14">
      <c r="C44" s="88">
        <f t="shared" si="4"/>
        <v>2020</v>
      </c>
      <c r="D44" s="41">
        <v>2.5000000000000001E-2</v>
      </c>
      <c r="E44" s="86"/>
      <c r="F44" s="88">
        <f t="shared" si="5"/>
        <v>2029</v>
      </c>
      <c r="G44" s="41">
        <v>2.1000000000000001E-2</v>
      </c>
      <c r="H44" s="86"/>
      <c r="I44" s="88">
        <f t="shared" si="6"/>
        <v>2038</v>
      </c>
      <c r="J44" s="88"/>
      <c r="K44" s="41">
        <v>2.1000000000000001E-2</v>
      </c>
    </row>
    <row r="45" spans="2:14">
      <c r="C45" s="88">
        <f t="shared" si="4"/>
        <v>2021</v>
      </c>
      <c r="D45" s="41">
        <v>2.4E-2</v>
      </c>
      <c r="E45" s="86"/>
      <c r="F45" s="88">
        <f t="shared" si="5"/>
        <v>2030</v>
      </c>
      <c r="G45" s="41">
        <v>0.02</v>
      </c>
      <c r="H45" s="86"/>
      <c r="I45" s="88">
        <f t="shared" si="6"/>
        <v>2039</v>
      </c>
      <c r="J45" s="88"/>
      <c r="K45" s="41">
        <v>2.1000000000000001E-2</v>
      </c>
    </row>
    <row r="46" spans="2:14">
      <c r="C46" s="88">
        <f t="shared" si="4"/>
        <v>2022</v>
      </c>
      <c r="D46" s="41">
        <v>2.4E-2</v>
      </c>
      <c r="E46" s="86"/>
      <c r="F46" s="88">
        <f t="shared" si="5"/>
        <v>2031</v>
      </c>
      <c r="G46" s="41">
        <v>0.02</v>
      </c>
      <c r="H46" s="86"/>
      <c r="I46" s="88">
        <f t="shared" si="6"/>
        <v>2040</v>
      </c>
      <c r="J46" s="88"/>
      <c r="K46" s="41">
        <v>2.1000000000000001E-2</v>
      </c>
    </row>
    <row r="47" spans="2:14" s="124" customFormat="1">
      <c r="C47" s="88">
        <f t="shared" si="4"/>
        <v>2023</v>
      </c>
      <c r="D47" s="41">
        <v>2.4E-2</v>
      </c>
      <c r="E47" s="87"/>
      <c r="F47" s="88">
        <f t="shared" si="5"/>
        <v>2032</v>
      </c>
      <c r="G47" s="41">
        <v>0.02</v>
      </c>
      <c r="H47" s="87"/>
      <c r="I47" s="88">
        <f t="shared" si="6"/>
        <v>2041</v>
      </c>
      <c r="J47" s="88"/>
      <c r="K47" s="41">
        <v>2.1999999999999999E-2</v>
      </c>
      <c r="N47" s="176"/>
    </row>
    <row r="48" spans="2:14" s="124" customFormat="1">
      <c r="C48" s="88">
        <f t="shared" si="4"/>
        <v>2024</v>
      </c>
      <c r="D48" s="41">
        <v>2.3E-2</v>
      </c>
      <c r="E48" s="87"/>
      <c r="F48" s="88">
        <f t="shared" si="5"/>
        <v>2033</v>
      </c>
      <c r="G48" s="41">
        <v>0.02</v>
      </c>
      <c r="H48" s="87"/>
      <c r="I48" s="88">
        <f t="shared" si="6"/>
        <v>2042</v>
      </c>
      <c r="J48" s="88"/>
      <c r="K48" s="41">
        <v>2.1999999999999999E-2</v>
      </c>
      <c r="N48" s="176"/>
    </row>
    <row r="49" spans="3:14" s="124" customFormat="1">
      <c r="C49" s="88">
        <f t="shared" si="4"/>
        <v>2025</v>
      </c>
      <c r="D49" s="41">
        <v>2.3E-2</v>
      </c>
      <c r="E49" s="87"/>
      <c r="F49" s="88">
        <f t="shared" si="5"/>
        <v>2034</v>
      </c>
      <c r="G49" s="41">
        <v>0.02</v>
      </c>
      <c r="H49" s="87"/>
      <c r="I49" s="88">
        <f t="shared" si="6"/>
        <v>2043</v>
      </c>
      <c r="J49" s="88"/>
      <c r="K49" s="41">
        <v>2.1999999999999999E-2</v>
      </c>
      <c r="N49" s="176"/>
    </row>
    <row r="50" spans="3:14" s="124" customFormat="1">
      <c r="N50" s="176"/>
    </row>
    <row r="51" spans="3:14" s="124" customFormat="1">
      <c r="N51" s="176"/>
    </row>
    <row r="68" spans="3:4">
      <c r="C68" s="157"/>
      <c r="D68" s="161"/>
    </row>
    <row r="69" spans="3:4">
      <c r="C69" s="157"/>
      <c r="D69" s="161"/>
    </row>
    <row r="70" spans="3:4">
      <c r="C70" s="157"/>
      <c r="D70" s="161"/>
    </row>
    <row r="71" spans="3:4">
      <c r="C71" s="157"/>
      <c r="D71" s="161"/>
    </row>
    <row r="72" spans="3:4">
      <c r="C72" s="157"/>
      <c r="D72" s="161"/>
    </row>
    <row r="73" spans="3:4">
      <c r="C73" s="157"/>
      <c r="D73" s="161"/>
    </row>
    <row r="74" spans="3:4">
      <c r="C74" s="157"/>
      <c r="D74" s="161"/>
    </row>
    <row r="75" spans="3:4">
      <c r="C75" s="157"/>
      <c r="D75" s="161"/>
    </row>
    <row r="76" spans="3:4">
      <c r="C76" s="157"/>
      <c r="D76" s="161"/>
    </row>
    <row r="77" spans="3:4">
      <c r="C77" s="157"/>
      <c r="D77" s="161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topLeftCell="A3"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88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G19" si="4">ROUND(E11*(1+$D67),2)</f>
        <v>38.43</v>
      </c>
      <c r="F12" s="135">
        <f t="shared" si="1"/>
        <v>14.151568714096333</v>
      </c>
      <c r="G12" s="133">
        <f t="shared" si="4"/>
        <v>0</v>
      </c>
      <c r="H12" s="133">
        <f t="shared" ref="H12" si="5">ROUND(H11*(1+$D67),2)</f>
        <v>0</v>
      </c>
      <c r="I12" s="135">
        <f t="shared" si="2"/>
        <v>14.151568714096333</v>
      </c>
      <c r="J12" s="135">
        <f t="shared" si="3"/>
        <v>38.43</v>
      </c>
      <c r="K12" s="133">
        <f t="shared" ref="K12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14.464575047871559</v>
      </c>
      <c r="G13" s="133">
        <f t="shared" si="4"/>
        <v>0</v>
      </c>
      <c r="H13" s="133">
        <f t="shared" ref="H13" si="8">ROUND(H12*(1+$D68),2)</f>
        <v>0</v>
      </c>
      <c r="I13" s="135">
        <f t="shared" si="2"/>
        <v>14.464575047871559</v>
      </c>
      <c r="J13" s="135">
        <f t="shared" si="3"/>
        <v>39.28</v>
      </c>
      <c r="K13" s="133">
        <f t="shared" ref="K13" si="9">ROUND(K12*(1+$D68),2)</f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14.82545293857711</v>
      </c>
      <c r="G14" s="133">
        <f t="shared" si="4"/>
        <v>0</v>
      </c>
      <c r="H14" s="133">
        <f t="shared" ref="H14" si="10">ROUND(H13*(1+$D69),2)</f>
        <v>0</v>
      </c>
      <c r="I14" s="135">
        <f t="shared" si="2"/>
        <v>14.82545293857711</v>
      </c>
      <c r="J14" s="135">
        <f t="shared" si="3"/>
        <v>40.26</v>
      </c>
      <c r="K14" s="133">
        <f t="shared" ref="K14" si="11">ROUND(K13*(1+$D69),2)</f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15.182648401826484</v>
      </c>
      <c r="G15" s="133">
        <f t="shared" si="4"/>
        <v>0</v>
      </c>
      <c r="H15" s="133">
        <f t="shared" ref="H15" si="12">ROUND(H14*(1+$D70),2)</f>
        <v>0</v>
      </c>
      <c r="I15" s="135">
        <f t="shared" si="2"/>
        <v>15.182648401826484</v>
      </c>
      <c r="J15" s="135">
        <f t="shared" si="3"/>
        <v>41.23</v>
      </c>
      <c r="K15" s="133">
        <f t="shared" ref="K15" si="13">ROUND(K14*(1+$D70),2)</f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15.547208719988218</v>
      </c>
      <c r="G16" s="133">
        <f t="shared" si="4"/>
        <v>0</v>
      </c>
      <c r="H16" s="133">
        <f t="shared" ref="H16" si="14">ROUND(H15*(1+$D71),2)</f>
        <v>0</v>
      </c>
      <c r="I16" s="135">
        <f t="shared" si="2"/>
        <v>15.547208719988218</v>
      </c>
      <c r="J16" s="135">
        <f t="shared" si="3"/>
        <v>42.22</v>
      </c>
      <c r="K16" s="133">
        <f t="shared" ref="K16" si="15">ROUND(K15*(1+$D71),2)</f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15.919133893062307</v>
      </c>
      <c r="G17" s="133">
        <f t="shared" si="4"/>
        <v>0</v>
      </c>
      <c r="H17" s="133">
        <f t="shared" ref="H17" si="16">ROUND(H16*(1+$D72),2)</f>
        <v>0</v>
      </c>
      <c r="I17" s="135">
        <f t="shared" si="2"/>
        <v>15.919133893062307</v>
      </c>
      <c r="J17" s="135">
        <f t="shared" si="3"/>
        <v>43.23</v>
      </c>
      <c r="K17" s="133">
        <f t="shared" ref="K17" si="17">ROUND(K16*(1+$D72),2)</f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16.283694211224041</v>
      </c>
      <c r="G18" s="133">
        <f t="shared" si="4"/>
        <v>0</v>
      </c>
      <c r="H18" s="133">
        <f t="shared" ref="H18" si="18">ROUND(H17*(1+$D73),2)</f>
        <v>0</v>
      </c>
      <c r="I18" s="135">
        <f t="shared" si="2"/>
        <v>16.283694211224041</v>
      </c>
      <c r="J18" s="135">
        <f t="shared" si="3"/>
        <v>44.22</v>
      </c>
      <c r="K18" s="133">
        <f t="shared" ref="K18" si="19">ROUND(K17*(1+$D73),2)</f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16.659301811754311</v>
      </c>
      <c r="G19" s="133">
        <f t="shared" si="4"/>
        <v>0</v>
      </c>
      <c r="H19" s="133">
        <f t="shared" ref="H19" si="20">ROUND(H18*(1+$D74),2)</f>
        <v>0</v>
      </c>
      <c r="I19" s="135">
        <f t="shared" si="2"/>
        <v>16.659301811754311</v>
      </c>
      <c r="J19" s="135">
        <f t="shared" si="3"/>
        <v>45.24</v>
      </c>
      <c r="K19" s="133">
        <f t="shared" ref="K19" si="21">ROUND(K18*(1+$D74),2)</f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D20:E28" si="22">ROUND(E19*(1+$G66),2)</f>
        <v>46.24</v>
      </c>
      <c r="F20" s="135">
        <f t="shared" si="1"/>
        <v>17.02754455737222</v>
      </c>
      <c r="G20" s="133">
        <f t="shared" ref="G20:H20" si="23">ROUND(G19*(1+$G66),2)</f>
        <v>0</v>
      </c>
      <c r="H20" s="133">
        <f t="shared" si="23"/>
        <v>0</v>
      </c>
      <c r="I20" s="135">
        <f t="shared" si="2"/>
        <v>17.02754455737222</v>
      </c>
      <c r="J20" s="135">
        <f t="shared" si="3"/>
        <v>46.24</v>
      </c>
      <c r="K20" s="133">
        <f t="shared" ref="K20" si="24">ROUND(K19*(1+$G66),2)</f>
        <v>0.75</v>
      </c>
      <c r="L20" s="124"/>
      <c r="P20" s="170">
        <f t="shared" ref="P20:P28" si="25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22"/>
        <v>47.26</v>
      </c>
      <c r="F21" s="135">
        <f t="shared" si="1"/>
        <v>17.40315215790249</v>
      </c>
      <c r="G21" s="133">
        <f t="shared" ref="G21:H21" si="26">ROUND(G20*(1+$G67),2)</f>
        <v>0</v>
      </c>
      <c r="H21" s="133">
        <f t="shared" si="26"/>
        <v>0</v>
      </c>
      <c r="I21" s="135">
        <f t="shared" si="2"/>
        <v>17.40315215790249</v>
      </c>
      <c r="J21" s="135">
        <f t="shared" si="3"/>
        <v>47.26</v>
      </c>
      <c r="K21" s="133">
        <f t="shared" ref="K21" si="27">ROUND(K20*(1+$G67),2)</f>
        <v>0.77</v>
      </c>
      <c r="L21" s="124"/>
      <c r="P21" s="170">
        <f t="shared" si="25"/>
        <v>0</v>
      </c>
    </row>
    <row r="22" spans="2:17">
      <c r="B22" s="141">
        <f t="shared" si="0"/>
        <v>2028</v>
      </c>
      <c r="C22" s="142"/>
      <c r="D22" s="133"/>
      <c r="E22" s="133">
        <f t="shared" si="22"/>
        <v>48.3</v>
      </c>
      <c r="F22" s="135">
        <f t="shared" si="1"/>
        <v>17.786124613345116</v>
      </c>
      <c r="G22" s="133">
        <f t="shared" ref="G22:H22" si="28">ROUND(G21*(1+$G68),2)</f>
        <v>0</v>
      </c>
      <c r="H22" s="133">
        <f t="shared" si="28"/>
        <v>0</v>
      </c>
      <c r="I22" s="135">
        <f t="shared" si="2"/>
        <v>17.786124613345116</v>
      </c>
      <c r="J22" s="135">
        <f t="shared" si="3"/>
        <v>48.3</v>
      </c>
      <c r="K22" s="133">
        <f t="shared" ref="K22" si="29">ROUND(K21*(1+$G68),2)</f>
        <v>0.79</v>
      </c>
      <c r="L22" s="124"/>
      <c r="P22" s="170">
        <f t="shared" si="25"/>
        <v>0</v>
      </c>
    </row>
    <row r="23" spans="2:17">
      <c r="B23" s="141">
        <f t="shared" si="0"/>
        <v>2029</v>
      </c>
      <c r="C23" s="142"/>
      <c r="D23" s="133"/>
      <c r="E23" s="133">
        <f t="shared" si="22"/>
        <v>49.31</v>
      </c>
      <c r="F23" s="135">
        <f t="shared" si="1"/>
        <v>18.158049786419209</v>
      </c>
      <c r="G23" s="133">
        <f t="shared" ref="G23:H23" si="30">ROUND(G22*(1+$G69),2)</f>
        <v>0</v>
      </c>
      <c r="H23" s="133">
        <f t="shared" si="30"/>
        <v>0</v>
      </c>
      <c r="I23" s="135">
        <f t="shared" si="2"/>
        <v>18.158049786419209</v>
      </c>
      <c r="J23" s="135">
        <f t="shared" si="3"/>
        <v>49.31</v>
      </c>
      <c r="K23" s="133">
        <f t="shared" ref="K23" si="31">ROUND(K22*(1+$G69),2)</f>
        <v>0.81</v>
      </c>
      <c r="L23" s="124"/>
      <c r="P23" s="170">
        <f t="shared" si="25"/>
        <v>0</v>
      </c>
    </row>
    <row r="24" spans="2:17">
      <c r="B24" s="141">
        <f t="shared" si="0"/>
        <v>2030</v>
      </c>
      <c r="C24" s="142">
        <f>$C$55</f>
        <v>1351.8149072293081</v>
      </c>
      <c r="D24" s="133">
        <f>C24*$C$62</f>
        <v>96.059849537504135</v>
      </c>
      <c r="E24" s="133">
        <f t="shared" si="22"/>
        <v>50.3</v>
      </c>
      <c r="F24" s="135">
        <f t="shared" ref="F24:F29" si="32">(D24+E24)/(8.76*$C$63)</f>
        <v>53.895952841914919</v>
      </c>
      <c r="G24" s="133">
        <f t="shared" ref="G24:H24" si="33">ROUND(G23*(1+$G70),2)</f>
        <v>0</v>
      </c>
      <c r="H24" s="133">
        <f t="shared" si="33"/>
        <v>0</v>
      </c>
      <c r="I24" s="135">
        <f t="shared" ref="I24:I29" si="34">F24+H24+G24</f>
        <v>53.895952841914919</v>
      </c>
      <c r="J24" s="135">
        <f t="shared" ref="J24:J29" si="35">ROUND(I24*$C$63*8.76,2)</f>
        <v>146.36000000000001</v>
      </c>
      <c r="K24" s="133">
        <f t="shared" ref="K24" si="36">ROUND(K23*(1+$G70),2)</f>
        <v>0.83</v>
      </c>
      <c r="L24" s="124"/>
      <c r="P24" s="170">
        <f t="shared" si="25"/>
        <v>0</v>
      </c>
    </row>
    <row r="25" spans="2:17">
      <c r="B25" s="141">
        <f t="shared" si="0"/>
        <v>2031</v>
      </c>
      <c r="C25" s="142"/>
      <c r="D25" s="133">
        <f t="shared" si="22"/>
        <v>97.98</v>
      </c>
      <c r="E25" s="133">
        <f t="shared" si="22"/>
        <v>51.31</v>
      </c>
      <c r="F25" s="135">
        <f t="shared" si="32"/>
        <v>54.974959493297995</v>
      </c>
      <c r="G25" s="133">
        <f t="shared" ref="G25:H25" si="37">ROUND(G24*(1+$G71),2)</f>
        <v>0</v>
      </c>
      <c r="H25" s="133">
        <f t="shared" si="37"/>
        <v>0</v>
      </c>
      <c r="I25" s="135">
        <f t="shared" si="34"/>
        <v>54.974959493297995</v>
      </c>
      <c r="J25" s="135">
        <f t="shared" si="35"/>
        <v>149.29</v>
      </c>
      <c r="K25" s="133">
        <f t="shared" ref="K25" si="38">ROUND(K24*(1+$G71),2)</f>
        <v>0.85</v>
      </c>
      <c r="L25" s="124"/>
      <c r="P25" s="170">
        <f t="shared" si="25"/>
        <v>0</v>
      </c>
    </row>
    <row r="26" spans="2:17">
      <c r="B26" s="141">
        <f t="shared" si="0"/>
        <v>2032</v>
      </c>
      <c r="C26" s="142"/>
      <c r="D26" s="133">
        <f t="shared" si="22"/>
        <v>99.94</v>
      </c>
      <c r="E26" s="133">
        <f t="shared" si="22"/>
        <v>52.34</v>
      </c>
      <c r="F26" s="135">
        <f t="shared" si="32"/>
        <v>56.076005302695542</v>
      </c>
      <c r="G26" s="133">
        <f t="shared" ref="G26:H26" si="39">ROUND(G25*(1+$G72),2)</f>
        <v>0</v>
      </c>
      <c r="H26" s="133">
        <f t="shared" si="39"/>
        <v>0</v>
      </c>
      <c r="I26" s="135">
        <f t="shared" si="34"/>
        <v>56.076005302695542</v>
      </c>
      <c r="J26" s="135">
        <f t="shared" si="35"/>
        <v>152.28</v>
      </c>
      <c r="K26" s="133">
        <f t="shared" ref="K26" si="40">ROUND(K25*(1+$G72),2)</f>
        <v>0.87</v>
      </c>
      <c r="L26" s="124"/>
      <c r="P26" s="170">
        <f t="shared" si="25"/>
        <v>0</v>
      </c>
    </row>
    <row r="27" spans="2:17">
      <c r="B27" s="141">
        <f t="shared" si="0"/>
        <v>2033</v>
      </c>
      <c r="C27" s="142"/>
      <c r="D27" s="133">
        <f t="shared" si="22"/>
        <v>101.94</v>
      </c>
      <c r="E27" s="133">
        <f t="shared" si="22"/>
        <v>53.39</v>
      </c>
      <c r="F27" s="135">
        <f t="shared" si="32"/>
        <v>57.199145676830163</v>
      </c>
      <c r="G27" s="133">
        <f t="shared" ref="G27:H27" si="41">ROUND(G26*(1+$G73),2)</f>
        <v>0</v>
      </c>
      <c r="H27" s="133">
        <f t="shared" si="41"/>
        <v>0</v>
      </c>
      <c r="I27" s="135">
        <f t="shared" si="34"/>
        <v>57.199145676830163</v>
      </c>
      <c r="J27" s="135">
        <f t="shared" si="35"/>
        <v>155.33000000000001</v>
      </c>
      <c r="K27" s="133">
        <f t="shared" ref="K27" si="42">ROUND(K26*(1+$G73),2)</f>
        <v>0.89</v>
      </c>
      <c r="L27" s="124"/>
      <c r="P27" s="170">
        <f t="shared" si="25"/>
        <v>0</v>
      </c>
    </row>
    <row r="28" spans="2:17">
      <c r="B28" s="141">
        <f t="shared" si="0"/>
        <v>2034</v>
      </c>
      <c r="C28" s="142"/>
      <c r="D28" s="133">
        <f t="shared" si="22"/>
        <v>103.98</v>
      </c>
      <c r="E28" s="133">
        <f t="shared" si="22"/>
        <v>54.46</v>
      </c>
      <c r="F28" s="135">
        <f t="shared" si="32"/>
        <v>58.344380615701873</v>
      </c>
      <c r="G28" s="133">
        <f t="shared" ref="G28:H28" si="43">ROUND(G27*(1+$G74),2)</f>
        <v>0</v>
      </c>
      <c r="H28" s="133">
        <f t="shared" si="43"/>
        <v>0</v>
      </c>
      <c r="I28" s="135">
        <f t="shared" si="34"/>
        <v>58.344380615701873</v>
      </c>
      <c r="J28" s="135">
        <f t="shared" si="35"/>
        <v>158.44</v>
      </c>
      <c r="K28" s="133">
        <f t="shared" ref="K28" si="44">ROUND(K27*(1+$G74),2)</f>
        <v>0.91</v>
      </c>
      <c r="L28" s="124"/>
      <c r="P28" s="170">
        <f t="shared" si="25"/>
        <v>0</v>
      </c>
    </row>
    <row r="29" spans="2:17">
      <c r="B29" s="141">
        <f t="shared" si="0"/>
        <v>2035</v>
      </c>
      <c r="C29" s="142"/>
      <c r="D29" s="133">
        <f t="shared" ref="D29:E29" si="45">ROUND(D28*(1+$K66),2)</f>
        <v>106.06</v>
      </c>
      <c r="E29" s="133">
        <f t="shared" si="45"/>
        <v>55.55</v>
      </c>
      <c r="F29" s="135">
        <f t="shared" si="32"/>
        <v>59.511710119310656</v>
      </c>
      <c r="G29" s="133">
        <f t="shared" ref="G29:H29" si="46">ROUND(G28*(1+$K66),2)</f>
        <v>0</v>
      </c>
      <c r="H29" s="133">
        <f t="shared" si="46"/>
        <v>0</v>
      </c>
      <c r="I29" s="135">
        <f t="shared" si="34"/>
        <v>59.511710119310656</v>
      </c>
      <c r="J29" s="135">
        <f t="shared" si="35"/>
        <v>161.61000000000001</v>
      </c>
      <c r="K29" s="133">
        <f t="shared" ref="K29" si="47"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ref="D30" si="48">ROUND(D29*(1+$K67),2)</f>
        <v>108.18</v>
      </c>
      <c r="E30" s="133">
        <f t="shared" ref="E30:E36" si="49">ROUND(E29*(1+$K67),2)</f>
        <v>56.66</v>
      </c>
      <c r="F30" s="135">
        <f t="shared" si="1"/>
        <v>60.701134187656507</v>
      </c>
      <c r="G30" s="133">
        <f t="shared" ref="G30:H30" si="50">ROUND(G29*(1+$K67),2)</f>
        <v>0</v>
      </c>
      <c r="H30" s="133">
        <f t="shared" si="50"/>
        <v>0</v>
      </c>
      <c r="I30" s="135">
        <f t="shared" si="2"/>
        <v>60.701134187656507</v>
      </c>
      <c r="J30" s="135">
        <f t="shared" si="3"/>
        <v>164.84</v>
      </c>
      <c r="K30" s="133">
        <f t="shared" ref="K30" si="51">ROUND(K29*(1+$K67),2)</f>
        <v>0.95</v>
      </c>
      <c r="L30" s="124"/>
      <c r="P30" s="170">
        <f t="shared" ref="P30:P36" si="52">ROUND(P29*(1+$K67),2)</f>
        <v>0</v>
      </c>
    </row>
    <row r="31" spans="2:17">
      <c r="B31" s="141">
        <f t="shared" si="0"/>
        <v>2037</v>
      </c>
      <c r="C31" s="142"/>
      <c r="D31" s="133">
        <f t="shared" ref="D31" si="53">ROUND(D30*(1+$K68),2)</f>
        <v>110.45</v>
      </c>
      <c r="E31" s="133">
        <f t="shared" si="49"/>
        <v>57.85</v>
      </c>
      <c r="F31" s="135">
        <f t="shared" si="1"/>
        <v>61.975254087494484</v>
      </c>
      <c r="G31" s="133">
        <f t="shared" ref="G31:H31" si="54">ROUND(G30*(1+$K68),2)</f>
        <v>0</v>
      </c>
      <c r="H31" s="133">
        <f t="shared" si="54"/>
        <v>0</v>
      </c>
      <c r="I31" s="135">
        <f t="shared" si="2"/>
        <v>61.975254087494484</v>
      </c>
      <c r="J31" s="135">
        <f t="shared" si="3"/>
        <v>168.3</v>
      </c>
      <c r="K31" s="133">
        <f t="shared" ref="K31" si="55">ROUND(K30*(1+$K68),2)</f>
        <v>0.97</v>
      </c>
      <c r="L31" s="124"/>
      <c r="P31" s="170">
        <f t="shared" si="52"/>
        <v>0</v>
      </c>
    </row>
    <row r="32" spans="2:17">
      <c r="B32" s="141">
        <f t="shared" si="0"/>
        <v>2038</v>
      </c>
      <c r="C32" s="142"/>
      <c r="D32" s="133">
        <f t="shared" ref="D32" si="56">ROUND(D31*(1+$K69),2)</f>
        <v>112.77</v>
      </c>
      <c r="E32" s="133">
        <f t="shared" si="49"/>
        <v>59.06</v>
      </c>
      <c r="F32" s="135">
        <f t="shared" si="1"/>
        <v>63.275150979525705</v>
      </c>
      <c r="G32" s="133">
        <f t="shared" ref="G32:H32" si="57">ROUND(G31*(1+$K69),2)</f>
        <v>0</v>
      </c>
      <c r="H32" s="133">
        <f t="shared" si="57"/>
        <v>0</v>
      </c>
      <c r="I32" s="135">
        <f t="shared" si="2"/>
        <v>63.275150979525705</v>
      </c>
      <c r="J32" s="135">
        <f t="shared" si="3"/>
        <v>171.83</v>
      </c>
      <c r="K32" s="133">
        <f t="shared" ref="K32" si="58">ROUND(K31*(1+$K69),2)</f>
        <v>0.99</v>
      </c>
      <c r="L32" s="124"/>
      <c r="P32" s="170">
        <f t="shared" si="52"/>
        <v>0</v>
      </c>
    </row>
    <row r="33" spans="2:16">
      <c r="B33" s="141">
        <f t="shared" si="0"/>
        <v>2039</v>
      </c>
      <c r="C33" s="142"/>
      <c r="D33" s="133">
        <f t="shared" ref="D33" si="59">ROUND(D32*(1+$K70),2)</f>
        <v>115.14</v>
      </c>
      <c r="E33" s="133">
        <f t="shared" si="49"/>
        <v>60.3</v>
      </c>
      <c r="F33" s="135">
        <f t="shared" si="1"/>
        <v>64.60450729120636</v>
      </c>
      <c r="G33" s="133">
        <f t="shared" ref="G33:H33" si="60">ROUND(G32*(1+$K70),2)</f>
        <v>0</v>
      </c>
      <c r="H33" s="133">
        <f t="shared" si="60"/>
        <v>0</v>
      </c>
      <c r="I33" s="135">
        <f t="shared" si="2"/>
        <v>64.60450729120636</v>
      </c>
      <c r="J33" s="135">
        <f t="shared" si="3"/>
        <v>175.44</v>
      </c>
      <c r="K33" s="133">
        <f t="shared" ref="K33" si="61">ROUND(K32*(1+$K70),2)</f>
        <v>1.01</v>
      </c>
      <c r="L33" s="124"/>
      <c r="P33" s="170">
        <f t="shared" si="52"/>
        <v>0</v>
      </c>
    </row>
    <row r="34" spans="2:16">
      <c r="B34" s="141">
        <f t="shared" si="0"/>
        <v>2040</v>
      </c>
      <c r="C34" s="142"/>
      <c r="D34" s="133">
        <f t="shared" ref="D34" si="62">ROUND(D33*(1+$K71),2)</f>
        <v>117.56</v>
      </c>
      <c r="E34" s="133">
        <f t="shared" si="49"/>
        <v>61.57</v>
      </c>
      <c r="F34" s="135">
        <f t="shared" si="1"/>
        <v>65.963323022536457</v>
      </c>
      <c r="G34" s="133">
        <f t="shared" ref="G34:H34" si="63">ROUND(G33*(1+$K71),2)</f>
        <v>0</v>
      </c>
      <c r="H34" s="133">
        <f t="shared" si="63"/>
        <v>0</v>
      </c>
      <c r="I34" s="135">
        <f t="shared" si="2"/>
        <v>65.963323022536457</v>
      </c>
      <c r="J34" s="135">
        <f t="shared" si="3"/>
        <v>179.13</v>
      </c>
      <c r="K34" s="133">
        <f t="shared" ref="K34" si="64">ROUND(K33*(1+$K71),2)</f>
        <v>1.03</v>
      </c>
      <c r="L34" s="124"/>
      <c r="P34" s="170">
        <f t="shared" si="52"/>
        <v>0</v>
      </c>
    </row>
    <row r="35" spans="2:16">
      <c r="B35" s="141">
        <f t="shared" si="0"/>
        <v>2041</v>
      </c>
      <c r="C35" s="142"/>
      <c r="D35" s="133">
        <f t="shared" ref="D35" si="65">ROUND(D34*(1+$K72),2)</f>
        <v>120.15</v>
      </c>
      <c r="E35" s="133">
        <f t="shared" si="49"/>
        <v>62.92</v>
      </c>
      <c r="F35" s="135">
        <f t="shared" si="1"/>
        <v>67.414199440271034</v>
      </c>
      <c r="G35" s="133">
        <f t="shared" ref="G35:H35" si="66">ROUND(G34*(1+$K72),2)</f>
        <v>0</v>
      </c>
      <c r="H35" s="133">
        <f t="shared" si="66"/>
        <v>0</v>
      </c>
      <c r="I35" s="135">
        <f t="shared" si="2"/>
        <v>67.414199440271034</v>
      </c>
      <c r="J35" s="135">
        <f t="shared" si="3"/>
        <v>183.07</v>
      </c>
      <c r="K35" s="133">
        <f t="shared" ref="K35" si="67">ROUND(K34*(1+$K72),2)</f>
        <v>1.05</v>
      </c>
      <c r="L35" s="124"/>
      <c r="P35" s="170">
        <f t="shared" si="52"/>
        <v>0</v>
      </c>
    </row>
    <row r="36" spans="2:16">
      <c r="B36" s="141">
        <f t="shared" si="0"/>
        <v>2042</v>
      </c>
      <c r="C36" s="142"/>
      <c r="D36" s="133">
        <f t="shared" ref="D36" si="68">ROUND(D35*(1+$K73),2)</f>
        <v>122.79</v>
      </c>
      <c r="E36" s="133">
        <f t="shared" si="49"/>
        <v>64.3</v>
      </c>
      <c r="F36" s="135">
        <f t="shared" si="1"/>
        <v>68.894535277655038</v>
      </c>
      <c r="G36" s="133">
        <f t="shared" ref="G36:H36" si="69">ROUND(G35*(1+$K73),2)</f>
        <v>0</v>
      </c>
      <c r="H36" s="133">
        <f t="shared" si="69"/>
        <v>0</v>
      </c>
      <c r="I36" s="135">
        <f t="shared" si="2"/>
        <v>68.894535277655038</v>
      </c>
      <c r="J36" s="135">
        <f t="shared" si="3"/>
        <v>187.09</v>
      </c>
      <c r="K36" s="133">
        <f t="shared" ref="K36" si="70">ROUND(K35*(1+$K73),2)</f>
        <v>1.07</v>
      </c>
      <c r="L36" s="124"/>
      <c r="P36" s="170">
        <f t="shared" si="52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119</v>
      </c>
      <c r="C55" s="186">
        <v>1351.8149072293081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71">C66+1</f>
        <v>2018</v>
      </c>
      <c r="D67" s="41">
        <v>2.3E-2</v>
      </c>
      <c r="E67" s="86"/>
      <c r="F67" s="88">
        <f t="shared" ref="F67:F74" si="72">F66+1</f>
        <v>2027</v>
      </c>
      <c r="G67" s="41">
        <v>2.1999999999999999E-2</v>
      </c>
      <c r="H67" s="86"/>
      <c r="I67" s="88">
        <f t="shared" ref="I67:I74" si="73">I66+1</f>
        <v>2036</v>
      </c>
      <c r="J67" s="88"/>
      <c r="K67" s="41">
        <v>0.02</v>
      </c>
    </row>
    <row r="68" spans="3:11">
      <c r="C68" s="88">
        <f t="shared" si="71"/>
        <v>2019</v>
      </c>
      <c r="D68" s="41">
        <v>2.1999999999999999E-2</v>
      </c>
      <c r="E68" s="86"/>
      <c r="F68" s="88">
        <f t="shared" si="72"/>
        <v>2028</v>
      </c>
      <c r="G68" s="41">
        <v>2.1999999999999999E-2</v>
      </c>
      <c r="H68" s="86"/>
      <c r="I68" s="88">
        <f t="shared" si="73"/>
        <v>2037</v>
      </c>
      <c r="J68" s="88"/>
      <c r="K68" s="41">
        <v>2.1000000000000001E-2</v>
      </c>
    </row>
    <row r="69" spans="3:11">
      <c r="C69" s="88">
        <f t="shared" si="71"/>
        <v>2020</v>
      </c>
      <c r="D69" s="41">
        <v>2.5000000000000001E-2</v>
      </c>
      <c r="E69" s="86"/>
      <c r="F69" s="88">
        <f t="shared" si="72"/>
        <v>2029</v>
      </c>
      <c r="G69" s="41">
        <v>2.1000000000000001E-2</v>
      </c>
      <c r="H69" s="86"/>
      <c r="I69" s="88">
        <f t="shared" si="73"/>
        <v>2038</v>
      </c>
      <c r="J69" s="88"/>
      <c r="K69" s="41">
        <v>2.1000000000000001E-2</v>
      </c>
    </row>
    <row r="70" spans="3:11">
      <c r="C70" s="88">
        <f t="shared" si="71"/>
        <v>2021</v>
      </c>
      <c r="D70" s="41">
        <v>2.4E-2</v>
      </c>
      <c r="E70" s="86"/>
      <c r="F70" s="88">
        <f t="shared" si="72"/>
        <v>2030</v>
      </c>
      <c r="G70" s="41">
        <v>0.02</v>
      </c>
      <c r="H70" s="86"/>
      <c r="I70" s="88">
        <f t="shared" si="73"/>
        <v>2039</v>
      </c>
      <c r="J70" s="88"/>
      <c r="K70" s="41">
        <v>2.1000000000000001E-2</v>
      </c>
    </row>
    <row r="71" spans="3:11">
      <c r="C71" s="88">
        <f t="shared" si="71"/>
        <v>2022</v>
      </c>
      <c r="D71" s="41">
        <v>2.4E-2</v>
      </c>
      <c r="E71" s="86"/>
      <c r="F71" s="88">
        <f t="shared" si="72"/>
        <v>2031</v>
      </c>
      <c r="G71" s="41">
        <v>0.02</v>
      </c>
      <c r="H71" s="86"/>
      <c r="I71" s="88">
        <f t="shared" si="73"/>
        <v>2040</v>
      </c>
      <c r="J71" s="88"/>
      <c r="K71" s="41">
        <v>2.1000000000000001E-2</v>
      </c>
    </row>
    <row r="72" spans="3:11" s="124" customFormat="1">
      <c r="C72" s="88">
        <f t="shared" si="71"/>
        <v>2023</v>
      </c>
      <c r="D72" s="41">
        <v>2.4E-2</v>
      </c>
      <c r="E72" s="87"/>
      <c r="F72" s="88">
        <f t="shared" si="72"/>
        <v>2032</v>
      </c>
      <c r="G72" s="41">
        <v>0.02</v>
      </c>
      <c r="H72" s="87"/>
      <c r="I72" s="88">
        <f t="shared" si="73"/>
        <v>2041</v>
      </c>
      <c r="J72" s="88"/>
      <c r="K72" s="41">
        <v>2.1999999999999999E-2</v>
      </c>
    </row>
    <row r="73" spans="3:11" s="124" customFormat="1">
      <c r="C73" s="88">
        <f t="shared" si="71"/>
        <v>2024</v>
      </c>
      <c r="D73" s="41">
        <v>2.3E-2</v>
      </c>
      <c r="E73" s="87"/>
      <c r="F73" s="88">
        <f t="shared" si="72"/>
        <v>2033</v>
      </c>
      <c r="G73" s="41">
        <v>0.02</v>
      </c>
      <c r="H73" s="87"/>
      <c r="I73" s="88">
        <f t="shared" si="73"/>
        <v>2042</v>
      </c>
      <c r="J73" s="88"/>
      <c r="K73" s="41">
        <v>2.1999999999999999E-2</v>
      </c>
    </row>
    <row r="74" spans="3:11" s="124" customFormat="1">
      <c r="C74" s="88">
        <f t="shared" si="71"/>
        <v>2025</v>
      </c>
      <c r="D74" s="41">
        <v>2.3E-2</v>
      </c>
      <c r="E74" s="87"/>
      <c r="F74" s="88">
        <f t="shared" si="72"/>
        <v>2034</v>
      </c>
      <c r="G74" s="41">
        <v>0.02</v>
      </c>
      <c r="H74" s="87"/>
      <c r="I74" s="88">
        <f t="shared" si="73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121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TEXT($G$63,"0%")&amp;" Capacity Factor"</f>
        <v>41%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88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Wyoming DJ Wind Resource - 41%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37.565582271006477</v>
      </c>
      <c r="F11" s="134">
        <f t="shared" ref="F11:F36" si="1">(D11+E11)/(8.76*$G$63)</f>
        <v>10.383313507083287</v>
      </c>
      <c r="G11" s="134">
        <f>$C$58</f>
        <v>0.65</v>
      </c>
      <c r="H11" s="133">
        <f>ROUND(H10*(1+$D66),2)</f>
        <v>0</v>
      </c>
      <c r="I11" s="135">
        <f t="shared" ref="I11:I36" si="2">F11+H11+G11</f>
        <v>11.033313507083287</v>
      </c>
      <c r="J11" s="135">
        <f t="shared" ref="J11:J36" si="3">ROUND(I11*$G$63*8.76,2)</f>
        <v>39.92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10.622242860459718</v>
      </c>
      <c r="G12" s="133">
        <f t="shared" ref="G12:G19" si="5">ROUND(G11*(1+$D67),2)</f>
        <v>0.66</v>
      </c>
      <c r="H12" s="143">
        <f t="shared" ref="H12" si="6">ROUND(H11*(1+$D67),2)</f>
        <v>0</v>
      </c>
      <c r="I12" s="135">
        <f t="shared" si="2"/>
        <v>11.282242860459718</v>
      </c>
      <c r="J12" s="135">
        <f t="shared" si="3"/>
        <v>40.82</v>
      </c>
      <c r="K12" s="133">
        <f t="shared" ref="K12:K19" si="7">ROUND(K11*(1+$D67),2)</f>
        <v>0.6</v>
      </c>
      <c r="L12" s="124"/>
      <c r="N12" s="136"/>
      <c r="P12" s="170">
        <f t="shared" ref="P12:P19" si="8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10.857187081937489</v>
      </c>
      <c r="G13" s="133">
        <f t="shared" si="5"/>
        <v>0.67</v>
      </c>
      <c r="H13" s="143">
        <f t="shared" ref="H13" si="9">ROUND(H12*(1+$D68),2)</f>
        <v>0</v>
      </c>
      <c r="I13" s="135">
        <f t="shared" si="2"/>
        <v>11.527187081937489</v>
      </c>
      <c r="J13" s="135">
        <f t="shared" si="3"/>
        <v>41.7</v>
      </c>
      <c r="K13" s="133">
        <f t="shared" si="7"/>
        <v>0.61</v>
      </c>
      <c r="L13" s="124"/>
      <c r="N13" s="136"/>
      <c r="P13" s="170">
        <f t="shared" si="8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11.128063949053038</v>
      </c>
      <c r="G14" s="133">
        <f t="shared" si="5"/>
        <v>0.69</v>
      </c>
      <c r="H14" s="143">
        <f t="shared" ref="H14" si="10">ROUND(H13*(1+$D69),2)</f>
        <v>0</v>
      </c>
      <c r="I14" s="135">
        <f t="shared" si="2"/>
        <v>11.818063949053037</v>
      </c>
      <c r="J14" s="135">
        <f t="shared" si="3"/>
        <v>42.76</v>
      </c>
      <c r="K14" s="133">
        <f t="shared" si="7"/>
        <v>0.63</v>
      </c>
      <c r="L14" s="124"/>
      <c r="N14" s="136"/>
      <c r="O14" s="138"/>
      <c r="P14" s="170">
        <f t="shared" si="8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11.396176766504141</v>
      </c>
      <c r="G15" s="133">
        <f t="shared" si="5"/>
        <v>0.71</v>
      </c>
      <c r="H15" s="143">
        <f t="shared" ref="H15" si="11">ROUND(H14*(1+$D70),2)</f>
        <v>0</v>
      </c>
      <c r="I15" s="135">
        <f t="shared" si="2"/>
        <v>12.106176766504142</v>
      </c>
      <c r="J15" s="135">
        <f t="shared" si="3"/>
        <v>43.8</v>
      </c>
      <c r="K15" s="133">
        <f t="shared" si="7"/>
        <v>0.65</v>
      </c>
      <c r="L15" s="124"/>
      <c r="N15" s="139"/>
      <c r="O15" s="139"/>
      <c r="P15" s="170">
        <f t="shared" si="8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11.669817683284135</v>
      </c>
      <c r="G16" s="133">
        <f t="shared" si="5"/>
        <v>0.73</v>
      </c>
      <c r="H16" s="143">
        <f t="shared" ref="H16" si="12">ROUND(H15*(1+$D71),2)</f>
        <v>0</v>
      </c>
      <c r="I16" s="135">
        <f t="shared" si="2"/>
        <v>12.399817683284136</v>
      </c>
      <c r="J16" s="135">
        <f t="shared" si="3"/>
        <v>44.86</v>
      </c>
      <c r="K16" s="133">
        <f t="shared" si="7"/>
        <v>0.67</v>
      </c>
      <c r="L16" s="124"/>
      <c r="N16" s="136"/>
      <c r="P16" s="170">
        <f t="shared" si="8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11.948986699393016</v>
      </c>
      <c r="G17" s="133">
        <f t="shared" si="5"/>
        <v>0.75</v>
      </c>
      <c r="H17" s="143">
        <f t="shared" ref="H17" si="13">ROUND(H16*(1+$D72),2)</f>
        <v>0</v>
      </c>
      <c r="I17" s="135">
        <f t="shared" si="2"/>
        <v>12.698986699393016</v>
      </c>
      <c r="J17" s="135">
        <f t="shared" si="3"/>
        <v>45.94</v>
      </c>
      <c r="K17" s="133">
        <f t="shared" si="7"/>
        <v>0.69</v>
      </c>
      <c r="L17" s="124"/>
      <c r="N17" s="136"/>
      <c r="O17" s="138"/>
      <c r="P17" s="170">
        <f t="shared" si="8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12.222627616173009</v>
      </c>
      <c r="G18" s="133">
        <f t="shared" si="5"/>
        <v>0.77</v>
      </c>
      <c r="H18" s="143">
        <f t="shared" ref="H18" si="14">ROUND(H17*(1+$D73),2)</f>
        <v>0</v>
      </c>
      <c r="I18" s="135">
        <f t="shared" si="2"/>
        <v>12.992627616173008</v>
      </c>
      <c r="J18" s="135">
        <f t="shared" si="3"/>
        <v>47.01</v>
      </c>
      <c r="K18" s="133">
        <f t="shared" si="7"/>
        <v>0.71</v>
      </c>
      <c r="L18" s="124"/>
      <c r="P18" s="170">
        <f t="shared" si="8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12.504560681946336</v>
      </c>
      <c r="G19" s="133">
        <f t="shared" si="5"/>
        <v>0.79</v>
      </c>
      <c r="H19" s="143">
        <f t="shared" ref="H19" si="15">ROUND(H18*(1+$D74),2)</f>
        <v>0</v>
      </c>
      <c r="I19" s="135">
        <f t="shared" si="2"/>
        <v>13.294560681946336</v>
      </c>
      <c r="J19" s="135">
        <f t="shared" si="3"/>
        <v>48.1</v>
      </c>
      <c r="K19" s="133">
        <f t="shared" si="7"/>
        <v>0.73</v>
      </c>
      <c r="L19" s="124"/>
      <c r="P19" s="170">
        <f t="shared" si="8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16">ROUND(E19*(1+$G66),2)</f>
        <v>46.24</v>
      </c>
      <c r="F20" s="135">
        <f t="shared" si="1"/>
        <v>12.780965648390772</v>
      </c>
      <c r="G20" s="133">
        <f t="shared" ref="G20:G28" si="17">ROUND(G19*(1+$G66),2)</f>
        <v>0.81</v>
      </c>
      <c r="H20" s="143">
        <f t="shared" ref="H20:H28" si="18">ROUND(H19*(1+$G66),2)</f>
        <v>0</v>
      </c>
      <c r="I20" s="135">
        <f t="shared" si="2"/>
        <v>13.590965648390773</v>
      </c>
      <c r="J20" s="135">
        <f t="shared" si="3"/>
        <v>49.17</v>
      </c>
      <c r="K20" s="133">
        <f t="shared" ref="K20:K28" si="19">ROUND(K19*(1+$G66),2)</f>
        <v>0.75</v>
      </c>
      <c r="L20" s="124"/>
      <c r="P20" s="170">
        <f t="shared" ref="P20:P28" si="20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16"/>
        <v>47.26</v>
      </c>
      <c r="F21" s="135">
        <f t="shared" si="1"/>
        <v>13.062898714164097</v>
      </c>
      <c r="G21" s="133">
        <f t="shared" si="17"/>
        <v>0.83</v>
      </c>
      <c r="H21" s="143">
        <f t="shared" si="18"/>
        <v>0</v>
      </c>
      <c r="I21" s="135">
        <f t="shared" si="2"/>
        <v>13.892898714164097</v>
      </c>
      <c r="J21" s="135">
        <f t="shared" si="3"/>
        <v>50.26</v>
      </c>
      <c r="K21" s="133">
        <f t="shared" si="19"/>
        <v>0.77</v>
      </c>
      <c r="L21" s="124"/>
      <c r="P21" s="170">
        <f t="shared" si="20"/>
        <v>0</v>
      </c>
    </row>
    <row r="22" spans="2:17">
      <c r="B22" s="141">
        <f t="shared" si="0"/>
        <v>2028</v>
      </c>
      <c r="C22" s="142"/>
      <c r="D22" s="133"/>
      <c r="E22" s="133">
        <f t="shared" si="16"/>
        <v>48.3</v>
      </c>
      <c r="F22" s="135">
        <f t="shared" si="1"/>
        <v>13.350359879266312</v>
      </c>
      <c r="G22" s="133">
        <f t="shared" si="17"/>
        <v>0.85</v>
      </c>
      <c r="H22" s="143">
        <f t="shared" si="18"/>
        <v>0</v>
      </c>
      <c r="I22" s="135">
        <f t="shared" si="2"/>
        <v>14.200359879266312</v>
      </c>
      <c r="J22" s="135">
        <f t="shared" si="3"/>
        <v>51.38</v>
      </c>
      <c r="K22" s="133">
        <f t="shared" si="19"/>
        <v>0.79</v>
      </c>
      <c r="L22" s="124"/>
      <c r="P22" s="170">
        <f t="shared" si="20"/>
        <v>0</v>
      </c>
    </row>
    <row r="23" spans="2:17">
      <c r="B23" s="141">
        <f t="shared" si="0"/>
        <v>2029</v>
      </c>
      <c r="C23" s="142"/>
      <c r="D23" s="133"/>
      <c r="E23" s="133">
        <f t="shared" si="16"/>
        <v>49.31</v>
      </c>
      <c r="F23" s="135">
        <f t="shared" si="1"/>
        <v>13.629528895375195</v>
      </c>
      <c r="G23" s="133">
        <f t="shared" si="17"/>
        <v>0.87</v>
      </c>
      <c r="H23" s="143">
        <f t="shared" si="18"/>
        <v>0</v>
      </c>
      <c r="I23" s="135">
        <f t="shared" si="2"/>
        <v>14.499528895375194</v>
      </c>
      <c r="J23" s="135">
        <f t="shared" si="3"/>
        <v>52.46</v>
      </c>
      <c r="K23" s="133">
        <f t="shared" si="19"/>
        <v>0.81</v>
      </c>
      <c r="L23" s="124"/>
      <c r="P23" s="170">
        <f t="shared" si="20"/>
        <v>0</v>
      </c>
    </row>
    <row r="24" spans="2:17">
      <c r="B24" s="141">
        <f t="shared" si="0"/>
        <v>2030</v>
      </c>
      <c r="C24" s="142">
        <f>$C$55</f>
        <v>1353.2739183554006</v>
      </c>
      <c r="D24" s="133">
        <f>C24*$C$62</f>
        <v>96.163526741015119</v>
      </c>
      <c r="E24" s="133">
        <f t="shared" si="16"/>
        <v>50.3</v>
      </c>
      <c r="F24" s="135">
        <f t="shared" si="1"/>
        <v>40.483246194184204</v>
      </c>
      <c r="G24" s="133">
        <f t="shared" si="17"/>
        <v>0.89</v>
      </c>
      <c r="H24" s="143">
        <f t="shared" si="18"/>
        <v>0</v>
      </c>
      <c r="I24" s="135">
        <f t="shared" si="2"/>
        <v>41.373246194184205</v>
      </c>
      <c r="J24" s="135">
        <f t="shared" si="3"/>
        <v>149.68</v>
      </c>
      <c r="K24" s="133">
        <f t="shared" si="19"/>
        <v>0.83</v>
      </c>
      <c r="L24" s="124"/>
      <c r="P24" s="170">
        <f t="shared" si="20"/>
        <v>0</v>
      </c>
    </row>
    <row r="25" spans="2:17">
      <c r="B25" s="141">
        <f t="shared" si="0"/>
        <v>2031</v>
      </c>
      <c r="C25" s="142"/>
      <c r="D25" s="133">
        <f t="shared" ref="D25:D28" si="21">ROUND(D24*(1+$G71),2)</f>
        <v>98.09</v>
      </c>
      <c r="E25" s="133">
        <f t="shared" si="16"/>
        <v>51.31</v>
      </c>
      <c r="F25" s="135">
        <f t="shared" si="1"/>
        <v>41.294901986798905</v>
      </c>
      <c r="G25" s="133">
        <f t="shared" si="17"/>
        <v>0.91</v>
      </c>
      <c r="H25" s="143">
        <f t="shared" si="18"/>
        <v>0</v>
      </c>
      <c r="I25" s="135">
        <f t="shared" si="2"/>
        <v>42.204901986798902</v>
      </c>
      <c r="J25" s="135">
        <f t="shared" si="3"/>
        <v>152.69</v>
      </c>
      <c r="K25" s="133">
        <f t="shared" si="19"/>
        <v>0.85</v>
      </c>
      <c r="L25" s="124"/>
      <c r="P25" s="170">
        <f t="shared" si="20"/>
        <v>0</v>
      </c>
    </row>
    <row r="26" spans="2:17">
      <c r="B26" s="141">
        <f t="shared" si="0"/>
        <v>2032</v>
      </c>
      <c r="C26" s="142"/>
      <c r="D26" s="133">
        <f t="shared" si="21"/>
        <v>100.05</v>
      </c>
      <c r="E26" s="133">
        <f t="shared" si="16"/>
        <v>52.34</v>
      </c>
      <c r="F26" s="135">
        <f t="shared" si="1"/>
        <v>42.121352836467764</v>
      </c>
      <c r="G26" s="133">
        <f t="shared" si="17"/>
        <v>0.93</v>
      </c>
      <c r="H26" s="143">
        <f t="shared" si="18"/>
        <v>0</v>
      </c>
      <c r="I26" s="135">
        <f t="shared" si="2"/>
        <v>43.051352836467764</v>
      </c>
      <c r="J26" s="135">
        <f t="shared" si="3"/>
        <v>155.75</v>
      </c>
      <c r="K26" s="133">
        <f t="shared" si="19"/>
        <v>0.87</v>
      </c>
      <c r="L26" s="124"/>
      <c r="P26" s="170">
        <f t="shared" si="20"/>
        <v>0</v>
      </c>
    </row>
    <row r="27" spans="2:17">
      <c r="B27" s="141">
        <f t="shared" si="0"/>
        <v>2033</v>
      </c>
      <c r="C27" s="142"/>
      <c r="D27" s="133">
        <f t="shared" si="21"/>
        <v>102.05</v>
      </c>
      <c r="E27" s="133">
        <f t="shared" si="16"/>
        <v>53.39</v>
      </c>
      <c r="F27" s="135">
        <f t="shared" si="1"/>
        <v>42.964387984123306</v>
      </c>
      <c r="G27" s="133">
        <f t="shared" si="17"/>
        <v>0.95</v>
      </c>
      <c r="H27" s="143">
        <f t="shared" si="18"/>
        <v>0</v>
      </c>
      <c r="I27" s="135">
        <f t="shared" si="2"/>
        <v>43.914387984123309</v>
      </c>
      <c r="J27" s="135">
        <f t="shared" si="3"/>
        <v>158.88</v>
      </c>
      <c r="K27" s="133">
        <f t="shared" si="19"/>
        <v>0.89</v>
      </c>
      <c r="L27" s="124"/>
      <c r="P27" s="170">
        <f t="shared" si="20"/>
        <v>0</v>
      </c>
    </row>
    <row r="28" spans="2:17">
      <c r="B28" s="141">
        <f t="shared" si="0"/>
        <v>2034</v>
      </c>
      <c r="C28" s="142"/>
      <c r="D28" s="133">
        <f t="shared" si="21"/>
        <v>104.09</v>
      </c>
      <c r="E28" s="133">
        <f t="shared" si="16"/>
        <v>54.46</v>
      </c>
      <c r="F28" s="135">
        <f t="shared" si="1"/>
        <v>43.824007429765508</v>
      </c>
      <c r="G28" s="133">
        <f t="shared" si="17"/>
        <v>0.97</v>
      </c>
      <c r="H28" s="143">
        <f t="shared" si="18"/>
        <v>0</v>
      </c>
      <c r="I28" s="135">
        <f t="shared" si="2"/>
        <v>44.794007429765507</v>
      </c>
      <c r="J28" s="135">
        <f t="shared" si="3"/>
        <v>162.06</v>
      </c>
      <c r="K28" s="133">
        <f t="shared" si="19"/>
        <v>0.91</v>
      </c>
      <c r="L28" s="124"/>
      <c r="P28" s="170">
        <f t="shared" si="20"/>
        <v>0</v>
      </c>
    </row>
    <row r="29" spans="2:17">
      <c r="B29" s="141">
        <f t="shared" si="0"/>
        <v>2035</v>
      </c>
      <c r="C29" s="142"/>
      <c r="D29" s="133">
        <f t="shared" ref="D29:E36" si="22">ROUND(D28*(1+$K66),2)</f>
        <v>106.17</v>
      </c>
      <c r="E29" s="133">
        <f t="shared" si="22"/>
        <v>55.55</v>
      </c>
      <c r="F29" s="135">
        <f t="shared" si="1"/>
        <v>44.700211173394372</v>
      </c>
      <c r="G29" s="133">
        <f>ROUND(G28*(1+$K66),2)</f>
        <v>0.99</v>
      </c>
      <c r="H29" s="143">
        <f>ROUND(H28*(1+$K66),2)</f>
        <v>0</v>
      </c>
      <c r="I29" s="135">
        <f t="shared" si="2"/>
        <v>45.690211173394374</v>
      </c>
      <c r="J29" s="135">
        <f t="shared" si="3"/>
        <v>165.3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si="22"/>
        <v>108.29</v>
      </c>
      <c r="E30" s="133">
        <f t="shared" si="22"/>
        <v>56.66</v>
      </c>
      <c r="F30" s="135">
        <f t="shared" si="1"/>
        <v>45.592999215009897</v>
      </c>
      <c r="G30" s="133">
        <f t="shared" ref="G30:G36" si="23">ROUND(G29*(1+$K67),2)</f>
        <v>1.01</v>
      </c>
      <c r="H30" s="143">
        <f t="shared" ref="H30" si="24">ROUND(H29*(1+$K67),2)</f>
        <v>0</v>
      </c>
      <c r="I30" s="135">
        <f t="shared" si="2"/>
        <v>46.602999215009895</v>
      </c>
      <c r="J30" s="135">
        <f t="shared" si="3"/>
        <v>168.6</v>
      </c>
      <c r="K30" s="133">
        <f t="shared" ref="K30:K36" si="25">ROUND(K29*(1+$K67),2)</f>
        <v>0.95</v>
      </c>
      <c r="L30" s="124"/>
      <c r="P30" s="170">
        <f t="shared" ref="P30:P36" si="26">ROUND(P29*(1+$K67),2)</f>
        <v>0</v>
      </c>
    </row>
    <row r="31" spans="2:17">
      <c r="B31" s="141">
        <f t="shared" si="0"/>
        <v>2037</v>
      </c>
      <c r="C31" s="142"/>
      <c r="D31" s="133">
        <f t="shared" si="22"/>
        <v>110.56</v>
      </c>
      <c r="E31" s="133">
        <f t="shared" si="22"/>
        <v>57.85</v>
      </c>
      <c r="F31" s="135">
        <f t="shared" si="1"/>
        <v>46.549360398907652</v>
      </c>
      <c r="G31" s="133">
        <f t="shared" si="23"/>
        <v>1.03</v>
      </c>
      <c r="H31" s="143">
        <f t="shared" ref="H31" si="27">ROUND(H30*(1+$K68),2)</f>
        <v>0</v>
      </c>
      <c r="I31" s="135">
        <f t="shared" si="2"/>
        <v>47.579360398907653</v>
      </c>
      <c r="J31" s="135">
        <f t="shared" si="3"/>
        <v>172.14</v>
      </c>
      <c r="K31" s="133">
        <f t="shared" si="25"/>
        <v>0.97</v>
      </c>
      <c r="L31" s="124"/>
      <c r="P31" s="170">
        <f t="shared" si="26"/>
        <v>0</v>
      </c>
    </row>
    <row r="32" spans="2:17">
      <c r="B32" s="141">
        <f t="shared" si="0"/>
        <v>2038</v>
      </c>
      <c r="C32" s="142"/>
      <c r="D32" s="133">
        <f t="shared" si="22"/>
        <v>112.88</v>
      </c>
      <c r="E32" s="133">
        <f t="shared" si="22"/>
        <v>59.06</v>
      </c>
      <c r="F32" s="135">
        <f t="shared" si="1"/>
        <v>47.525069930456517</v>
      </c>
      <c r="G32" s="133">
        <f t="shared" si="23"/>
        <v>1.05</v>
      </c>
      <c r="H32" s="143">
        <f t="shared" ref="H32" si="28">ROUND(H31*(1+$K69),2)</f>
        <v>0</v>
      </c>
      <c r="I32" s="135">
        <f t="shared" si="2"/>
        <v>48.575069930456515</v>
      </c>
      <c r="J32" s="135">
        <f t="shared" si="3"/>
        <v>175.74</v>
      </c>
      <c r="K32" s="133">
        <f t="shared" si="25"/>
        <v>0.99</v>
      </c>
      <c r="L32" s="124"/>
      <c r="P32" s="170">
        <f t="shared" si="26"/>
        <v>0</v>
      </c>
    </row>
    <row r="33" spans="2:16">
      <c r="B33" s="141">
        <f t="shared" si="0"/>
        <v>2039</v>
      </c>
      <c r="C33" s="142"/>
      <c r="D33" s="133">
        <f t="shared" si="22"/>
        <v>115.25</v>
      </c>
      <c r="E33" s="133">
        <f t="shared" si="22"/>
        <v>60.3</v>
      </c>
      <c r="F33" s="135">
        <f t="shared" si="1"/>
        <v>48.522891859320936</v>
      </c>
      <c r="G33" s="133">
        <f t="shared" si="23"/>
        <v>1.07</v>
      </c>
      <c r="H33" s="143">
        <f t="shared" ref="H33" si="29">ROUND(H32*(1+$K70),2)</f>
        <v>0</v>
      </c>
      <c r="I33" s="135">
        <f t="shared" si="2"/>
        <v>49.592891859320936</v>
      </c>
      <c r="J33" s="135">
        <f t="shared" si="3"/>
        <v>179.42</v>
      </c>
      <c r="K33" s="133">
        <f t="shared" si="25"/>
        <v>1.01</v>
      </c>
      <c r="L33" s="124"/>
      <c r="P33" s="170">
        <f t="shared" si="26"/>
        <v>0</v>
      </c>
    </row>
    <row r="34" spans="2:16">
      <c r="B34" s="141">
        <f t="shared" si="0"/>
        <v>2040</v>
      </c>
      <c r="C34" s="142"/>
      <c r="D34" s="133">
        <f t="shared" si="22"/>
        <v>117.67</v>
      </c>
      <c r="E34" s="133">
        <f t="shared" si="22"/>
        <v>61.57</v>
      </c>
      <c r="F34" s="135">
        <f t="shared" si="1"/>
        <v>49.542826185500907</v>
      </c>
      <c r="G34" s="133">
        <f t="shared" si="23"/>
        <v>1.0900000000000001</v>
      </c>
      <c r="H34" s="143">
        <f t="shared" ref="H34" si="30">ROUND(H33*(1+$K71),2)</f>
        <v>0</v>
      </c>
      <c r="I34" s="135">
        <f t="shared" si="2"/>
        <v>50.63282618550091</v>
      </c>
      <c r="J34" s="135">
        <f t="shared" si="3"/>
        <v>183.18</v>
      </c>
      <c r="K34" s="133">
        <f t="shared" si="25"/>
        <v>1.03</v>
      </c>
      <c r="L34" s="124"/>
      <c r="P34" s="170">
        <f t="shared" si="26"/>
        <v>0</v>
      </c>
    </row>
    <row r="35" spans="2:16">
      <c r="B35" s="141">
        <f t="shared" si="0"/>
        <v>2041</v>
      </c>
      <c r="C35" s="142"/>
      <c r="D35" s="133">
        <f t="shared" si="22"/>
        <v>120.26</v>
      </c>
      <c r="E35" s="133">
        <f t="shared" si="22"/>
        <v>62.92</v>
      </c>
      <c r="F35" s="135">
        <f t="shared" si="1"/>
        <v>50.631861753291993</v>
      </c>
      <c r="G35" s="133">
        <f t="shared" si="23"/>
        <v>1.1100000000000001</v>
      </c>
      <c r="H35" s="143">
        <f t="shared" ref="H35" si="31">ROUND(H34*(1+$K72),2)</f>
        <v>0</v>
      </c>
      <c r="I35" s="135">
        <f t="shared" si="2"/>
        <v>51.741861753291992</v>
      </c>
      <c r="J35" s="135">
        <f t="shared" si="3"/>
        <v>187.2</v>
      </c>
      <c r="K35" s="133">
        <f t="shared" si="25"/>
        <v>1.05</v>
      </c>
      <c r="L35" s="124"/>
      <c r="P35" s="170">
        <f t="shared" si="26"/>
        <v>0</v>
      </c>
    </row>
    <row r="36" spans="2:16">
      <c r="B36" s="141">
        <f t="shared" si="0"/>
        <v>2042</v>
      </c>
      <c r="C36" s="142"/>
      <c r="D36" s="133">
        <f t="shared" si="22"/>
        <v>122.91</v>
      </c>
      <c r="E36" s="133">
        <f t="shared" si="22"/>
        <v>64.3</v>
      </c>
      <c r="F36" s="135">
        <f t="shared" si="1"/>
        <v>51.745773768063067</v>
      </c>
      <c r="G36" s="133">
        <f t="shared" si="23"/>
        <v>1.1299999999999999</v>
      </c>
      <c r="H36" s="143">
        <f t="shared" ref="H36" si="32">ROUND(H35*(1+$K73),2)</f>
        <v>0</v>
      </c>
      <c r="I36" s="135">
        <f t="shared" si="2"/>
        <v>52.87577376806307</v>
      </c>
      <c r="J36" s="135">
        <f t="shared" si="3"/>
        <v>191.3</v>
      </c>
      <c r="K36" s="133">
        <f t="shared" si="25"/>
        <v>1.07</v>
      </c>
      <c r="L36" s="124"/>
      <c r="P36" s="170">
        <f t="shared" si="26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"&amp;TEXT(G63,"0.0%")&amp;")"</f>
        <v>= ((b) + (c)) /  (8.76 x 41.3%)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119</v>
      </c>
      <c r="C55" s="186">
        <v>1353.2739183554006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37.565582271006477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0.65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223">
        <v>0.43118737343656394</v>
      </c>
      <c r="D63" s="122" t="s">
        <v>39</v>
      </c>
      <c r="G63" s="226">
        <v>0.41299999999999998</v>
      </c>
      <c r="H63" s="122" t="s">
        <v>145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33">C66+1</f>
        <v>2018</v>
      </c>
      <c r="D67" s="41">
        <v>2.3E-2</v>
      </c>
      <c r="E67" s="86"/>
      <c r="F67" s="88">
        <f t="shared" ref="F67:F74" si="34">F66+1</f>
        <v>2027</v>
      </c>
      <c r="G67" s="41">
        <v>2.1999999999999999E-2</v>
      </c>
      <c r="H67" s="86"/>
      <c r="I67" s="88">
        <f t="shared" ref="I67:I74" si="35">I66+1</f>
        <v>2036</v>
      </c>
      <c r="J67" s="88"/>
      <c r="K67" s="41">
        <v>0.02</v>
      </c>
    </row>
    <row r="68" spans="3:11">
      <c r="C68" s="88">
        <f t="shared" si="33"/>
        <v>2019</v>
      </c>
      <c r="D68" s="41">
        <v>2.1999999999999999E-2</v>
      </c>
      <c r="E68" s="86"/>
      <c r="F68" s="88">
        <f t="shared" si="34"/>
        <v>2028</v>
      </c>
      <c r="G68" s="41">
        <v>2.1999999999999999E-2</v>
      </c>
      <c r="H68" s="86"/>
      <c r="I68" s="88">
        <f t="shared" si="35"/>
        <v>2037</v>
      </c>
      <c r="J68" s="88"/>
      <c r="K68" s="41">
        <v>2.1000000000000001E-2</v>
      </c>
    </row>
    <row r="69" spans="3:11">
      <c r="C69" s="88">
        <f t="shared" si="33"/>
        <v>2020</v>
      </c>
      <c r="D69" s="41">
        <v>2.5000000000000001E-2</v>
      </c>
      <c r="E69" s="86"/>
      <c r="F69" s="88">
        <f t="shared" si="34"/>
        <v>2029</v>
      </c>
      <c r="G69" s="41">
        <v>2.1000000000000001E-2</v>
      </c>
      <c r="H69" s="86"/>
      <c r="I69" s="88">
        <f t="shared" si="35"/>
        <v>2038</v>
      </c>
      <c r="J69" s="88"/>
      <c r="K69" s="41">
        <v>2.1000000000000001E-2</v>
      </c>
    </row>
    <row r="70" spans="3:11">
      <c r="C70" s="88">
        <f t="shared" si="33"/>
        <v>2021</v>
      </c>
      <c r="D70" s="41">
        <v>2.4E-2</v>
      </c>
      <c r="E70" s="86"/>
      <c r="F70" s="88">
        <f t="shared" si="34"/>
        <v>2030</v>
      </c>
      <c r="G70" s="41">
        <v>0.02</v>
      </c>
      <c r="H70" s="86"/>
      <c r="I70" s="88">
        <f t="shared" si="35"/>
        <v>2039</v>
      </c>
      <c r="J70" s="88"/>
      <c r="K70" s="41">
        <v>2.1000000000000001E-2</v>
      </c>
    </row>
    <row r="71" spans="3:11">
      <c r="C71" s="88">
        <f t="shared" si="33"/>
        <v>2022</v>
      </c>
      <c r="D71" s="41">
        <v>2.4E-2</v>
      </c>
      <c r="E71" s="86"/>
      <c r="F71" s="88">
        <f t="shared" si="34"/>
        <v>2031</v>
      </c>
      <c r="G71" s="41">
        <v>0.02</v>
      </c>
      <c r="H71" s="86"/>
      <c r="I71" s="88">
        <f t="shared" si="35"/>
        <v>2040</v>
      </c>
      <c r="J71" s="88"/>
      <c r="K71" s="41">
        <v>2.1000000000000001E-2</v>
      </c>
    </row>
    <row r="72" spans="3:11" s="124" customFormat="1">
      <c r="C72" s="88">
        <f t="shared" si="33"/>
        <v>2023</v>
      </c>
      <c r="D72" s="41">
        <v>2.4E-2</v>
      </c>
      <c r="E72" s="87"/>
      <c r="F72" s="88">
        <f t="shared" si="34"/>
        <v>2032</v>
      </c>
      <c r="G72" s="41">
        <v>0.02</v>
      </c>
      <c r="H72" s="87"/>
      <c r="I72" s="88">
        <f t="shared" si="35"/>
        <v>2041</v>
      </c>
      <c r="J72" s="88"/>
      <c r="K72" s="41">
        <v>2.1999999999999999E-2</v>
      </c>
    </row>
    <row r="73" spans="3:11" s="124" customFormat="1">
      <c r="C73" s="88">
        <f t="shared" si="33"/>
        <v>2024</v>
      </c>
      <c r="D73" s="41">
        <v>2.3E-2</v>
      </c>
      <c r="E73" s="87"/>
      <c r="F73" s="88">
        <f t="shared" si="34"/>
        <v>2033</v>
      </c>
      <c r="G73" s="41">
        <v>0.02</v>
      </c>
      <c r="H73" s="87"/>
      <c r="I73" s="88">
        <f t="shared" si="35"/>
        <v>2042</v>
      </c>
      <c r="J73" s="88"/>
      <c r="K73" s="41">
        <v>2.1999999999999999E-2</v>
      </c>
    </row>
    <row r="74" spans="3:11" s="124" customFormat="1">
      <c r="C74" s="88">
        <f t="shared" si="33"/>
        <v>2025</v>
      </c>
      <c r="D74" s="41">
        <v>2.3E-2</v>
      </c>
      <c r="E74" s="87"/>
      <c r="F74" s="88">
        <f t="shared" si="34"/>
        <v>2034</v>
      </c>
      <c r="G74" s="41">
        <v>0.02</v>
      </c>
      <c r="H74" s="87"/>
      <c r="I74" s="88">
        <f t="shared" si="3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125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32">
        <f>$C$55</f>
        <v>1410.7096380374778</v>
      </c>
      <c r="D24" s="133">
        <f>C24*$C$62</f>
        <v>100.24490397781955</v>
      </c>
      <c r="E24" s="133">
        <f t="shared" si="7"/>
        <v>50.3</v>
      </c>
      <c r="F24" s="135">
        <f t="shared" si="1"/>
        <v>45.224977162286578</v>
      </c>
      <c r="G24" s="133">
        <f t="shared" si="7"/>
        <v>0</v>
      </c>
      <c r="H24" s="133">
        <f t="shared" si="7"/>
        <v>0</v>
      </c>
      <c r="I24" s="135">
        <f t="shared" si="4"/>
        <v>45.224977162286578</v>
      </c>
      <c r="J24" s="135">
        <f t="shared" si="2"/>
        <v>150.54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>
        <f t="shared" ref="D25:D36" si="10">ROUND(D24*(1+$G71),2)</f>
        <v>102.25</v>
      </c>
      <c r="E25" s="133">
        <f t="shared" si="7"/>
        <v>51.31</v>
      </c>
      <c r="F25" s="135">
        <f t="shared" si="1"/>
        <v>46.130737803412643</v>
      </c>
      <c r="G25" s="133">
        <f t="shared" si="7"/>
        <v>0</v>
      </c>
      <c r="H25" s="133">
        <f t="shared" si="7"/>
        <v>0</v>
      </c>
      <c r="I25" s="135">
        <f t="shared" si="4"/>
        <v>46.130737803412643</v>
      </c>
      <c r="J25" s="135">
        <f t="shared" si="2"/>
        <v>153.56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>
        <f t="shared" si="10"/>
        <v>104.3</v>
      </c>
      <c r="E26" s="133">
        <f t="shared" si="7"/>
        <v>52.34</v>
      </c>
      <c r="F26" s="135">
        <f t="shared" si="1"/>
        <v>47.05599615477049</v>
      </c>
      <c r="G26" s="133">
        <f t="shared" si="7"/>
        <v>0</v>
      </c>
      <c r="H26" s="133">
        <f t="shared" si="7"/>
        <v>0</v>
      </c>
      <c r="I26" s="135">
        <f t="shared" si="4"/>
        <v>47.05599615477049</v>
      </c>
      <c r="J26" s="135">
        <f t="shared" si="2"/>
        <v>156.63999999999999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>
        <f t="shared" si="10"/>
        <v>106.39</v>
      </c>
      <c r="E27" s="133">
        <f t="shared" si="7"/>
        <v>53.39</v>
      </c>
      <c r="F27" s="135">
        <f t="shared" si="1"/>
        <v>47.999279019466478</v>
      </c>
      <c r="G27" s="133">
        <f t="shared" si="7"/>
        <v>0</v>
      </c>
      <c r="H27" s="133">
        <f t="shared" si="7"/>
        <v>0</v>
      </c>
      <c r="I27" s="135">
        <f t="shared" si="4"/>
        <v>47.999279019466478</v>
      </c>
      <c r="J27" s="135">
        <f t="shared" si="2"/>
        <v>159.78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>
        <f t="shared" si="10"/>
        <v>108.52</v>
      </c>
      <c r="E28" s="133">
        <f t="shared" si="7"/>
        <v>54.46</v>
      </c>
      <c r="F28" s="135">
        <f t="shared" si="1"/>
        <v>48.960586397500599</v>
      </c>
      <c r="G28" s="133">
        <f t="shared" si="7"/>
        <v>0</v>
      </c>
      <c r="H28" s="133">
        <f t="shared" si="7"/>
        <v>0</v>
      </c>
      <c r="I28" s="135">
        <f t="shared" si="4"/>
        <v>48.960586397500599</v>
      </c>
      <c r="J28" s="135">
        <f t="shared" si="2"/>
        <v>162.97999999999999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42"/>
      <c r="D29" s="133">
        <f t="shared" si="10"/>
        <v>108.52</v>
      </c>
      <c r="E29" s="133">
        <f t="shared" ref="E29:E36" si="11">ROUND(E28*(1+$K66),2)</f>
        <v>55.55</v>
      </c>
      <c r="F29" s="135">
        <f t="shared" si="1"/>
        <v>49.288031723143476</v>
      </c>
      <c r="G29" s="133">
        <f t="shared" ref="G29:H36" si="12">ROUND(G28*(1+$K66),2)</f>
        <v>0</v>
      </c>
      <c r="H29" s="133">
        <f t="shared" si="12"/>
        <v>0</v>
      </c>
      <c r="I29" s="135">
        <f t="shared" si="4"/>
        <v>49.288031723143476</v>
      </c>
      <c r="J29" s="135">
        <f t="shared" si="2"/>
        <v>164.07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108.52</v>
      </c>
      <c r="E30" s="133">
        <f t="shared" si="11"/>
        <v>56.66</v>
      </c>
      <c r="F30" s="135">
        <f t="shared" si="1"/>
        <v>49.621485219899071</v>
      </c>
      <c r="G30" s="133">
        <f t="shared" si="12"/>
        <v>0</v>
      </c>
      <c r="H30" s="133">
        <f t="shared" si="12"/>
        <v>0</v>
      </c>
      <c r="I30" s="135">
        <f t="shared" si="4"/>
        <v>49.621485219899071</v>
      </c>
      <c r="J30" s="135">
        <f t="shared" si="2"/>
        <v>165.18</v>
      </c>
      <c r="K30" s="133">
        <f t="shared" ref="K30:K36" si="13">ROUND(K29*(1+$K67),2)</f>
        <v>0.95</v>
      </c>
      <c r="L30" s="124"/>
      <c r="P30" s="170">
        <f t="shared" ref="P30:P36" si="14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108.52</v>
      </c>
      <c r="E31" s="133">
        <f t="shared" si="11"/>
        <v>57.85</v>
      </c>
      <c r="F31" s="135">
        <f t="shared" si="1"/>
        <v>49.978971401105511</v>
      </c>
      <c r="G31" s="133">
        <f t="shared" si="12"/>
        <v>0</v>
      </c>
      <c r="H31" s="133">
        <f t="shared" si="12"/>
        <v>0</v>
      </c>
      <c r="I31" s="135">
        <f t="shared" si="4"/>
        <v>49.978971401105511</v>
      </c>
      <c r="J31" s="135">
        <f t="shared" si="2"/>
        <v>166.37</v>
      </c>
      <c r="K31" s="133">
        <f t="shared" si="13"/>
        <v>0.97</v>
      </c>
      <c r="L31" s="124"/>
      <c r="P31" s="170">
        <f t="shared" si="14"/>
        <v>0</v>
      </c>
    </row>
    <row r="32" spans="2:16">
      <c r="B32" s="141">
        <f t="shared" si="0"/>
        <v>2038</v>
      </c>
      <c r="C32" s="142"/>
      <c r="D32" s="133">
        <f t="shared" si="10"/>
        <v>108.52</v>
      </c>
      <c r="E32" s="133">
        <f t="shared" si="11"/>
        <v>59.06</v>
      </c>
      <c r="F32" s="135">
        <f t="shared" si="1"/>
        <v>50.342465753424655</v>
      </c>
      <c r="G32" s="133">
        <f t="shared" si="12"/>
        <v>0</v>
      </c>
      <c r="H32" s="133">
        <f t="shared" si="12"/>
        <v>0</v>
      </c>
      <c r="I32" s="135">
        <f t="shared" si="4"/>
        <v>50.342465753424655</v>
      </c>
      <c r="J32" s="135">
        <f t="shared" si="2"/>
        <v>167.58</v>
      </c>
      <c r="K32" s="133">
        <f t="shared" si="13"/>
        <v>0.99</v>
      </c>
      <c r="L32" s="124"/>
      <c r="P32" s="170">
        <f t="shared" si="14"/>
        <v>0</v>
      </c>
    </row>
    <row r="33" spans="2:16">
      <c r="B33" s="141">
        <f t="shared" si="0"/>
        <v>2039</v>
      </c>
      <c r="C33" s="142"/>
      <c r="D33" s="133">
        <f t="shared" si="10"/>
        <v>108.52</v>
      </c>
      <c r="E33" s="133">
        <f t="shared" si="11"/>
        <v>60.3</v>
      </c>
      <c r="F33" s="135">
        <f t="shared" si="1"/>
        <v>50.71497236241288</v>
      </c>
      <c r="G33" s="133">
        <f t="shared" si="12"/>
        <v>0</v>
      </c>
      <c r="H33" s="133">
        <f t="shared" si="12"/>
        <v>0</v>
      </c>
      <c r="I33" s="135">
        <f t="shared" si="4"/>
        <v>50.71497236241288</v>
      </c>
      <c r="J33" s="135">
        <f t="shared" si="2"/>
        <v>168.82</v>
      </c>
      <c r="K33" s="133">
        <f t="shared" si="13"/>
        <v>1.01</v>
      </c>
      <c r="L33" s="124"/>
      <c r="P33" s="170">
        <f t="shared" si="14"/>
        <v>0</v>
      </c>
    </row>
    <row r="34" spans="2:16">
      <c r="B34" s="141">
        <f t="shared" si="0"/>
        <v>2040</v>
      </c>
      <c r="C34" s="142"/>
      <c r="D34" s="133">
        <f t="shared" si="10"/>
        <v>108.52</v>
      </c>
      <c r="E34" s="133">
        <f t="shared" si="11"/>
        <v>61.57</v>
      </c>
      <c r="F34" s="135">
        <f t="shared" si="1"/>
        <v>51.096491228070178</v>
      </c>
      <c r="G34" s="133">
        <f t="shared" si="12"/>
        <v>0</v>
      </c>
      <c r="H34" s="133">
        <f t="shared" si="12"/>
        <v>0</v>
      </c>
      <c r="I34" s="135">
        <f t="shared" si="4"/>
        <v>51.096491228070178</v>
      </c>
      <c r="J34" s="135">
        <f t="shared" si="2"/>
        <v>170.09</v>
      </c>
      <c r="K34" s="133">
        <f t="shared" si="13"/>
        <v>1.03</v>
      </c>
      <c r="L34" s="124"/>
      <c r="P34" s="170">
        <f t="shared" si="14"/>
        <v>0</v>
      </c>
    </row>
    <row r="35" spans="2:16">
      <c r="B35" s="141">
        <f t="shared" si="0"/>
        <v>2041</v>
      </c>
      <c r="C35" s="142"/>
      <c r="D35" s="133">
        <f t="shared" si="10"/>
        <v>108.52</v>
      </c>
      <c r="E35" s="133">
        <f t="shared" si="11"/>
        <v>62.92</v>
      </c>
      <c r="F35" s="135">
        <f t="shared" si="1"/>
        <v>51.502042778178328</v>
      </c>
      <c r="G35" s="133">
        <f t="shared" si="12"/>
        <v>0</v>
      </c>
      <c r="H35" s="133">
        <f t="shared" si="12"/>
        <v>0</v>
      </c>
      <c r="I35" s="135">
        <f t="shared" si="4"/>
        <v>51.502042778178328</v>
      </c>
      <c r="J35" s="135">
        <f t="shared" si="2"/>
        <v>171.44</v>
      </c>
      <c r="K35" s="133">
        <f t="shared" si="13"/>
        <v>1.05</v>
      </c>
      <c r="L35" s="124"/>
      <c r="P35" s="170">
        <f t="shared" si="14"/>
        <v>0</v>
      </c>
    </row>
    <row r="36" spans="2:16">
      <c r="B36" s="141">
        <f t="shared" si="0"/>
        <v>2042</v>
      </c>
      <c r="C36" s="142"/>
      <c r="D36" s="133">
        <f t="shared" si="10"/>
        <v>108.52</v>
      </c>
      <c r="E36" s="133">
        <f t="shared" si="11"/>
        <v>64.3</v>
      </c>
      <c r="F36" s="135">
        <f t="shared" si="1"/>
        <v>51.916606584955538</v>
      </c>
      <c r="G36" s="133">
        <f t="shared" si="12"/>
        <v>0</v>
      </c>
      <c r="H36" s="133">
        <f t="shared" si="12"/>
        <v>0</v>
      </c>
      <c r="I36" s="135">
        <f t="shared" si="4"/>
        <v>51.916606584955538</v>
      </c>
      <c r="J36" s="135">
        <f t="shared" si="2"/>
        <v>172.82</v>
      </c>
      <c r="K36" s="133">
        <f t="shared" si="13"/>
        <v>1.07</v>
      </c>
      <c r="L36" s="124"/>
      <c r="P36" s="170">
        <f t="shared" si="14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">
        <v>117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119</v>
      </c>
      <c r="C55" s="186">
        <v>1410.7096380374778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5">C66+1</f>
        <v>2018</v>
      </c>
      <c r="D67" s="41">
        <v>2.3E-2</v>
      </c>
      <c r="E67" s="86"/>
      <c r="F67" s="88">
        <f t="shared" ref="F67:F74" si="16">F66+1</f>
        <v>2027</v>
      </c>
      <c r="G67" s="41">
        <v>2.1999999999999999E-2</v>
      </c>
      <c r="H67" s="86"/>
      <c r="I67" s="88">
        <f t="shared" ref="I67:I74" si="17">I66+1</f>
        <v>2036</v>
      </c>
      <c r="J67" s="88"/>
      <c r="K67" s="41">
        <v>0.02</v>
      </c>
    </row>
    <row r="68" spans="3:11">
      <c r="C68" s="88">
        <f t="shared" si="15"/>
        <v>2019</v>
      </c>
      <c r="D68" s="41">
        <v>2.1999999999999999E-2</v>
      </c>
      <c r="E68" s="86"/>
      <c r="F68" s="88">
        <f t="shared" si="16"/>
        <v>2028</v>
      </c>
      <c r="G68" s="41">
        <v>2.1999999999999999E-2</v>
      </c>
      <c r="H68" s="86"/>
      <c r="I68" s="88">
        <f t="shared" si="17"/>
        <v>2037</v>
      </c>
      <c r="J68" s="88"/>
      <c r="K68" s="41">
        <v>2.1000000000000001E-2</v>
      </c>
    </row>
    <row r="69" spans="3:11">
      <c r="C69" s="88">
        <f t="shared" si="15"/>
        <v>2020</v>
      </c>
      <c r="D69" s="41">
        <v>2.5000000000000001E-2</v>
      </c>
      <c r="E69" s="86"/>
      <c r="F69" s="88">
        <f t="shared" si="16"/>
        <v>2029</v>
      </c>
      <c r="G69" s="41">
        <v>2.1000000000000001E-2</v>
      </c>
      <c r="H69" s="86"/>
      <c r="I69" s="88">
        <f t="shared" si="17"/>
        <v>2038</v>
      </c>
      <c r="J69" s="88"/>
      <c r="K69" s="41">
        <v>2.1000000000000001E-2</v>
      </c>
    </row>
    <row r="70" spans="3:11">
      <c r="C70" s="88">
        <f t="shared" si="15"/>
        <v>2021</v>
      </c>
      <c r="D70" s="41">
        <v>2.4E-2</v>
      </c>
      <c r="E70" s="86"/>
      <c r="F70" s="88">
        <f t="shared" si="16"/>
        <v>2030</v>
      </c>
      <c r="G70" s="41">
        <v>0.02</v>
      </c>
      <c r="H70" s="86"/>
      <c r="I70" s="88">
        <f t="shared" si="17"/>
        <v>2039</v>
      </c>
      <c r="J70" s="88"/>
      <c r="K70" s="41">
        <v>2.1000000000000001E-2</v>
      </c>
    </row>
    <row r="71" spans="3:11">
      <c r="C71" s="88">
        <f t="shared" si="15"/>
        <v>2022</v>
      </c>
      <c r="D71" s="41">
        <v>2.4E-2</v>
      </c>
      <c r="E71" s="86"/>
      <c r="F71" s="88">
        <f t="shared" si="16"/>
        <v>2031</v>
      </c>
      <c r="G71" s="41">
        <v>0.02</v>
      </c>
      <c r="H71" s="86"/>
      <c r="I71" s="88">
        <f t="shared" si="17"/>
        <v>2040</v>
      </c>
      <c r="J71" s="88"/>
      <c r="K71" s="41">
        <v>2.1000000000000001E-2</v>
      </c>
    </row>
    <row r="72" spans="3:11" s="124" customFormat="1">
      <c r="C72" s="88">
        <f t="shared" si="15"/>
        <v>2023</v>
      </c>
      <c r="D72" s="41">
        <v>2.4E-2</v>
      </c>
      <c r="E72" s="87"/>
      <c r="F72" s="88">
        <f t="shared" si="16"/>
        <v>2032</v>
      </c>
      <c r="G72" s="41">
        <v>0.02</v>
      </c>
      <c r="H72" s="87"/>
      <c r="I72" s="88">
        <f t="shared" si="17"/>
        <v>2041</v>
      </c>
      <c r="J72" s="88"/>
      <c r="K72" s="41">
        <v>2.1999999999999999E-2</v>
      </c>
    </row>
    <row r="73" spans="3:11" s="124" customFormat="1">
      <c r="C73" s="88">
        <f t="shared" si="15"/>
        <v>2024</v>
      </c>
      <c r="D73" s="41">
        <v>2.3E-2</v>
      </c>
      <c r="E73" s="87"/>
      <c r="F73" s="88">
        <f t="shared" si="16"/>
        <v>2033</v>
      </c>
      <c r="G73" s="41">
        <v>0.02</v>
      </c>
      <c r="H73" s="87"/>
      <c r="I73" s="88">
        <f t="shared" si="17"/>
        <v>2042</v>
      </c>
      <c r="J73" s="88"/>
      <c r="K73" s="41">
        <v>2.1999999999999999E-2</v>
      </c>
    </row>
    <row r="74" spans="3:11" s="124" customFormat="1">
      <c r="C74" s="88">
        <f t="shared" si="15"/>
        <v>2025</v>
      </c>
      <c r="D74" s="41">
        <v>2.3E-2</v>
      </c>
      <c r="E74" s="87"/>
      <c r="F74" s="88">
        <f t="shared" si="16"/>
        <v>2034</v>
      </c>
      <c r="G74" s="41">
        <v>0.02</v>
      </c>
      <c r="H74" s="87"/>
      <c r="I74" s="88">
        <f t="shared" si="17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125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G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ref="H12" si="4">ROUND(H11*(1+$D67),2)</f>
        <v>0</v>
      </c>
      <c r="I12" s="135">
        <f t="shared" ref="I12:I36" si="5">F12+H12+G12</f>
        <v>11.544700793078588</v>
      </c>
      <c r="J12" s="135">
        <f t="shared" si="2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ref="H13" si="8">ROUND(H12*(1+$D68),2)</f>
        <v>0</v>
      </c>
      <c r="I13" s="135">
        <f t="shared" si="5"/>
        <v>11.800048065368903</v>
      </c>
      <c r="J13" s="135">
        <f t="shared" si="2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ref="H14" si="9">ROUND(H13*(1+$D69),2)</f>
        <v>0</v>
      </c>
      <c r="I14" s="135">
        <f t="shared" si="5"/>
        <v>12.094448449891853</v>
      </c>
      <c r="J14" s="135">
        <f t="shared" si="2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ref="H15" si="10">ROUND(H14*(1+$D70),2)</f>
        <v>0</v>
      </c>
      <c r="I15" s="135">
        <f t="shared" si="5"/>
        <v>12.385844748858448</v>
      </c>
      <c r="J15" s="135">
        <f t="shared" si="2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ref="H16" si="11">ROUND(H15*(1+$D71),2)</f>
        <v>0</v>
      </c>
      <c r="I16" s="135">
        <f t="shared" si="5"/>
        <v>12.683249218937757</v>
      </c>
      <c r="J16" s="135">
        <f t="shared" si="2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ref="H17" si="12">ROUND(H16*(1+$D72),2)</f>
        <v>0</v>
      </c>
      <c r="I17" s="135">
        <f t="shared" si="5"/>
        <v>12.986661860129777</v>
      </c>
      <c r="J17" s="135">
        <f t="shared" si="2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ref="H18" si="13">ROUND(H17*(1+$D73),2)</f>
        <v>0</v>
      </c>
      <c r="I18" s="135">
        <f t="shared" si="5"/>
        <v>13.284066330209084</v>
      </c>
      <c r="J18" s="135">
        <f t="shared" si="2"/>
        <v>44.22</v>
      </c>
      <c r="K18" s="133">
        <f t="shared" si="6"/>
        <v>0.71</v>
      </c>
      <c r="L18" s="124"/>
      <c r="N18" s="136"/>
      <c r="O18" s="138"/>
      <c r="P18" s="170">
        <f t="shared" si="7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ref="H19" si="14">ROUND(H18*(1+$D74),2)</f>
        <v>0</v>
      </c>
      <c r="I19" s="135">
        <f t="shared" si="5"/>
        <v>13.590483056957464</v>
      </c>
      <c r="J19" s="135">
        <f t="shared" si="2"/>
        <v>45.24</v>
      </c>
      <c r="K19" s="133">
        <f t="shared" si="6"/>
        <v>0.73</v>
      </c>
      <c r="L19" s="124"/>
      <c r="N19" s="136"/>
      <c r="O19" s="138"/>
      <c r="P19" s="170">
        <f t="shared" si="7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5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D21:G28" si="15">ROUND(E20*(1+$G67),2)</f>
        <v>47.26</v>
      </c>
      <c r="F21" s="135">
        <f t="shared" si="1"/>
        <v>14.197308339341506</v>
      </c>
      <c r="G21" s="133">
        <f t="shared" si="15"/>
        <v>0</v>
      </c>
      <c r="H21" s="133">
        <f t="shared" ref="H21" si="16">ROUND(H20*(1+$G67),2)</f>
        <v>0</v>
      </c>
      <c r="I21" s="135">
        <f t="shared" si="5"/>
        <v>14.197308339341506</v>
      </c>
      <c r="J21" s="135">
        <f t="shared" si="2"/>
        <v>47.26</v>
      </c>
      <c r="K21" s="133">
        <f t="shared" ref="K21:K28" si="17">ROUND(K20*(1+$G67),2)</f>
        <v>0.77</v>
      </c>
      <c r="L21" s="124"/>
      <c r="N21" s="136"/>
      <c r="O21" s="138"/>
      <c r="P21" s="170">
        <f t="shared" ref="P21:P28" si="18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15"/>
        <v>48.3</v>
      </c>
      <c r="F22" s="135">
        <f t="shared" si="1"/>
        <v>14.509733237202596</v>
      </c>
      <c r="G22" s="133">
        <f t="shared" si="15"/>
        <v>0</v>
      </c>
      <c r="H22" s="133">
        <f t="shared" ref="H22" si="19">ROUND(H21*(1+$G68),2)</f>
        <v>0</v>
      </c>
      <c r="I22" s="135">
        <f t="shared" si="5"/>
        <v>14.509733237202596</v>
      </c>
      <c r="J22" s="135">
        <f t="shared" si="2"/>
        <v>48.3</v>
      </c>
      <c r="K22" s="133">
        <f t="shared" si="17"/>
        <v>0.79</v>
      </c>
      <c r="L22" s="124"/>
      <c r="N22" s="136"/>
      <c r="O22" s="138"/>
      <c r="P22" s="170">
        <f t="shared" si="18"/>
        <v>0</v>
      </c>
    </row>
    <row r="23" spans="2:16">
      <c r="B23" s="141">
        <f t="shared" si="0"/>
        <v>2029</v>
      </c>
      <c r="C23" s="142"/>
      <c r="D23" s="133"/>
      <c r="E23" s="133">
        <f t="shared" si="15"/>
        <v>49.31</v>
      </c>
      <c r="F23" s="135">
        <f t="shared" si="1"/>
        <v>14.813145878394618</v>
      </c>
      <c r="G23" s="133">
        <f t="shared" si="15"/>
        <v>0</v>
      </c>
      <c r="H23" s="133">
        <f t="shared" ref="H23" si="20">ROUND(H22*(1+$G69),2)</f>
        <v>0</v>
      </c>
      <c r="I23" s="135">
        <f t="shared" si="5"/>
        <v>14.813145878394618</v>
      </c>
      <c r="J23" s="135">
        <f t="shared" si="2"/>
        <v>49.31</v>
      </c>
      <c r="K23" s="133">
        <f t="shared" si="17"/>
        <v>0.81</v>
      </c>
      <c r="L23" s="124"/>
      <c r="N23" s="136"/>
      <c r="O23" s="138"/>
      <c r="P23" s="170">
        <f t="shared" si="18"/>
        <v>0</v>
      </c>
    </row>
    <row r="24" spans="2:16">
      <c r="B24" s="141">
        <f t="shared" si="0"/>
        <v>2030</v>
      </c>
      <c r="C24" s="142"/>
      <c r="D24" s="133"/>
      <c r="E24" s="133">
        <f t="shared" si="15"/>
        <v>50.3</v>
      </c>
      <c r="F24" s="135">
        <f t="shared" si="1"/>
        <v>15.110550348473925</v>
      </c>
      <c r="G24" s="133">
        <f t="shared" si="15"/>
        <v>0</v>
      </c>
      <c r="H24" s="133">
        <f t="shared" ref="H24" si="21">ROUND(H23*(1+$G70),2)</f>
        <v>0</v>
      </c>
      <c r="I24" s="135">
        <f t="shared" si="5"/>
        <v>15.110550348473925</v>
      </c>
      <c r="J24" s="135">
        <f t="shared" si="2"/>
        <v>50.3</v>
      </c>
      <c r="K24" s="133">
        <f t="shared" si="17"/>
        <v>0.83</v>
      </c>
      <c r="L24" s="124"/>
      <c r="N24" s="136"/>
      <c r="O24" s="138"/>
      <c r="P24" s="170">
        <f t="shared" si="18"/>
        <v>0</v>
      </c>
    </row>
    <row r="25" spans="2:16">
      <c r="B25" s="141">
        <f t="shared" si="0"/>
        <v>2031</v>
      </c>
      <c r="C25" s="142"/>
      <c r="D25" s="133"/>
      <c r="E25" s="133">
        <f t="shared" si="15"/>
        <v>51.31</v>
      </c>
      <c r="F25" s="135">
        <f t="shared" si="1"/>
        <v>15.413962989665947</v>
      </c>
      <c r="G25" s="133">
        <f t="shared" si="15"/>
        <v>0</v>
      </c>
      <c r="H25" s="133">
        <f t="shared" ref="H25" si="22">ROUND(H24*(1+$G71),2)</f>
        <v>0</v>
      </c>
      <c r="I25" s="135">
        <f t="shared" si="5"/>
        <v>15.413962989665947</v>
      </c>
      <c r="J25" s="135">
        <f t="shared" si="2"/>
        <v>51.31</v>
      </c>
      <c r="K25" s="133">
        <f t="shared" si="17"/>
        <v>0.85</v>
      </c>
      <c r="L25" s="124"/>
      <c r="N25" s="136"/>
      <c r="O25" s="138"/>
      <c r="P25" s="170">
        <f t="shared" si="18"/>
        <v>0</v>
      </c>
    </row>
    <row r="26" spans="2:16">
      <c r="B26" s="141">
        <f t="shared" si="0"/>
        <v>2032</v>
      </c>
      <c r="C26" s="142"/>
      <c r="D26" s="133"/>
      <c r="E26" s="133">
        <f t="shared" si="15"/>
        <v>52.34</v>
      </c>
      <c r="F26" s="135">
        <f t="shared" si="1"/>
        <v>15.723383801970682</v>
      </c>
      <c r="G26" s="133">
        <f t="shared" si="15"/>
        <v>0</v>
      </c>
      <c r="H26" s="133">
        <f t="shared" ref="H26" si="23">ROUND(H25*(1+$G72),2)</f>
        <v>0</v>
      </c>
      <c r="I26" s="135">
        <f t="shared" si="5"/>
        <v>15.723383801970682</v>
      </c>
      <c r="J26" s="135">
        <f t="shared" si="2"/>
        <v>52.34</v>
      </c>
      <c r="K26" s="133">
        <f t="shared" si="17"/>
        <v>0.87</v>
      </c>
      <c r="L26" s="124"/>
      <c r="N26" s="136"/>
      <c r="O26" s="138"/>
      <c r="P26" s="170">
        <f t="shared" si="18"/>
        <v>0</v>
      </c>
    </row>
    <row r="27" spans="2:16">
      <c r="B27" s="141">
        <f t="shared" si="0"/>
        <v>2033</v>
      </c>
      <c r="C27" s="132">
        <f>$C$55</f>
        <v>1420.0408201737057</v>
      </c>
      <c r="D27" s="133">
        <f>C27*$C$62</f>
        <v>100.90797696748666</v>
      </c>
      <c r="E27" s="133">
        <f t="shared" si="15"/>
        <v>53.39</v>
      </c>
      <c r="F27" s="135">
        <f t="shared" si="1"/>
        <v>46.352432398307698</v>
      </c>
      <c r="G27" s="133">
        <f t="shared" si="15"/>
        <v>0</v>
      </c>
      <c r="H27" s="133">
        <f t="shared" ref="H27" si="24">ROUND(H26*(1+$G73),2)</f>
        <v>0</v>
      </c>
      <c r="I27" s="135">
        <f t="shared" si="5"/>
        <v>46.352432398307698</v>
      </c>
      <c r="J27" s="135">
        <f t="shared" si="2"/>
        <v>154.30000000000001</v>
      </c>
      <c r="K27" s="133">
        <f t="shared" si="17"/>
        <v>0.89</v>
      </c>
      <c r="L27" s="124"/>
      <c r="P27" s="170">
        <f t="shared" si="18"/>
        <v>0</v>
      </c>
    </row>
    <row r="28" spans="2:16">
      <c r="B28" s="141">
        <f t="shared" si="0"/>
        <v>2034</v>
      </c>
      <c r="C28" s="142"/>
      <c r="D28" s="133">
        <f t="shared" si="15"/>
        <v>102.93</v>
      </c>
      <c r="E28" s="133">
        <f t="shared" si="15"/>
        <v>54.46</v>
      </c>
      <c r="F28" s="135">
        <f t="shared" si="1"/>
        <v>47.281302571497243</v>
      </c>
      <c r="G28" s="133">
        <f t="shared" si="15"/>
        <v>0</v>
      </c>
      <c r="H28" s="133">
        <f t="shared" ref="H28" si="25">ROUND(H27*(1+$G74),2)</f>
        <v>0</v>
      </c>
      <c r="I28" s="135">
        <f t="shared" si="5"/>
        <v>47.281302571497243</v>
      </c>
      <c r="J28" s="135">
        <f t="shared" si="2"/>
        <v>157.38999999999999</v>
      </c>
      <c r="K28" s="133">
        <f t="shared" si="17"/>
        <v>0.91</v>
      </c>
      <c r="L28" s="124"/>
      <c r="P28" s="170">
        <f t="shared" si="18"/>
        <v>0</v>
      </c>
    </row>
    <row r="29" spans="2:16">
      <c r="B29" s="141">
        <f t="shared" si="0"/>
        <v>2035</v>
      </c>
      <c r="C29" s="142"/>
      <c r="D29" s="133">
        <f t="shared" ref="D29:E36" si="26">ROUND(D28*(1+$K66),2)</f>
        <v>104.99</v>
      </c>
      <c r="E29" s="133">
        <f t="shared" si="26"/>
        <v>55.55</v>
      </c>
      <c r="F29" s="135">
        <f t="shared" si="1"/>
        <v>48.227589521749579</v>
      </c>
      <c r="G29" s="133">
        <f t="shared" ref="G29:H36" si="27">ROUND(G28*(1+$K66),2)</f>
        <v>0</v>
      </c>
      <c r="H29" s="133">
        <f t="shared" si="27"/>
        <v>0</v>
      </c>
      <c r="I29" s="135">
        <f t="shared" si="5"/>
        <v>48.227589521749579</v>
      </c>
      <c r="J29" s="135">
        <f t="shared" si="2"/>
        <v>160.54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26"/>
        <v>107.09</v>
      </c>
      <c r="E30" s="133">
        <f t="shared" si="26"/>
        <v>56.66</v>
      </c>
      <c r="F30" s="135">
        <f t="shared" si="1"/>
        <v>49.191900985340069</v>
      </c>
      <c r="G30" s="133">
        <f t="shared" si="27"/>
        <v>0</v>
      </c>
      <c r="H30" s="133">
        <f t="shared" si="27"/>
        <v>0</v>
      </c>
      <c r="I30" s="135">
        <f t="shared" si="5"/>
        <v>49.191900985340069</v>
      </c>
      <c r="J30" s="135">
        <f t="shared" si="2"/>
        <v>163.75</v>
      </c>
      <c r="K30" s="133">
        <f t="shared" ref="K30:K36" si="28">ROUND(K29*(1+$K67),2)</f>
        <v>0.95</v>
      </c>
      <c r="L30" s="124"/>
      <c r="P30" s="170">
        <f t="shared" ref="P30:P36" si="29">ROUND(P29*(1+$K67),2)</f>
        <v>0</v>
      </c>
    </row>
    <row r="31" spans="2:16">
      <c r="B31" s="141">
        <f t="shared" si="0"/>
        <v>2037</v>
      </c>
      <c r="C31" s="142"/>
      <c r="D31" s="133">
        <f t="shared" si="26"/>
        <v>109.34</v>
      </c>
      <c r="E31" s="133">
        <f t="shared" si="26"/>
        <v>57.85</v>
      </c>
      <c r="F31" s="135">
        <f t="shared" si="1"/>
        <v>50.225306416726752</v>
      </c>
      <c r="G31" s="133">
        <f t="shared" si="27"/>
        <v>0</v>
      </c>
      <c r="H31" s="133">
        <f t="shared" si="27"/>
        <v>0</v>
      </c>
      <c r="I31" s="135">
        <f t="shared" si="5"/>
        <v>50.225306416726752</v>
      </c>
      <c r="J31" s="135">
        <f t="shared" si="2"/>
        <v>167.19</v>
      </c>
      <c r="K31" s="133">
        <f t="shared" si="28"/>
        <v>0.97</v>
      </c>
      <c r="L31" s="124"/>
      <c r="P31" s="170">
        <f t="shared" si="29"/>
        <v>0</v>
      </c>
    </row>
    <row r="32" spans="2:16">
      <c r="B32" s="141">
        <f t="shared" si="0"/>
        <v>2038</v>
      </c>
      <c r="C32" s="142"/>
      <c r="D32" s="133">
        <f t="shared" si="26"/>
        <v>111.64</v>
      </c>
      <c r="E32" s="133">
        <f t="shared" si="26"/>
        <v>59.06</v>
      </c>
      <c r="F32" s="135">
        <f t="shared" si="1"/>
        <v>51.279740447007931</v>
      </c>
      <c r="G32" s="133">
        <f t="shared" si="27"/>
        <v>0</v>
      </c>
      <c r="H32" s="133">
        <f t="shared" si="27"/>
        <v>0</v>
      </c>
      <c r="I32" s="135">
        <f t="shared" si="5"/>
        <v>51.279740447007931</v>
      </c>
      <c r="J32" s="135">
        <f t="shared" si="2"/>
        <v>170.7</v>
      </c>
      <c r="K32" s="133">
        <f t="shared" si="28"/>
        <v>0.99</v>
      </c>
      <c r="L32" s="124"/>
      <c r="P32" s="170">
        <f t="shared" si="29"/>
        <v>0</v>
      </c>
    </row>
    <row r="33" spans="2:16">
      <c r="B33" s="141">
        <f t="shared" si="0"/>
        <v>2039</v>
      </c>
      <c r="C33" s="142"/>
      <c r="D33" s="133">
        <f t="shared" si="26"/>
        <v>113.98</v>
      </c>
      <c r="E33" s="133">
        <f t="shared" si="26"/>
        <v>60.3</v>
      </c>
      <c r="F33" s="135">
        <f t="shared" si="1"/>
        <v>52.355203076183614</v>
      </c>
      <c r="G33" s="133">
        <f t="shared" si="27"/>
        <v>0</v>
      </c>
      <c r="H33" s="133">
        <f t="shared" si="27"/>
        <v>0</v>
      </c>
      <c r="I33" s="135">
        <f t="shared" si="5"/>
        <v>52.355203076183614</v>
      </c>
      <c r="J33" s="135">
        <f t="shared" si="2"/>
        <v>174.28</v>
      </c>
      <c r="K33" s="133">
        <f t="shared" si="28"/>
        <v>1.01</v>
      </c>
      <c r="L33" s="124"/>
      <c r="P33" s="170">
        <f t="shared" si="29"/>
        <v>0</v>
      </c>
    </row>
    <row r="34" spans="2:16">
      <c r="B34" s="141">
        <f t="shared" si="0"/>
        <v>2040</v>
      </c>
      <c r="C34" s="142"/>
      <c r="D34" s="133">
        <f t="shared" si="26"/>
        <v>116.37</v>
      </c>
      <c r="E34" s="133">
        <f t="shared" si="26"/>
        <v>61.57</v>
      </c>
      <c r="F34" s="135">
        <f t="shared" si="1"/>
        <v>53.454698389810147</v>
      </c>
      <c r="G34" s="133">
        <f t="shared" si="27"/>
        <v>0</v>
      </c>
      <c r="H34" s="133">
        <f t="shared" si="27"/>
        <v>0</v>
      </c>
      <c r="I34" s="135">
        <f t="shared" si="5"/>
        <v>53.454698389810147</v>
      </c>
      <c r="J34" s="135">
        <f t="shared" si="2"/>
        <v>177.94</v>
      </c>
      <c r="K34" s="133">
        <f t="shared" si="28"/>
        <v>1.03</v>
      </c>
      <c r="L34" s="124"/>
      <c r="P34" s="170">
        <f t="shared" si="29"/>
        <v>0</v>
      </c>
    </row>
    <row r="35" spans="2:16">
      <c r="B35" s="141">
        <f t="shared" si="0"/>
        <v>2041</v>
      </c>
      <c r="C35" s="142"/>
      <c r="D35" s="133">
        <f t="shared" si="26"/>
        <v>118.93</v>
      </c>
      <c r="E35" s="133">
        <f t="shared" si="26"/>
        <v>62.92</v>
      </c>
      <c r="F35" s="135">
        <f t="shared" si="1"/>
        <v>54.629295842345599</v>
      </c>
      <c r="G35" s="133">
        <f t="shared" si="27"/>
        <v>0</v>
      </c>
      <c r="H35" s="133">
        <f t="shared" si="27"/>
        <v>0</v>
      </c>
      <c r="I35" s="135">
        <f t="shared" si="5"/>
        <v>54.629295842345599</v>
      </c>
      <c r="J35" s="135">
        <f t="shared" si="2"/>
        <v>181.85</v>
      </c>
      <c r="K35" s="133">
        <f t="shared" si="28"/>
        <v>1.05</v>
      </c>
      <c r="L35" s="124"/>
      <c r="P35" s="170">
        <f t="shared" si="29"/>
        <v>0</v>
      </c>
    </row>
    <row r="36" spans="2:16">
      <c r="B36" s="141">
        <f t="shared" si="0"/>
        <v>2042</v>
      </c>
      <c r="C36" s="142"/>
      <c r="D36" s="133">
        <f t="shared" si="26"/>
        <v>121.55</v>
      </c>
      <c r="E36" s="133">
        <f t="shared" si="26"/>
        <v>64.3</v>
      </c>
      <c r="F36" s="135">
        <f t="shared" si="1"/>
        <v>55.83093006488825</v>
      </c>
      <c r="G36" s="133">
        <f t="shared" si="27"/>
        <v>0</v>
      </c>
      <c r="H36" s="133">
        <f t="shared" si="27"/>
        <v>0</v>
      </c>
      <c r="I36" s="135">
        <f t="shared" si="5"/>
        <v>55.83093006488825</v>
      </c>
      <c r="J36" s="135">
        <f t="shared" si="2"/>
        <v>185.85</v>
      </c>
      <c r="K36" s="133">
        <f t="shared" si="28"/>
        <v>1.07</v>
      </c>
      <c r="L36" s="124"/>
      <c r="P36" s="170">
        <f t="shared" si="29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">
        <v>117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1420.0408201737057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30">C66+1</f>
        <v>2018</v>
      </c>
      <c r="D67" s="41">
        <v>2.3E-2</v>
      </c>
      <c r="E67" s="86"/>
      <c r="F67" s="88">
        <f t="shared" ref="F67:F74" si="31">F66+1</f>
        <v>2027</v>
      </c>
      <c r="G67" s="41">
        <v>2.1999999999999999E-2</v>
      </c>
      <c r="H67" s="86"/>
      <c r="I67" s="88">
        <f t="shared" ref="I67:I74" si="32">I66+1</f>
        <v>2036</v>
      </c>
      <c r="J67" s="88"/>
      <c r="K67" s="41">
        <v>0.02</v>
      </c>
    </row>
    <row r="68" spans="3:11">
      <c r="C68" s="88">
        <f t="shared" si="30"/>
        <v>2019</v>
      </c>
      <c r="D68" s="41">
        <v>2.1999999999999999E-2</v>
      </c>
      <c r="E68" s="86"/>
      <c r="F68" s="88">
        <f t="shared" si="31"/>
        <v>2028</v>
      </c>
      <c r="G68" s="41">
        <v>2.1999999999999999E-2</v>
      </c>
      <c r="H68" s="86"/>
      <c r="I68" s="88">
        <f t="shared" si="32"/>
        <v>2037</v>
      </c>
      <c r="J68" s="88"/>
      <c r="K68" s="41">
        <v>2.1000000000000001E-2</v>
      </c>
    </row>
    <row r="69" spans="3:11">
      <c r="C69" s="88">
        <f t="shared" si="30"/>
        <v>2020</v>
      </c>
      <c r="D69" s="41">
        <v>2.5000000000000001E-2</v>
      </c>
      <c r="E69" s="86"/>
      <c r="F69" s="88">
        <f t="shared" si="31"/>
        <v>2029</v>
      </c>
      <c r="G69" s="41">
        <v>2.1000000000000001E-2</v>
      </c>
      <c r="H69" s="86"/>
      <c r="I69" s="88">
        <f t="shared" si="32"/>
        <v>2038</v>
      </c>
      <c r="J69" s="88"/>
      <c r="K69" s="41">
        <v>2.1000000000000001E-2</v>
      </c>
    </row>
    <row r="70" spans="3:11">
      <c r="C70" s="88">
        <f t="shared" si="30"/>
        <v>2021</v>
      </c>
      <c r="D70" s="41">
        <v>2.4E-2</v>
      </c>
      <c r="E70" s="86"/>
      <c r="F70" s="88">
        <f t="shared" si="31"/>
        <v>2030</v>
      </c>
      <c r="G70" s="41">
        <v>0.02</v>
      </c>
      <c r="H70" s="86"/>
      <c r="I70" s="88">
        <f t="shared" si="32"/>
        <v>2039</v>
      </c>
      <c r="J70" s="88"/>
      <c r="K70" s="41">
        <v>2.1000000000000001E-2</v>
      </c>
    </row>
    <row r="71" spans="3:11">
      <c r="C71" s="88">
        <f t="shared" si="30"/>
        <v>2022</v>
      </c>
      <c r="D71" s="41">
        <v>2.4E-2</v>
      </c>
      <c r="E71" s="86"/>
      <c r="F71" s="88">
        <f t="shared" si="31"/>
        <v>2031</v>
      </c>
      <c r="G71" s="41">
        <v>0.02</v>
      </c>
      <c r="H71" s="86"/>
      <c r="I71" s="88">
        <f t="shared" si="32"/>
        <v>2040</v>
      </c>
      <c r="J71" s="88"/>
      <c r="K71" s="41">
        <v>2.1000000000000001E-2</v>
      </c>
    </row>
    <row r="72" spans="3:11" s="124" customFormat="1">
      <c r="C72" s="88">
        <f t="shared" si="30"/>
        <v>2023</v>
      </c>
      <c r="D72" s="41">
        <v>2.4E-2</v>
      </c>
      <c r="E72" s="87"/>
      <c r="F72" s="88">
        <f t="shared" si="31"/>
        <v>2032</v>
      </c>
      <c r="G72" s="41">
        <v>0.02</v>
      </c>
      <c r="H72" s="87"/>
      <c r="I72" s="88">
        <f t="shared" si="32"/>
        <v>2041</v>
      </c>
      <c r="J72" s="88"/>
      <c r="K72" s="41">
        <v>2.1999999999999999E-2</v>
      </c>
    </row>
    <row r="73" spans="3:11" s="124" customFormat="1">
      <c r="C73" s="88">
        <f t="shared" si="30"/>
        <v>2024</v>
      </c>
      <c r="D73" s="41">
        <v>2.3E-2</v>
      </c>
      <c r="E73" s="87"/>
      <c r="F73" s="88">
        <f t="shared" si="31"/>
        <v>2033</v>
      </c>
      <c r="G73" s="41">
        <v>0.02</v>
      </c>
      <c r="H73" s="87"/>
      <c r="I73" s="88">
        <f t="shared" si="32"/>
        <v>2042</v>
      </c>
      <c r="J73" s="88"/>
      <c r="K73" s="41">
        <v>2.1999999999999999E-2</v>
      </c>
    </row>
    <row r="74" spans="3:11" s="124" customFormat="1">
      <c r="C74" s="88">
        <f t="shared" si="30"/>
        <v>2025</v>
      </c>
      <c r="D74" s="41">
        <v>2.3E-2</v>
      </c>
      <c r="E74" s="87"/>
      <c r="F74" s="88">
        <f t="shared" si="31"/>
        <v>2034</v>
      </c>
      <c r="G74" s="41">
        <v>0.02</v>
      </c>
      <c r="H74" s="87"/>
      <c r="I74" s="88">
        <f t="shared" si="32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>
      <selection activeCell="A12" sqref="A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88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14.151568714096333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14.151568714096333</v>
      </c>
      <c r="J12" s="135">
        <f t="shared" si="3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14.464575047871559</v>
      </c>
      <c r="G13" s="133">
        <f t="shared" si="5"/>
        <v>0</v>
      </c>
      <c r="H13" s="143">
        <f t="shared" si="5"/>
        <v>0</v>
      </c>
      <c r="I13" s="135">
        <f t="shared" si="2"/>
        <v>14.464575047871559</v>
      </c>
      <c r="J13" s="135">
        <f t="shared" si="3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14.82545293857711</v>
      </c>
      <c r="G14" s="133">
        <f t="shared" si="5"/>
        <v>0</v>
      </c>
      <c r="H14" s="143">
        <f t="shared" si="5"/>
        <v>0</v>
      </c>
      <c r="I14" s="135">
        <f t="shared" si="2"/>
        <v>14.82545293857711</v>
      </c>
      <c r="J14" s="135">
        <f t="shared" si="3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15.182648401826484</v>
      </c>
      <c r="G15" s="133">
        <f t="shared" si="5"/>
        <v>0</v>
      </c>
      <c r="H15" s="143">
        <f t="shared" si="5"/>
        <v>0</v>
      </c>
      <c r="I15" s="135">
        <f t="shared" si="2"/>
        <v>15.182648401826484</v>
      </c>
      <c r="J15" s="135">
        <f t="shared" si="3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15.547208719988218</v>
      </c>
      <c r="G16" s="133">
        <f t="shared" si="5"/>
        <v>0</v>
      </c>
      <c r="H16" s="143">
        <f t="shared" si="5"/>
        <v>0</v>
      </c>
      <c r="I16" s="135">
        <f t="shared" si="2"/>
        <v>15.547208719988218</v>
      </c>
      <c r="J16" s="135">
        <f t="shared" si="3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15.919133893062307</v>
      </c>
      <c r="G17" s="133">
        <f t="shared" si="5"/>
        <v>0</v>
      </c>
      <c r="H17" s="143">
        <f t="shared" si="5"/>
        <v>0</v>
      </c>
      <c r="I17" s="135">
        <f t="shared" si="2"/>
        <v>15.919133893062307</v>
      </c>
      <c r="J17" s="135">
        <f t="shared" si="3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16.283694211224041</v>
      </c>
      <c r="G18" s="133">
        <f t="shared" si="5"/>
        <v>0</v>
      </c>
      <c r="H18" s="143">
        <f t="shared" si="5"/>
        <v>0</v>
      </c>
      <c r="I18" s="135">
        <f t="shared" si="2"/>
        <v>16.283694211224041</v>
      </c>
      <c r="J18" s="135">
        <f t="shared" si="3"/>
        <v>44.22</v>
      </c>
      <c r="K18" s="133">
        <f t="shared" si="6"/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16.659301811754311</v>
      </c>
      <c r="G19" s="133">
        <f t="shared" si="5"/>
        <v>0</v>
      </c>
      <c r="H19" s="143">
        <f t="shared" si="5"/>
        <v>0</v>
      </c>
      <c r="I19" s="135">
        <f t="shared" si="2"/>
        <v>16.659301811754311</v>
      </c>
      <c r="J19" s="135">
        <f t="shared" si="3"/>
        <v>45.24</v>
      </c>
      <c r="K19" s="133">
        <f t="shared" si="6"/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46.24</v>
      </c>
      <c r="F20" s="135">
        <f t="shared" si="1"/>
        <v>17.02754455737222</v>
      </c>
      <c r="G20" s="133">
        <f t="shared" ref="G20:H28" si="9">ROUND(G19*(1+$G66),2)</f>
        <v>0</v>
      </c>
      <c r="H20" s="143">
        <f t="shared" si="9"/>
        <v>0</v>
      </c>
      <c r="I20" s="135">
        <f t="shared" si="2"/>
        <v>17.02754455737222</v>
      </c>
      <c r="J20" s="135">
        <f t="shared" si="3"/>
        <v>46.24</v>
      </c>
      <c r="K20" s="133">
        <f t="shared" ref="K20:K28" si="10">ROUND(K19*(1+$G66),2)</f>
        <v>0.75</v>
      </c>
      <c r="L20" s="124"/>
      <c r="P20" s="170">
        <f t="shared" ref="P20:P28" si="11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47.26</v>
      </c>
      <c r="F21" s="135">
        <f t="shared" si="1"/>
        <v>17.40315215790249</v>
      </c>
      <c r="G21" s="133">
        <f t="shared" si="9"/>
        <v>0</v>
      </c>
      <c r="H21" s="143">
        <f t="shared" si="9"/>
        <v>0</v>
      </c>
      <c r="I21" s="135">
        <f t="shared" si="2"/>
        <v>17.40315215790249</v>
      </c>
      <c r="J21" s="135">
        <f t="shared" si="3"/>
        <v>47.26</v>
      </c>
      <c r="K21" s="133">
        <f t="shared" si="10"/>
        <v>0.77</v>
      </c>
      <c r="L21" s="124"/>
      <c r="P21" s="170">
        <f t="shared" si="11"/>
        <v>0</v>
      </c>
    </row>
    <row r="22" spans="2:17">
      <c r="B22" s="141">
        <f t="shared" si="0"/>
        <v>2028</v>
      </c>
      <c r="C22" s="142"/>
      <c r="D22" s="133"/>
      <c r="E22" s="133">
        <f t="shared" si="8"/>
        <v>48.3</v>
      </c>
      <c r="F22" s="135">
        <f t="shared" si="1"/>
        <v>17.786124613345116</v>
      </c>
      <c r="G22" s="133">
        <f t="shared" si="9"/>
        <v>0</v>
      </c>
      <c r="H22" s="143">
        <f t="shared" si="9"/>
        <v>0</v>
      </c>
      <c r="I22" s="135">
        <f t="shared" si="2"/>
        <v>17.786124613345116</v>
      </c>
      <c r="J22" s="135">
        <f t="shared" si="3"/>
        <v>48.3</v>
      </c>
      <c r="K22" s="133">
        <f t="shared" si="10"/>
        <v>0.79</v>
      </c>
      <c r="L22" s="124"/>
      <c r="P22" s="170">
        <f t="shared" si="11"/>
        <v>0</v>
      </c>
    </row>
    <row r="23" spans="2:17">
      <c r="B23" s="141">
        <f t="shared" si="0"/>
        <v>2029</v>
      </c>
      <c r="C23" s="142"/>
      <c r="D23" s="133"/>
      <c r="E23" s="133">
        <f t="shared" si="8"/>
        <v>49.31</v>
      </c>
      <c r="F23" s="135">
        <f t="shared" si="1"/>
        <v>18.158049786419209</v>
      </c>
      <c r="G23" s="133">
        <f t="shared" si="9"/>
        <v>0</v>
      </c>
      <c r="H23" s="143">
        <f t="shared" si="9"/>
        <v>0</v>
      </c>
      <c r="I23" s="135">
        <f t="shared" si="2"/>
        <v>18.158049786419209</v>
      </c>
      <c r="J23" s="135">
        <f t="shared" si="3"/>
        <v>49.31</v>
      </c>
      <c r="K23" s="133">
        <f t="shared" si="10"/>
        <v>0.81</v>
      </c>
      <c r="L23" s="124"/>
      <c r="P23" s="170">
        <f t="shared" si="11"/>
        <v>0</v>
      </c>
    </row>
    <row r="24" spans="2:17">
      <c r="B24" s="141">
        <f t="shared" si="0"/>
        <v>2030</v>
      </c>
      <c r="C24" s="142"/>
      <c r="D24" s="133"/>
      <c r="E24" s="133">
        <f t="shared" si="8"/>
        <v>50.3</v>
      </c>
      <c r="F24" s="135">
        <f t="shared" si="1"/>
        <v>18.522610104580941</v>
      </c>
      <c r="G24" s="133">
        <f t="shared" si="9"/>
        <v>0</v>
      </c>
      <c r="H24" s="143">
        <f t="shared" si="9"/>
        <v>0</v>
      </c>
      <c r="I24" s="135">
        <f t="shared" si="2"/>
        <v>18.522610104580941</v>
      </c>
      <c r="J24" s="135">
        <f t="shared" si="3"/>
        <v>50.3</v>
      </c>
      <c r="K24" s="133">
        <f t="shared" si="10"/>
        <v>0.83</v>
      </c>
      <c r="L24" s="124"/>
      <c r="P24" s="170">
        <f t="shared" si="11"/>
        <v>0</v>
      </c>
    </row>
    <row r="25" spans="2:17">
      <c r="B25" s="141">
        <f t="shared" si="0"/>
        <v>2031</v>
      </c>
      <c r="C25" s="142"/>
      <c r="D25" s="133"/>
      <c r="E25" s="133">
        <f t="shared" si="8"/>
        <v>51.31</v>
      </c>
      <c r="F25" s="135">
        <f t="shared" si="1"/>
        <v>18.894535277655031</v>
      </c>
      <c r="G25" s="133">
        <f t="shared" si="9"/>
        <v>0</v>
      </c>
      <c r="H25" s="143">
        <f t="shared" si="9"/>
        <v>0</v>
      </c>
      <c r="I25" s="135">
        <f t="shared" si="2"/>
        <v>18.894535277655031</v>
      </c>
      <c r="J25" s="135">
        <f t="shared" si="3"/>
        <v>51.31</v>
      </c>
      <c r="K25" s="133">
        <f t="shared" si="10"/>
        <v>0.85</v>
      </c>
      <c r="L25" s="124"/>
      <c r="P25" s="170">
        <f t="shared" si="11"/>
        <v>0</v>
      </c>
    </row>
    <row r="26" spans="2:17">
      <c r="B26" s="141">
        <f t="shared" si="0"/>
        <v>2032</v>
      </c>
      <c r="C26" s="142"/>
      <c r="D26" s="133"/>
      <c r="E26" s="133">
        <f t="shared" si="8"/>
        <v>52.34</v>
      </c>
      <c r="F26" s="135">
        <f t="shared" si="1"/>
        <v>19.273825305641481</v>
      </c>
      <c r="G26" s="133">
        <f t="shared" si="9"/>
        <v>0</v>
      </c>
      <c r="H26" s="143">
        <f t="shared" si="9"/>
        <v>0</v>
      </c>
      <c r="I26" s="135">
        <f t="shared" si="2"/>
        <v>19.273825305641481</v>
      </c>
      <c r="J26" s="135">
        <f t="shared" si="3"/>
        <v>52.34</v>
      </c>
      <c r="K26" s="133">
        <f t="shared" si="10"/>
        <v>0.87</v>
      </c>
      <c r="L26" s="124"/>
      <c r="P26" s="170">
        <f t="shared" si="11"/>
        <v>0</v>
      </c>
    </row>
    <row r="27" spans="2:17">
      <c r="B27" s="141">
        <f t="shared" si="0"/>
        <v>2033</v>
      </c>
      <c r="C27" s="142"/>
      <c r="D27" s="133"/>
      <c r="E27" s="133">
        <f t="shared" si="8"/>
        <v>53.39</v>
      </c>
      <c r="F27" s="135">
        <f t="shared" si="1"/>
        <v>19.660480188540287</v>
      </c>
      <c r="G27" s="133">
        <f t="shared" si="9"/>
        <v>0</v>
      </c>
      <c r="H27" s="143">
        <f t="shared" si="9"/>
        <v>0</v>
      </c>
      <c r="I27" s="135">
        <f t="shared" si="2"/>
        <v>19.660480188540287</v>
      </c>
      <c r="J27" s="135">
        <f t="shared" si="3"/>
        <v>53.39</v>
      </c>
      <c r="K27" s="133">
        <f t="shared" si="10"/>
        <v>0.89</v>
      </c>
      <c r="L27" s="124"/>
      <c r="P27" s="170">
        <f t="shared" si="11"/>
        <v>0</v>
      </c>
    </row>
    <row r="28" spans="2:17">
      <c r="B28" s="141">
        <f t="shared" si="0"/>
        <v>2034</v>
      </c>
      <c r="C28" s="142"/>
      <c r="D28" s="133"/>
      <c r="E28" s="133">
        <f t="shared" si="8"/>
        <v>54.46</v>
      </c>
      <c r="F28" s="135">
        <f t="shared" si="1"/>
        <v>20.054499926351454</v>
      </c>
      <c r="G28" s="133">
        <f t="shared" si="9"/>
        <v>0</v>
      </c>
      <c r="H28" s="143">
        <f t="shared" si="9"/>
        <v>0</v>
      </c>
      <c r="I28" s="135">
        <f t="shared" si="2"/>
        <v>20.054499926351454</v>
      </c>
      <c r="J28" s="135">
        <f t="shared" si="3"/>
        <v>54.46</v>
      </c>
      <c r="K28" s="133">
        <f t="shared" si="10"/>
        <v>0.91</v>
      </c>
      <c r="L28" s="124"/>
      <c r="P28" s="170">
        <f t="shared" si="11"/>
        <v>0</v>
      </c>
    </row>
    <row r="29" spans="2:17">
      <c r="B29" s="141">
        <f t="shared" si="0"/>
        <v>2035</v>
      </c>
      <c r="C29" s="142"/>
      <c r="D29" s="133"/>
      <c r="E29" s="133">
        <f t="shared" ref="D29:E36" si="12">ROUND(E28*(1+$K66),2)</f>
        <v>55.55</v>
      </c>
      <c r="F29" s="135">
        <f t="shared" si="1"/>
        <v>20.455884519074974</v>
      </c>
      <c r="G29" s="133">
        <f>ROUND(G28*(1+$K66),2)</f>
        <v>0</v>
      </c>
      <c r="H29" s="143">
        <f>ROUND(H28*(1+$K66),2)</f>
        <v>0</v>
      </c>
      <c r="I29" s="135">
        <f t="shared" si="2"/>
        <v>20.455884519074974</v>
      </c>
      <c r="J29" s="135">
        <f t="shared" si="3"/>
        <v>55.55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>
        <f>$C$55</f>
        <v>1369.7572941249264</v>
      </c>
      <c r="D30" s="133">
        <f>C30*$C$62</f>
        <v>97.334833987164757</v>
      </c>
      <c r="E30" s="133">
        <f t="shared" si="12"/>
        <v>56.66</v>
      </c>
      <c r="F30" s="135">
        <f t="shared" si="1"/>
        <v>56.707480478408002</v>
      </c>
      <c r="G30" s="133">
        <f t="shared" ref="G30:H36" si="13">ROUND(G29*(1+$K67),2)</f>
        <v>0</v>
      </c>
      <c r="H30" s="143">
        <f t="shared" si="13"/>
        <v>0</v>
      </c>
      <c r="I30" s="135">
        <f t="shared" si="2"/>
        <v>56.707480478408002</v>
      </c>
      <c r="J30" s="135">
        <f t="shared" si="3"/>
        <v>153.99</v>
      </c>
      <c r="K30" s="133">
        <f t="shared" ref="K30:K36" si="14">ROUND(K29*(1+$K67),2)</f>
        <v>0.95</v>
      </c>
      <c r="L30" s="124"/>
      <c r="P30" s="170">
        <f t="shared" ref="P30:P36" si="15">ROUND(P29*(1+$K67),2)</f>
        <v>0</v>
      </c>
    </row>
    <row r="31" spans="2:17">
      <c r="B31" s="141">
        <f t="shared" si="0"/>
        <v>2037</v>
      </c>
      <c r="C31" s="142"/>
      <c r="D31" s="133">
        <f t="shared" si="12"/>
        <v>99.38</v>
      </c>
      <c r="E31" s="133">
        <f t="shared" si="12"/>
        <v>57.85</v>
      </c>
      <c r="F31" s="135">
        <f t="shared" si="1"/>
        <v>57.898806893504201</v>
      </c>
      <c r="G31" s="133">
        <f t="shared" si="13"/>
        <v>0</v>
      </c>
      <c r="H31" s="143">
        <f t="shared" si="13"/>
        <v>0</v>
      </c>
      <c r="I31" s="135">
        <f t="shared" si="2"/>
        <v>57.898806893504201</v>
      </c>
      <c r="J31" s="135">
        <f t="shared" si="3"/>
        <v>157.22999999999999</v>
      </c>
      <c r="K31" s="133">
        <f t="shared" si="14"/>
        <v>0.97</v>
      </c>
      <c r="L31" s="124"/>
      <c r="P31" s="170">
        <f t="shared" si="15"/>
        <v>0</v>
      </c>
    </row>
    <row r="32" spans="2:17">
      <c r="B32" s="141">
        <f t="shared" si="0"/>
        <v>2038</v>
      </c>
      <c r="C32" s="142"/>
      <c r="D32" s="133">
        <f t="shared" si="12"/>
        <v>101.47</v>
      </c>
      <c r="E32" s="133">
        <f t="shared" si="12"/>
        <v>59.06</v>
      </c>
      <c r="F32" s="135">
        <f t="shared" si="1"/>
        <v>59.114007954043309</v>
      </c>
      <c r="G32" s="133">
        <f t="shared" si="13"/>
        <v>0</v>
      </c>
      <c r="H32" s="143">
        <f t="shared" si="13"/>
        <v>0</v>
      </c>
      <c r="I32" s="135">
        <f t="shared" si="2"/>
        <v>59.114007954043309</v>
      </c>
      <c r="J32" s="135">
        <f t="shared" si="3"/>
        <v>160.53</v>
      </c>
      <c r="K32" s="133">
        <f t="shared" si="14"/>
        <v>0.99</v>
      </c>
      <c r="L32" s="124"/>
      <c r="P32" s="170">
        <f t="shared" si="15"/>
        <v>0</v>
      </c>
    </row>
    <row r="33" spans="2:16">
      <c r="B33" s="141">
        <f t="shared" si="0"/>
        <v>2039</v>
      </c>
      <c r="C33" s="142"/>
      <c r="D33" s="133">
        <f t="shared" si="12"/>
        <v>103.6</v>
      </c>
      <c r="E33" s="133">
        <f t="shared" si="12"/>
        <v>60.3</v>
      </c>
      <c r="F33" s="135">
        <f t="shared" si="1"/>
        <v>60.354986006775661</v>
      </c>
      <c r="G33" s="133">
        <f t="shared" si="13"/>
        <v>0</v>
      </c>
      <c r="H33" s="143">
        <f t="shared" si="13"/>
        <v>0</v>
      </c>
      <c r="I33" s="135">
        <f t="shared" si="2"/>
        <v>60.354986006775661</v>
      </c>
      <c r="J33" s="135">
        <f t="shared" si="3"/>
        <v>163.9</v>
      </c>
      <c r="K33" s="133">
        <f t="shared" si="14"/>
        <v>1.01</v>
      </c>
      <c r="L33" s="124"/>
      <c r="P33" s="170">
        <f t="shared" si="15"/>
        <v>0</v>
      </c>
    </row>
    <row r="34" spans="2:16">
      <c r="B34" s="141">
        <f t="shared" si="0"/>
        <v>2040</v>
      </c>
      <c r="C34" s="142"/>
      <c r="D34" s="133">
        <f t="shared" si="12"/>
        <v>105.78</v>
      </c>
      <c r="E34" s="133">
        <f t="shared" si="12"/>
        <v>61.57</v>
      </c>
      <c r="F34" s="135">
        <f t="shared" si="1"/>
        <v>61.625423479157462</v>
      </c>
      <c r="G34" s="133">
        <f t="shared" si="13"/>
        <v>0</v>
      </c>
      <c r="H34" s="143">
        <f t="shared" si="13"/>
        <v>0</v>
      </c>
      <c r="I34" s="135">
        <f t="shared" si="2"/>
        <v>61.625423479157462</v>
      </c>
      <c r="J34" s="135">
        <f t="shared" si="3"/>
        <v>167.35</v>
      </c>
      <c r="K34" s="133">
        <f t="shared" si="14"/>
        <v>1.03</v>
      </c>
      <c r="L34" s="124"/>
      <c r="P34" s="170">
        <f t="shared" si="15"/>
        <v>0</v>
      </c>
    </row>
    <row r="35" spans="2:16">
      <c r="B35" s="141">
        <f t="shared" si="0"/>
        <v>2041</v>
      </c>
      <c r="C35" s="142"/>
      <c r="D35" s="133">
        <f t="shared" si="12"/>
        <v>108.11</v>
      </c>
      <c r="E35" s="133">
        <f t="shared" si="12"/>
        <v>62.92</v>
      </c>
      <c r="F35" s="135">
        <f t="shared" si="1"/>
        <v>62.980556783031382</v>
      </c>
      <c r="G35" s="133">
        <f t="shared" si="13"/>
        <v>0</v>
      </c>
      <c r="H35" s="143">
        <f t="shared" si="13"/>
        <v>0</v>
      </c>
      <c r="I35" s="135">
        <f t="shared" si="2"/>
        <v>62.980556783031382</v>
      </c>
      <c r="J35" s="135">
        <f t="shared" si="3"/>
        <v>171.03</v>
      </c>
      <c r="K35" s="133">
        <f t="shared" si="14"/>
        <v>1.05</v>
      </c>
      <c r="L35" s="124"/>
      <c r="P35" s="170">
        <f t="shared" si="15"/>
        <v>0</v>
      </c>
    </row>
    <row r="36" spans="2:16">
      <c r="B36" s="141">
        <f t="shared" si="0"/>
        <v>2042</v>
      </c>
      <c r="C36" s="142"/>
      <c r="D36" s="133">
        <f t="shared" si="12"/>
        <v>110.49</v>
      </c>
      <c r="E36" s="133">
        <f t="shared" si="12"/>
        <v>64.3</v>
      </c>
      <c r="F36" s="135">
        <f t="shared" si="1"/>
        <v>64.365149506554729</v>
      </c>
      <c r="G36" s="133">
        <f t="shared" si="13"/>
        <v>0</v>
      </c>
      <c r="H36" s="143">
        <f t="shared" si="13"/>
        <v>0</v>
      </c>
      <c r="I36" s="135">
        <f t="shared" si="2"/>
        <v>64.365149506554729</v>
      </c>
      <c r="J36" s="135">
        <f t="shared" si="3"/>
        <v>174.79</v>
      </c>
      <c r="K36" s="133">
        <f t="shared" si="14"/>
        <v>1.07</v>
      </c>
      <c r="L36" s="124"/>
      <c r="P36" s="170">
        <f t="shared" si="15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123</v>
      </c>
      <c r="C55" s="186">
        <v>1369.7572941249264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6">C66+1</f>
        <v>2018</v>
      </c>
      <c r="D67" s="41">
        <v>2.3E-2</v>
      </c>
      <c r="E67" s="86"/>
      <c r="F67" s="88">
        <f t="shared" ref="F67:F74" si="17">F66+1</f>
        <v>2027</v>
      </c>
      <c r="G67" s="41">
        <v>2.1999999999999999E-2</v>
      </c>
      <c r="H67" s="86"/>
      <c r="I67" s="88">
        <f t="shared" ref="I67:I74" si="18">I66+1</f>
        <v>2036</v>
      </c>
      <c r="J67" s="88"/>
      <c r="K67" s="41">
        <v>0.02</v>
      </c>
    </row>
    <row r="68" spans="3:11">
      <c r="C68" s="88">
        <f t="shared" si="16"/>
        <v>2019</v>
      </c>
      <c r="D68" s="41">
        <v>2.1999999999999999E-2</v>
      </c>
      <c r="E68" s="86"/>
      <c r="F68" s="88">
        <f t="shared" si="17"/>
        <v>2028</v>
      </c>
      <c r="G68" s="41">
        <v>2.1999999999999999E-2</v>
      </c>
      <c r="H68" s="86"/>
      <c r="I68" s="88">
        <f t="shared" si="18"/>
        <v>2037</v>
      </c>
      <c r="J68" s="88"/>
      <c r="K68" s="41">
        <v>2.1000000000000001E-2</v>
      </c>
    </row>
    <row r="69" spans="3:11">
      <c r="C69" s="88">
        <f t="shared" si="16"/>
        <v>2020</v>
      </c>
      <c r="D69" s="41">
        <v>2.5000000000000001E-2</v>
      </c>
      <c r="E69" s="86"/>
      <c r="F69" s="88">
        <f t="shared" si="17"/>
        <v>2029</v>
      </c>
      <c r="G69" s="41">
        <v>2.1000000000000001E-2</v>
      </c>
      <c r="H69" s="86"/>
      <c r="I69" s="88">
        <f t="shared" si="18"/>
        <v>2038</v>
      </c>
      <c r="J69" s="88"/>
      <c r="K69" s="41">
        <v>2.1000000000000001E-2</v>
      </c>
    </row>
    <row r="70" spans="3:11">
      <c r="C70" s="88">
        <f t="shared" si="16"/>
        <v>2021</v>
      </c>
      <c r="D70" s="41">
        <v>2.4E-2</v>
      </c>
      <c r="E70" s="86"/>
      <c r="F70" s="88">
        <f t="shared" si="17"/>
        <v>2030</v>
      </c>
      <c r="G70" s="41">
        <v>0.02</v>
      </c>
      <c r="H70" s="86"/>
      <c r="I70" s="88">
        <f t="shared" si="18"/>
        <v>2039</v>
      </c>
      <c r="J70" s="88"/>
      <c r="K70" s="41">
        <v>2.1000000000000001E-2</v>
      </c>
    </row>
    <row r="71" spans="3:11">
      <c r="C71" s="88">
        <f t="shared" si="16"/>
        <v>2022</v>
      </c>
      <c r="D71" s="41">
        <v>2.4E-2</v>
      </c>
      <c r="E71" s="86"/>
      <c r="F71" s="88">
        <f t="shared" si="17"/>
        <v>2031</v>
      </c>
      <c r="G71" s="41">
        <v>0.02</v>
      </c>
      <c r="H71" s="86"/>
      <c r="I71" s="88">
        <f t="shared" si="18"/>
        <v>2040</v>
      </c>
      <c r="J71" s="88"/>
      <c r="K71" s="41">
        <v>2.1000000000000001E-2</v>
      </c>
    </row>
    <row r="72" spans="3:11" s="124" customFormat="1">
      <c r="C72" s="88">
        <f t="shared" si="16"/>
        <v>2023</v>
      </c>
      <c r="D72" s="41">
        <v>2.4E-2</v>
      </c>
      <c r="E72" s="87"/>
      <c r="F72" s="88">
        <f t="shared" si="17"/>
        <v>2032</v>
      </c>
      <c r="G72" s="41">
        <v>0.02</v>
      </c>
      <c r="H72" s="87"/>
      <c r="I72" s="88">
        <f t="shared" si="18"/>
        <v>2041</v>
      </c>
      <c r="J72" s="88"/>
      <c r="K72" s="41">
        <v>2.1999999999999999E-2</v>
      </c>
    </row>
    <row r="73" spans="3:11" s="124" customFormat="1">
      <c r="C73" s="88">
        <f t="shared" si="16"/>
        <v>2024</v>
      </c>
      <c r="D73" s="41">
        <v>2.3E-2</v>
      </c>
      <c r="E73" s="87"/>
      <c r="F73" s="88">
        <f t="shared" si="17"/>
        <v>2033</v>
      </c>
      <c r="G73" s="41">
        <v>0.02</v>
      </c>
      <c r="H73" s="87"/>
      <c r="I73" s="88">
        <f t="shared" si="18"/>
        <v>2042</v>
      </c>
      <c r="J73" s="88"/>
      <c r="K73" s="41">
        <v>2.1999999999999999E-2</v>
      </c>
    </row>
    <row r="74" spans="3:11" s="124" customFormat="1">
      <c r="C74" s="88">
        <f t="shared" si="16"/>
        <v>2025</v>
      </c>
      <c r="D74" s="41">
        <v>2.3E-2</v>
      </c>
      <c r="E74" s="87"/>
      <c r="F74" s="88">
        <f t="shared" si="17"/>
        <v>2034</v>
      </c>
      <c r="G74" s="41">
        <v>0.02</v>
      </c>
      <c r="H74" s="87"/>
      <c r="I74" s="88">
        <f t="shared" si="18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50</vt:i4>
      </vt:variant>
    </vt:vector>
  </HeadingPairs>
  <TitlesOfParts>
    <vt:vector size="74" baseType="lpstr">
      <vt:lpstr>Table 1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_200_SCCT_UtahN</vt:lpstr>
      <vt:lpstr>_200_SCCT_WYNE</vt:lpstr>
      <vt:lpstr>'Table 3 TransCost D2 '!_30_Geo_West</vt:lpstr>
      <vt:lpstr>_30_Geo_West</vt:lpstr>
      <vt:lpstr>'Table 3 TransCost D2 '!_436_CCCT_WestMain</vt:lpstr>
      <vt:lpstr>_436_CCCT_WestMain</vt:lpstr>
      <vt:lpstr>_477_CCCT_WYNE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'Table 1'!Print_Area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3 TransCost D2 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2018-02-07T18:22:02Z</cp:lastPrinted>
  <dcterms:created xsi:type="dcterms:W3CDTF">2001-03-19T15:45:46Z</dcterms:created>
  <dcterms:modified xsi:type="dcterms:W3CDTF">2018-10-26T20:47:08Z</dcterms:modified>
</cp:coreProperties>
</file>