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-15" yWindow="5325" windowWidth="19230" windowHeight="1560" tabRatio="928"/>
  </bookViews>
  <sheets>
    <sheet name="Table 1 Preferred Portfolio" sheetId="61" r:id="rId1"/>
    <sheet name="Table 2 QF Signed Queue" sheetId="58" r:id="rId2"/>
    <sheet name="Table 3 Comparison" sheetId="13" r:id="rId3"/>
    <sheet name="Table 4 Gas Price" sheetId="29" r:id="rId4"/>
    <sheet name=" Table 5 Electric Price" sheetId="32" r:id="rId5"/>
    <sheet name="Table 6 Integration" sheetId="59" r:id="rId6"/>
    <sheet name="--- Do Not Print ---&gt;" sheetId="37" r:id="rId7"/>
    <sheet name="Tariff Page" sheetId="36" r:id="rId8"/>
    <sheet name="Tariff Page Solar Fixed" sheetId="44" r:id="rId9"/>
    <sheet name="Tariff Page Solar Tracking" sheetId="45" r:id="rId10"/>
    <sheet name="Tariff Page Wind" sheetId="39" r:id="rId11"/>
    <sheet name="OFPC Source" sheetId="6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1" hidden="1">'Table 2 QF Signed Queue'!$B$5:$I$31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a" localSheetId="5" hidden="1">'[1]DSM Output'!$J$21:$J$23</definedName>
    <definedName name="a" hidden="1">'[2]DSM Output'!$J$21:$J$23</definedName>
    <definedName name="above">OFFSET(!A1,-1,0)</definedName>
    <definedName name="anscount" hidden="1">1</definedName>
    <definedName name="below">OFFSET(!A1,1,0)</definedName>
    <definedName name="CC_E_Fixed">'Table 2 QF Signed Queue'!$K$8</definedName>
    <definedName name="CC_E_Gas">'Table 2 QF Signed Queue'!$K$10</definedName>
    <definedName name="CC_E_Hydro">'Table 2 QF Signed Queue'!$K$11</definedName>
    <definedName name="CC_E_Tracking">'Table 2 QF Signed Queue'!$K$9</definedName>
    <definedName name="CC_E_Wind">'Table 2 QF Signed Queue'!$K$7</definedName>
    <definedName name="CC_W_Fixed">'Table 2 QF Signed Queue'!$N$8</definedName>
    <definedName name="CC_W_Gas">'Table 2 QF Signed Queue'!$N$10</definedName>
    <definedName name="CC_W_Hydro">'Table 2 QF Signed Queue'!$N$11</definedName>
    <definedName name="CC_W_Tracking">'Table 2 QF Signed Queue'!$N$9</definedName>
    <definedName name="CC_W_Wind">'Table 2 QF Signed Queue'!$N$7</definedName>
    <definedName name="left">OFFSET(!A1,0,-1)</definedName>
    <definedName name="limcount" hidden="1">1</definedName>
    <definedName name="_xlnm.Print_Area" localSheetId="4">' Table 5 Electric Price'!$A$1:$G$33</definedName>
    <definedName name="_xlnm.Print_Area" localSheetId="11">'OFPC Source'!$A$1:$F$247</definedName>
    <definedName name="_xlnm.Print_Area" localSheetId="1">'Table 2 QF Signed Queue'!$B$1:$N$32</definedName>
    <definedName name="_xlnm.Print_Area" localSheetId="2">'Table 3 Comparison'!$A$1:$P$51</definedName>
    <definedName name="_xlnm.Print_Area" localSheetId="3">'Table 4 Gas Price'!$A$1:$E$37</definedName>
    <definedName name="_xlnm.Print_Area" localSheetId="5">'Table 6 Integration'!$A$1:$P$37</definedName>
    <definedName name="_xlnm.Print_Area" localSheetId="7">'Tariff Page'!$A$1:$G$36</definedName>
    <definedName name="_xlnm.Print_Area" localSheetId="8">'Tariff Page Solar Fixed'!$A$1:$F$44</definedName>
    <definedName name="_xlnm.Print_Area" localSheetId="9">'Tariff Page Solar Tracking'!$A$1:$F$45</definedName>
    <definedName name="_xlnm.Print_Area" localSheetId="10">'Tariff Page Wind'!$A$1:$F$47</definedName>
    <definedName name="_xlnm.Print_Titles" localSheetId="0">'Table 1 Preferred Portfolio'!$1:$6</definedName>
    <definedName name="right">OFFSET(!A1,0,1)</definedName>
    <definedName name="SAPBEXrevision" hidden="1">1</definedName>
    <definedName name="SAPBEXsysID" hidden="1">"BWP"</definedName>
    <definedName name="SAPBEXwbID" hidden="1">"45EQYSCWE9WJMGB34OOD1BOQZ"</definedName>
    <definedName name="Signed_MW" localSheetId="1">'Table 2 QF Signed Queue'!$D$29</definedName>
    <definedName name="y" localSheetId="5" hidden="1">'[1]DSM Output'!$B$21:$B$23</definedName>
    <definedName name="y" hidden="1">'[2]DSM Output'!$B$21:$B$23</definedName>
    <definedName name="z" localSheetId="5" hidden="1">'[1]DSM Output'!$G$21:$G$23</definedName>
    <definedName name="z" hidden="1">'[2]DSM Output'!$G$21:$G$23</definedName>
  </definedNames>
  <calcPr calcId="152511" calcMode="manual"/>
</workbook>
</file>

<file path=xl/calcChain.xml><?xml version="1.0" encoding="utf-8"?>
<calcChain xmlns="http://schemas.openxmlformats.org/spreadsheetml/2006/main">
  <c r="B10" i="36" l="1"/>
  <c r="E10" i="36" s="1"/>
  <c r="B10" i="45"/>
  <c r="B10" i="44"/>
  <c r="E10" i="44" s="1"/>
  <c r="B10" i="39"/>
  <c r="E10" i="39" s="1"/>
  <c r="D10" i="44" l="1"/>
  <c r="F10" i="36"/>
  <c r="C10" i="36"/>
  <c r="D10" i="36"/>
  <c r="D10" i="45"/>
  <c r="C10" i="45"/>
  <c r="F10" i="45"/>
  <c r="C10" i="44"/>
  <c r="F10" i="44"/>
  <c r="E10" i="45"/>
  <c r="F10" i="39"/>
  <c r="C10" i="39"/>
  <c r="D10" i="39"/>
  <c r="H6" i="59" l="1"/>
  <c r="F29" i="32"/>
  <c r="E29" i="32"/>
  <c r="D29" i="32"/>
  <c r="C29" i="32"/>
  <c r="F28" i="32"/>
  <c r="E28" i="32"/>
  <c r="D28" i="32"/>
  <c r="C28" i="32"/>
  <c r="F27" i="32"/>
  <c r="E27" i="32"/>
  <c r="D27" i="32"/>
  <c r="C27" i="32"/>
  <c r="F26" i="32"/>
  <c r="E26" i="32"/>
  <c r="D26" i="32"/>
  <c r="C26" i="32"/>
  <c r="F25" i="32"/>
  <c r="E25" i="32"/>
  <c r="D25" i="32"/>
  <c r="C25" i="32"/>
  <c r="F24" i="32"/>
  <c r="E24" i="32"/>
  <c r="D24" i="32"/>
  <c r="C24" i="32"/>
  <c r="F23" i="32"/>
  <c r="E23" i="32"/>
  <c r="D23" i="32"/>
  <c r="C23" i="32"/>
  <c r="F22" i="32"/>
  <c r="E22" i="32"/>
  <c r="D22" i="32"/>
  <c r="C22" i="32"/>
  <c r="F21" i="32"/>
  <c r="E21" i="32"/>
  <c r="D21" i="32"/>
  <c r="C21" i="32"/>
  <c r="F20" i="32"/>
  <c r="E20" i="32"/>
  <c r="D20" i="32"/>
  <c r="C20" i="32"/>
  <c r="F19" i="32"/>
  <c r="E19" i="32"/>
  <c r="D19" i="32"/>
  <c r="C19" i="32"/>
  <c r="F18" i="32"/>
  <c r="E18" i="32"/>
  <c r="D18" i="32"/>
  <c r="C18" i="32"/>
  <c r="F17" i="32"/>
  <c r="E17" i="32"/>
  <c r="D17" i="32"/>
  <c r="C17" i="32"/>
  <c r="F16" i="32"/>
  <c r="E16" i="32"/>
  <c r="D16" i="32"/>
  <c r="C16" i="32"/>
  <c r="F15" i="32"/>
  <c r="E15" i="32"/>
  <c r="D15" i="32"/>
  <c r="C15" i="32"/>
  <c r="F14" i="32"/>
  <c r="E14" i="32"/>
  <c r="D14" i="32"/>
  <c r="C14" i="32"/>
  <c r="F13" i="32"/>
  <c r="E13" i="32"/>
  <c r="D13" i="32"/>
  <c r="C13" i="32"/>
  <c r="F12" i="32"/>
  <c r="E12" i="32"/>
  <c r="D12" i="32"/>
  <c r="C12" i="32"/>
  <c r="F11" i="32"/>
  <c r="E11" i="32"/>
  <c r="D11" i="32"/>
  <c r="C11" i="32"/>
  <c r="F10" i="32"/>
  <c r="E10" i="32"/>
  <c r="D10" i="32"/>
  <c r="C10" i="32"/>
  <c r="B33" i="29"/>
  <c r="D29" i="29"/>
  <c r="C29" i="29"/>
  <c r="D28" i="29"/>
  <c r="C28" i="29"/>
  <c r="D27" i="29"/>
  <c r="C27" i="29"/>
  <c r="D26" i="29"/>
  <c r="C26" i="29"/>
  <c r="D25" i="29"/>
  <c r="C25" i="29"/>
  <c r="D24" i="29"/>
  <c r="C24" i="29"/>
  <c r="D23" i="29"/>
  <c r="C23" i="29"/>
  <c r="D22" i="29"/>
  <c r="C22" i="29"/>
  <c r="D21" i="29"/>
  <c r="C21" i="29"/>
  <c r="D20" i="29"/>
  <c r="C20" i="29"/>
  <c r="D19" i="29"/>
  <c r="C19" i="29"/>
  <c r="D18" i="29"/>
  <c r="C18" i="29"/>
  <c r="D17" i="29"/>
  <c r="C17" i="29"/>
  <c r="D16" i="29"/>
  <c r="C16" i="29"/>
  <c r="D15" i="29"/>
  <c r="C15" i="29"/>
  <c r="D14" i="29"/>
  <c r="C14" i="29"/>
  <c r="D13" i="29"/>
  <c r="C13" i="29"/>
  <c r="D12" i="29"/>
  <c r="C12" i="29"/>
  <c r="D11" i="29"/>
  <c r="C11" i="29"/>
  <c r="D10" i="29"/>
  <c r="C10" i="29"/>
  <c r="D6" i="29"/>
  <c r="C6" i="29"/>
  <c r="D50" i="13"/>
  <c r="D49" i="13"/>
  <c r="D48" i="13"/>
  <c r="D47" i="13"/>
  <c r="AI253" i="62" l="1"/>
  <c r="AJ253" i="62" s="1"/>
  <c r="AE253" i="62"/>
  <c r="AD253" i="62"/>
  <c r="AI252" i="62"/>
  <c r="AJ252" i="62" s="1"/>
  <c r="AE252" i="62"/>
  <c r="AD252" i="62"/>
  <c r="AI251" i="62"/>
  <c r="AJ251" i="62" s="1"/>
  <c r="AE251" i="62"/>
  <c r="AD251" i="62"/>
  <c r="AI250" i="62"/>
  <c r="AJ250" i="62" s="1"/>
  <c r="AE250" i="62"/>
  <c r="AD250" i="62"/>
  <c r="Q250" i="62"/>
  <c r="P250" i="62"/>
  <c r="AI249" i="62"/>
  <c r="AJ249" i="62" s="1"/>
  <c r="AE249" i="62"/>
  <c r="AD249" i="62"/>
  <c r="AI248" i="62"/>
  <c r="AJ248" i="62" s="1"/>
  <c r="AE248" i="62"/>
  <c r="AD248" i="62"/>
  <c r="AI247" i="62"/>
  <c r="AJ247" i="62" s="1"/>
  <c r="AE247" i="62"/>
  <c r="AD247" i="62" s="1"/>
  <c r="AJ246" i="62"/>
  <c r="AI246" i="62"/>
  <c r="AE246" i="62"/>
  <c r="AD246" i="62"/>
  <c r="AI245" i="62"/>
  <c r="AJ245" i="62" s="1"/>
  <c r="AE245" i="62"/>
  <c r="AD245" i="62" s="1"/>
  <c r="AJ244" i="62"/>
  <c r="AI244" i="62"/>
  <c r="AE244" i="62"/>
  <c r="AD244" i="62"/>
  <c r="AI243" i="62"/>
  <c r="AJ243" i="62" s="1"/>
  <c r="AE243" i="62"/>
  <c r="AD243" i="62" s="1"/>
  <c r="AJ242" i="62"/>
  <c r="AI242" i="62"/>
  <c r="AE242" i="62"/>
  <c r="AD242" i="62"/>
  <c r="AI241" i="62"/>
  <c r="AJ241" i="62" s="1"/>
  <c r="AE241" i="62"/>
  <c r="AD241" i="62" s="1"/>
  <c r="AJ240" i="62"/>
  <c r="AI240" i="62"/>
  <c r="AE240" i="62"/>
  <c r="AD240" i="62"/>
  <c r="AI239" i="62"/>
  <c r="AJ239" i="62" s="1"/>
  <c r="AE239" i="62"/>
  <c r="AD239" i="62" s="1"/>
  <c r="AJ238" i="62"/>
  <c r="AI238" i="62"/>
  <c r="AE238" i="62"/>
  <c r="AD238" i="62"/>
  <c r="AI237" i="62"/>
  <c r="AJ237" i="62" s="1"/>
  <c r="AE237" i="62"/>
  <c r="AD237" i="62" s="1"/>
  <c r="AJ236" i="62"/>
  <c r="AI236" i="62"/>
  <c r="AE236" i="62"/>
  <c r="AD236" i="62"/>
  <c r="AI235" i="62"/>
  <c r="AJ235" i="62" s="1"/>
  <c r="AE235" i="62"/>
  <c r="AD235" i="62" s="1"/>
  <c r="AJ234" i="62"/>
  <c r="AI234" i="62"/>
  <c r="AE234" i="62"/>
  <c r="AD234" i="62"/>
  <c r="AI233" i="62"/>
  <c r="AJ233" i="62" s="1"/>
  <c r="AE233" i="62"/>
  <c r="AD233" i="62" s="1"/>
  <c r="AJ232" i="62"/>
  <c r="AI232" i="62"/>
  <c r="AE232" i="62"/>
  <c r="AD232" i="62"/>
  <c r="AI231" i="62"/>
  <c r="AJ231" i="62" s="1"/>
  <c r="AE231" i="62"/>
  <c r="AD231" i="62" s="1"/>
  <c r="AJ230" i="62"/>
  <c r="AI230" i="62"/>
  <c r="AE230" i="62"/>
  <c r="AD230" i="62"/>
  <c r="AI229" i="62"/>
  <c r="AJ229" i="62" s="1"/>
  <c r="AE229" i="62"/>
  <c r="AD229" i="62" s="1"/>
  <c r="AJ228" i="62"/>
  <c r="AI228" i="62"/>
  <c r="AE228" i="62"/>
  <c r="AD228" i="62"/>
  <c r="AJ227" i="62"/>
  <c r="AI227" i="62"/>
  <c r="AE227" i="62"/>
  <c r="AD227" i="62"/>
  <c r="AI226" i="62"/>
  <c r="AJ226" i="62" s="1"/>
  <c r="AE226" i="62"/>
  <c r="AD226" i="62" s="1"/>
  <c r="AJ225" i="62"/>
  <c r="AI225" i="62"/>
  <c r="AE225" i="62"/>
  <c r="AD225" i="62"/>
  <c r="AI224" i="62"/>
  <c r="AJ224" i="62" s="1"/>
  <c r="AE224" i="62"/>
  <c r="AD224" i="62" s="1"/>
  <c r="AJ223" i="62"/>
  <c r="AI223" i="62"/>
  <c r="AE223" i="62"/>
  <c r="AD223" i="62"/>
  <c r="AI222" i="62"/>
  <c r="AJ222" i="62" s="1"/>
  <c r="AE222" i="62"/>
  <c r="AD222" i="62" s="1"/>
  <c r="AJ221" i="62"/>
  <c r="AI221" i="62"/>
  <c r="AE221" i="62"/>
  <c r="AD221" i="62"/>
  <c r="AI220" i="62"/>
  <c r="AJ220" i="62" s="1"/>
  <c r="AE220" i="62"/>
  <c r="AD220" i="62" s="1"/>
  <c r="AJ219" i="62"/>
  <c r="AI219" i="62"/>
  <c r="AE219" i="62"/>
  <c r="AD219" i="62"/>
  <c r="AI218" i="62"/>
  <c r="AJ218" i="62" s="1"/>
  <c r="AE218" i="62"/>
  <c r="AD218" i="62" s="1"/>
  <c r="AJ217" i="62"/>
  <c r="AI217" i="62"/>
  <c r="AE217" i="62"/>
  <c r="AD217" i="62"/>
  <c r="AI216" i="62"/>
  <c r="AJ216" i="62" s="1"/>
  <c r="AE216" i="62"/>
  <c r="AD216" i="62" s="1"/>
  <c r="AJ215" i="62"/>
  <c r="AI215" i="62"/>
  <c r="AE215" i="62"/>
  <c r="AD215" i="62"/>
  <c r="AI214" i="62"/>
  <c r="AJ214" i="62" s="1"/>
  <c r="AE214" i="62"/>
  <c r="AD214" i="62" s="1"/>
  <c r="AJ213" i="62"/>
  <c r="AI213" i="62"/>
  <c r="AE213" i="62"/>
  <c r="AD213" i="62"/>
  <c r="AI212" i="62"/>
  <c r="AJ212" i="62" s="1"/>
  <c r="AE212" i="62"/>
  <c r="AD212" i="62" s="1"/>
  <c r="AJ211" i="62"/>
  <c r="AI211" i="62"/>
  <c r="AE211" i="62"/>
  <c r="AD211" i="62"/>
  <c r="AI210" i="62"/>
  <c r="AJ210" i="62" s="1"/>
  <c r="AE210" i="62"/>
  <c r="AD210" i="62" s="1"/>
  <c r="AJ209" i="62"/>
  <c r="AI209" i="62"/>
  <c r="AE209" i="62"/>
  <c r="AD209" i="62"/>
  <c r="AI208" i="62"/>
  <c r="AJ208" i="62" s="1"/>
  <c r="AE208" i="62"/>
  <c r="AD208" i="62" s="1"/>
  <c r="AJ207" i="62"/>
  <c r="AI207" i="62"/>
  <c r="AE207" i="62"/>
  <c r="AD207" i="62"/>
  <c r="AI206" i="62"/>
  <c r="AJ206" i="62" s="1"/>
  <c r="AE206" i="62"/>
  <c r="AD206" i="62" s="1"/>
  <c r="AJ205" i="62"/>
  <c r="AI205" i="62"/>
  <c r="AE205" i="62"/>
  <c r="AD205" i="62"/>
  <c r="AI204" i="62"/>
  <c r="AJ204" i="62" s="1"/>
  <c r="AE204" i="62"/>
  <c r="AD204" i="62" s="1"/>
  <c r="AJ203" i="62"/>
  <c r="AI203" i="62"/>
  <c r="AE203" i="62"/>
  <c r="AD203" i="62"/>
  <c r="AI202" i="62"/>
  <c r="AJ202" i="62" s="1"/>
  <c r="AE202" i="62"/>
  <c r="AD202" i="62" s="1"/>
  <c r="AJ201" i="62"/>
  <c r="AI201" i="62"/>
  <c r="AE201" i="62"/>
  <c r="AD201" i="62"/>
  <c r="AI200" i="62"/>
  <c r="AJ200" i="62" s="1"/>
  <c r="AE200" i="62"/>
  <c r="AD200" i="62" s="1"/>
  <c r="AJ199" i="62"/>
  <c r="AI199" i="62"/>
  <c r="AE199" i="62"/>
  <c r="AD199" i="62" s="1"/>
  <c r="AJ198" i="62"/>
  <c r="AI198" i="62"/>
  <c r="AE198" i="62"/>
  <c r="AD198" i="62" s="1"/>
  <c r="AJ197" i="62"/>
  <c r="AI197" i="62"/>
  <c r="AE197" i="62"/>
  <c r="AD197" i="62" s="1"/>
  <c r="AJ196" i="62"/>
  <c r="AI196" i="62"/>
  <c r="AE196" i="62"/>
  <c r="AD196" i="62" s="1"/>
  <c r="AJ195" i="62"/>
  <c r="AI195" i="62"/>
  <c r="AE195" i="62"/>
  <c r="AD195" i="62" s="1"/>
  <c r="AJ194" i="62"/>
  <c r="AI194" i="62"/>
  <c r="AE194" i="62"/>
  <c r="AD194" i="62" s="1"/>
  <c r="AJ193" i="62"/>
  <c r="AI193" i="62"/>
  <c r="AE193" i="62"/>
  <c r="AD193" i="62" s="1"/>
  <c r="AJ192" i="62"/>
  <c r="AI192" i="62"/>
  <c r="AE192" i="62"/>
  <c r="AD192" i="62" s="1"/>
  <c r="AJ191" i="62"/>
  <c r="AI191" i="62"/>
  <c r="AE191" i="62"/>
  <c r="AD191" i="62" s="1"/>
  <c r="AJ190" i="62"/>
  <c r="AI190" i="62"/>
  <c r="AE190" i="62"/>
  <c r="AD190" i="62" s="1"/>
  <c r="AJ189" i="62"/>
  <c r="AI189" i="62"/>
  <c r="AE189" i="62"/>
  <c r="AD189" i="62" s="1"/>
  <c r="AJ188" i="62"/>
  <c r="AI188" i="62"/>
  <c r="AE188" i="62"/>
  <c r="AD188" i="62" s="1"/>
  <c r="AJ187" i="62"/>
  <c r="AI187" i="62"/>
  <c r="AE187" i="62"/>
  <c r="AD187" i="62" s="1"/>
  <c r="AJ186" i="62"/>
  <c r="AI186" i="62"/>
  <c r="AE186" i="62"/>
  <c r="AD186" i="62" s="1"/>
  <c r="AJ185" i="62"/>
  <c r="AI185" i="62"/>
  <c r="AE185" i="62"/>
  <c r="AD185" i="62" s="1"/>
  <c r="AJ184" i="62"/>
  <c r="AI184" i="62"/>
  <c r="AE184" i="62"/>
  <c r="AD184" i="62" s="1"/>
  <c r="AJ183" i="62"/>
  <c r="AI183" i="62"/>
  <c r="AE183" i="62"/>
  <c r="AD183" i="62" s="1"/>
  <c r="AJ182" i="62"/>
  <c r="AI182" i="62"/>
  <c r="AE182" i="62"/>
  <c r="AD182" i="62" s="1"/>
  <c r="AJ181" i="62"/>
  <c r="AI181" i="62"/>
  <c r="AE181" i="62"/>
  <c r="AD181" i="62" s="1"/>
  <c r="AJ180" i="62"/>
  <c r="AI180" i="62"/>
  <c r="AE180" i="62"/>
  <c r="AD180" i="62" s="1"/>
  <c r="AJ179" i="62"/>
  <c r="AI179" i="62"/>
  <c r="AE179" i="62"/>
  <c r="AD179" i="62" s="1"/>
  <c r="AJ178" i="62"/>
  <c r="AI178" i="62"/>
  <c r="AE178" i="62"/>
  <c r="AD178" i="62" s="1"/>
  <c r="AJ177" i="62"/>
  <c r="AI177" i="62"/>
  <c r="AE177" i="62"/>
  <c r="AD177" i="62" s="1"/>
  <c r="AJ176" i="62"/>
  <c r="AI176" i="62"/>
  <c r="AE176" i="62"/>
  <c r="AD176" i="62" s="1"/>
  <c r="AJ175" i="62"/>
  <c r="AI175" i="62"/>
  <c r="AE175" i="62"/>
  <c r="AD175" i="62" s="1"/>
  <c r="AJ174" i="62"/>
  <c r="AI174" i="62"/>
  <c r="AE174" i="62"/>
  <c r="AD174" i="62" s="1"/>
  <c r="AJ173" i="62"/>
  <c r="AI173" i="62"/>
  <c r="AE173" i="62"/>
  <c r="AD173" i="62" s="1"/>
  <c r="AJ172" i="62"/>
  <c r="AI172" i="62"/>
  <c r="AE172" i="62"/>
  <c r="AD172" i="62" s="1"/>
  <c r="AJ171" i="62"/>
  <c r="AI171" i="62"/>
  <c r="AE171" i="62"/>
  <c r="AD171" i="62" s="1"/>
  <c r="AJ170" i="62"/>
  <c r="AI170" i="62"/>
  <c r="AE170" i="62"/>
  <c r="AD170" i="62" s="1"/>
  <c r="AJ169" i="62"/>
  <c r="AI169" i="62"/>
  <c r="AE169" i="62"/>
  <c r="AD169" i="62" s="1"/>
  <c r="AJ168" i="62"/>
  <c r="AI168" i="62"/>
  <c r="AE168" i="62"/>
  <c r="AD168" i="62" s="1"/>
  <c r="AJ167" i="62"/>
  <c r="AI167" i="62"/>
  <c r="AE167" i="62"/>
  <c r="AD167" i="62" s="1"/>
  <c r="AJ166" i="62"/>
  <c r="AI166" i="62"/>
  <c r="AE166" i="62"/>
  <c r="AD166" i="62" s="1"/>
  <c r="AJ165" i="62"/>
  <c r="AI165" i="62"/>
  <c r="AE165" i="62"/>
  <c r="AD165" i="62" s="1"/>
  <c r="AJ164" i="62"/>
  <c r="AI164" i="62"/>
  <c r="AE164" i="62"/>
  <c r="AD164" i="62" s="1"/>
  <c r="AJ163" i="62"/>
  <c r="AI163" i="62"/>
  <c r="AE163" i="62"/>
  <c r="AD163" i="62" s="1"/>
  <c r="AJ162" i="62"/>
  <c r="AI162" i="62"/>
  <c r="AE162" i="62"/>
  <c r="AD162" i="62" s="1"/>
  <c r="AJ161" i="62"/>
  <c r="AI161" i="62"/>
  <c r="AE161" i="62"/>
  <c r="AD161" i="62" s="1"/>
  <c r="AJ160" i="62"/>
  <c r="AI160" i="62"/>
  <c r="AE160" i="62"/>
  <c r="AD160" i="62" s="1"/>
  <c r="AJ159" i="62"/>
  <c r="AI159" i="62"/>
  <c r="AE159" i="62"/>
  <c r="AD159" i="62" s="1"/>
  <c r="AJ158" i="62"/>
  <c r="AI158" i="62"/>
  <c r="AE158" i="62"/>
  <c r="AD158" i="62" s="1"/>
  <c r="AJ157" i="62"/>
  <c r="AI157" i="62"/>
  <c r="AE157" i="62"/>
  <c r="AD157" i="62" s="1"/>
  <c r="AJ156" i="62"/>
  <c r="AI156" i="62"/>
  <c r="AE156" i="62"/>
  <c r="AD156" i="62" s="1"/>
  <c r="AJ155" i="62"/>
  <c r="AI155" i="62"/>
  <c r="AE155" i="62"/>
  <c r="AD155" i="62" s="1"/>
  <c r="AJ154" i="62"/>
  <c r="AI154" i="62"/>
  <c r="AE154" i="62"/>
  <c r="AD154" i="62" s="1"/>
  <c r="AJ153" i="62"/>
  <c r="AI153" i="62"/>
  <c r="AE153" i="62"/>
  <c r="AD153" i="62" s="1"/>
  <c r="AJ152" i="62"/>
  <c r="AI152" i="62"/>
  <c r="AE152" i="62"/>
  <c r="AD152" i="62" s="1"/>
  <c r="AJ151" i="62"/>
  <c r="AI151" i="62"/>
  <c r="AE151" i="62"/>
  <c r="AD151" i="62" s="1"/>
  <c r="AJ150" i="62"/>
  <c r="AI150" i="62"/>
  <c r="AE150" i="62"/>
  <c r="AD150" i="62" s="1"/>
  <c r="AJ149" i="62"/>
  <c r="AI149" i="62"/>
  <c r="AE149" i="62"/>
  <c r="AD149" i="62" s="1"/>
  <c r="AJ148" i="62"/>
  <c r="AI148" i="62"/>
  <c r="AE148" i="62"/>
  <c r="AD148" i="62" s="1"/>
  <c r="AJ147" i="62"/>
  <c r="AI147" i="62"/>
  <c r="AE147" i="62"/>
  <c r="AD147" i="62" s="1"/>
  <c r="AJ146" i="62"/>
  <c r="AI146" i="62"/>
  <c r="AE146" i="62"/>
  <c r="AD146" i="62" s="1"/>
  <c r="AI145" i="62"/>
  <c r="AJ145" i="62" s="1"/>
  <c r="AE145" i="62"/>
  <c r="AD145" i="62"/>
  <c r="AI144" i="62"/>
  <c r="AJ144" i="62" s="1"/>
  <c r="AE144" i="62"/>
  <c r="AD144" i="62"/>
  <c r="AI143" i="62"/>
  <c r="AJ143" i="62" s="1"/>
  <c r="AE143" i="62"/>
  <c r="AD143" i="62"/>
  <c r="AJ142" i="62"/>
  <c r="AI142" i="62"/>
  <c r="AE142" i="62"/>
  <c r="AD142" i="62"/>
  <c r="AI141" i="62"/>
  <c r="AJ141" i="62" s="1"/>
  <c r="AE141" i="62"/>
  <c r="AD141" i="62"/>
  <c r="AI140" i="62"/>
  <c r="AJ140" i="62" s="1"/>
  <c r="AE140" i="62"/>
  <c r="AD140" i="62"/>
  <c r="AI139" i="62"/>
  <c r="AJ139" i="62" s="1"/>
  <c r="AE139" i="62"/>
  <c r="AD139" i="62" s="1"/>
  <c r="AI138" i="62"/>
  <c r="AJ138" i="62" s="1"/>
  <c r="AE138" i="62"/>
  <c r="AD138" i="62"/>
  <c r="AI137" i="62"/>
  <c r="AJ137" i="62" s="1"/>
  <c r="AE137" i="62"/>
  <c r="AD137" i="62"/>
  <c r="AI136" i="62"/>
  <c r="AJ136" i="62" s="1"/>
  <c r="AE136" i="62"/>
  <c r="AD136" i="62"/>
  <c r="AI135" i="62"/>
  <c r="AJ135" i="62" s="1"/>
  <c r="AE135" i="62"/>
  <c r="AD135" i="62"/>
  <c r="AJ134" i="62"/>
  <c r="AI134" i="62"/>
  <c r="AE134" i="62"/>
  <c r="AD134" i="62"/>
  <c r="AI133" i="62"/>
  <c r="AJ133" i="62" s="1"/>
  <c r="AE133" i="62"/>
  <c r="AD133" i="62"/>
  <c r="AI132" i="62"/>
  <c r="AJ132" i="62" s="1"/>
  <c r="AE132" i="62"/>
  <c r="AD132" i="62"/>
  <c r="AI131" i="62"/>
  <c r="AJ131" i="62" s="1"/>
  <c r="AE131" i="62"/>
  <c r="AD131" i="62" s="1"/>
  <c r="AI130" i="62"/>
  <c r="AJ130" i="62" s="1"/>
  <c r="AE130" i="62"/>
  <c r="AD130" i="62"/>
  <c r="AI129" i="62"/>
  <c r="AJ129" i="62" s="1"/>
  <c r="AE129" i="62"/>
  <c r="AD129" i="62"/>
  <c r="AI128" i="62"/>
  <c r="AJ128" i="62" s="1"/>
  <c r="AE128" i="62"/>
  <c r="AD128" i="62"/>
  <c r="AI127" i="62"/>
  <c r="AJ127" i="62" s="1"/>
  <c r="AE127" i="62"/>
  <c r="AD127" i="62"/>
  <c r="AJ126" i="62"/>
  <c r="AI126" i="62"/>
  <c r="AE126" i="62"/>
  <c r="AD126" i="62"/>
  <c r="AI125" i="62"/>
  <c r="AJ125" i="62" s="1"/>
  <c r="AE125" i="62"/>
  <c r="AD125" i="62"/>
  <c r="AI124" i="62"/>
  <c r="AJ124" i="62" s="1"/>
  <c r="AE124" i="62"/>
  <c r="AD124" i="62"/>
  <c r="AI123" i="62"/>
  <c r="AJ123" i="62" s="1"/>
  <c r="AE123" i="62"/>
  <c r="AD123" i="62" s="1"/>
  <c r="AI122" i="62"/>
  <c r="AJ122" i="62" s="1"/>
  <c r="AE122" i="62"/>
  <c r="AD122" i="62"/>
  <c r="AI121" i="62"/>
  <c r="AJ121" i="62" s="1"/>
  <c r="AE121" i="62"/>
  <c r="AD121" i="62"/>
  <c r="AI120" i="62"/>
  <c r="AJ120" i="62" s="1"/>
  <c r="AE120" i="62"/>
  <c r="AD120" i="62"/>
  <c r="AI119" i="62"/>
  <c r="AJ119" i="62" s="1"/>
  <c r="AE119" i="62"/>
  <c r="AD119" i="62"/>
  <c r="AJ118" i="62"/>
  <c r="AI118" i="62"/>
  <c r="AE118" i="62"/>
  <c r="AD118" i="62"/>
  <c r="AI117" i="62"/>
  <c r="AJ117" i="62" s="1"/>
  <c r="AE117" i="62"/>
  <c r="AD117" i="62"/>
  <c r="AI116" i="62"/>
  <c r="AJ116" i="62" s="1"/>
  <c r="AE116" i="62"/>
  <c r="AD116" i="62"/>
  <c r="AI115" i="62"/>
  <c r="AJ115" i="62" s="1"/>
  <c r="AE115" i="62"/>
  <c r="AD115" i="62" s="1"/>
  <c r="AI114" i="62"/>
  <c r="AJ114" i="62" s="1"/>
  <c r="AE114" i="62"/>
  <c r="AD114" i="62"/>
  <c r="AI113" i="62"/>
  <c r="AJ113" i="62" s="1"/>
  <c r="AE113" i="62"/>
  <c r="AD113" i="62"/>
  <c r="AI112" i="62"/>
  <c r="AJ112" i="62" s="1"/>
  <c r="AE112" i="62"/>
  <c r="AD112" i="62"/>
  <c r="AI111" i="62"/>
  <c r="AJ111" i="62" s="1"/>
  <c r="AE111" i="62"/>
  <c r="AD111" i="62"/>
  <c r="AJ110" i="62"/>
  <c r="AI110" i="62"/>
  <c r="AE110" i="62"/>
  <c r="AD110" i="62"/>
  <c r="AI109" i="62"/>
  <c r="AJ109" i="62" s="1"/>
  <c r="AE109" i="62"/>
  <c r="AD109" i="62"/>
  <c r="AI108" i="62"/>
  <c r="AJ108" i="62" s="1"/>
  <c r="AE108" i="62"/>
  <c r="AD108" i="62"/>
  <c r="AI107" i="62"/>
  <c r="AJ107" i="62" s="1"/>
  <c r="AE107" i="62"/>
  <c r="AD107" i="62" s="1"/>
  <c r="AI106" i="62"/>
  <c r="AJ106" i="62" s="1"/>
  <c r="AE106" i="62"/>
  <c r="AD106" i="62"/>
  <c r="AI105" i="62"/>
  <c r="AJ105" i="62" s="1"/>
  <c r="AE105" i="62"/>
  <c r="AD105" i="62"/>
  <c r="AI104" i="62"/>
  <c r="AJ104" i="62" s="1"/>
  <c r="AE104" i="62"/>
  <c r="AD104" i="62"/>
  <c r="AI103" i="62"/>
  <c r="AJ103" i="62" s="1"/>
  <c r="AE103" i="62"/>
  <c r="AD103" i="62"/>
  <c r="AJ102" i="62"/>
  <c r="AI102" i="62"/>
  <c r="AE102" i="62"/>
  <c r="AD102" i="62"/>
  <c r="AI101" i="62"/>
  <c r="AJ101" i="62" s="1"/>
  <c r="AE101" i="62"/>
  <c r="AD101" i="62"/>
  <c r="AI100" i="62"/>
  <c r="AJ100" i="62" s="1"/>
  <c r="AE100" i="62"/>
  <c r="AD100" i="62"/>
  <c r="AI99" i="62"/>
  <c r="AJ99" i="62" s="1"/>
  <c r="AE99" i="62"/>
  <c r="AD99" i="62" s="1"/>
  <c r="AI98" i="62"/>
  <c r="AJ98" i="62" s="1"/>
  <c r="AE98" i="62"/>
  <c r="AD98" i="62"/>
  <c r="AI97" i="62"/>
  <c r="AJ97" i="62" s="1"/>
  <c r="AE97" i="62"/>
  <c r="AD97" i="62"/>
  <c r="AI96" i="62"/>
  <c r="AJ96" i="62" s="1"/>
  <c r="AE96" i="62"/>
  <c r="AD96" i="62"/>
  <c r="AI95" i="62"/>
  <c r="AJ95" i="62" s="1"/>
  <c r="AE95" i="62"/>
  <c r="AD95" i="62"/>
  <c r="AJ94" i="62"/>
  <c r="AI94" i="62"/>
  <c r="AE94" i="62"/>
  <c r="AD94" i="62"/>
  <c r="AI93" i="62"/>
  <c r="AJ93" i="62" s="1"/>
  <c r="AE93" i="62"/>
  <c r="AD93" i="62"/>
  <c r="AI92" i="62"/>
  <c r="AJ92" i="62" s="1"/>
  <c r="AE92" i="62"/>
  <c r="AD92" i="62"/>
  <c r="AI91" i="62"/>
  <c r="AJ91" i="62" s="1"/>
  <c r="AE91" i="62"/>
  <c r="AD91" i="62" s="1"/>
  <c r="AI90" i="62"/>
  <c r="AJ90" i="62" s="1"/>
  <c r="AE90" i="62"/>
  <c r="AD90" i="62"/>
  <c r="AI89" i="62"/>
  <c r="AJ89" i="62" s="1"/>
  <c r="AE89" i="62"/>
  <c r="AD89" i="62"/>
  <c r="AI88" i="62"/>
  <c r="AJ88" i="62" s="1"/>
  <c r="AE88" i="62"/>
  <c r="AD88" i="62"/>
  <c r="AI87" i="62"/>
  <c r="AJ87" i="62" s="1"/>
  <c r="AE87" i="62"/>
  <c r="AD87" i="62"/>
  <c r="AJ86" i="62"/>
  <c r="AI86" i="62"/>
  <c r="AE86" i="62"/>
  <c r="AD86" i="62"/>
  <c r="AI85" i="62"/>
  <c r="AJ85" i="62" s="1"/>
  <c r="AE85" i="62"/>
  <c r="AD85" i="62"/>
  <c r="AI84" i="62"/>
  <c r="AJ84" i="62" s="1"/>
  <c r="AE84" i="62"/>
  <c r="AD84" i="62"/>
  <c r="AI83" i="62"/>
  <c r="AJ83" i="62" s="1"/>
  <c r="AE83" i="62"/>
  <c r="AD83" i="62" s="1"/>
  <c r="AI82" i="62"/>
  <c r="AJ82" i="62" s="1"/>
  <c r="AE82" i="62"/>
  <c r="AD82" i="62"/>
  <c r="AI81" i="62"/>
  <c r="AJ81" i="62" s="1"/>
  <c r="AE81" i="62"/>
  <c r="AD81" i="62"/>
  <c r="AI80" i="62"/>
  <c r="AJ80" i="62" s="1"/>
  <c r="AE80" i="62"/>
  <c r="AD80" i="62"/>
  <c r="AI79" i="62"/>
  <c r="AJ79" i="62" s="1"/>
  <c r="AE79" i="62"/>
  <c r="AD79" i="62"/>
  <c r="AJ78" i="62"/>
  <c r="AI78" i="62"/>
  <c r="AE78" i="62"/>
  <c r="AD78" i="62"/>
  <c r="AI77" i="62"/>
  <c r="AJ77" i="62" s="1"/>
  <c r="AE77" i="62"/>
  <c r="AD77" i="62"/>
  <c r="AI76" i="62"/>
  <c r="AJ76" i="62" s="1"/>
  <c r="AE76" i="62"/>
  <c r="AD76" i="62"/>
  <c r="AI75" i="62"/>
  <c r="AJ75" i="62" s="1"/>
  <c r="AE75" i="62"/>
  <c r="AD75" i="62" s="1"/>
  <c r="AI74" i="62"/>
  <c r="AJ74" i="62" s="1"/>
  <c r="AE74" i="62"/>
  <c r="AD74" i="62"/>
  <c r="AI73" i="62"/>
  <c r="AJ73" i="62" s="1"/>
  <c r="AE73" i="62"/>
  <c r="AD73" i="62"/>
  <c r="AI72" i="62"/>
  <c r="AJ72" i="62" s="1"/>
  <c r="AE72" i="62"/>
  <c r="AD72" i="62"/>
  <c r="AI71" i="62"/>
  <c r="AJ71" i="62" s="1"/>
  <c r="AE71" i="62"/>
  <c r="AD71" i="62"/>
  <c r="AJ70" i="62"/>
  <c r="AI70" i="62"/>
  <c r="AE70" i="62"/>
  <c r="AD70" i="62"/>
  <c r="AI69" i="62"/>
  <c r="AJ69" i="62" s="1"/>
  <c r="AE69" i="62"/>
  <c r="AD69" i="62"/>
  <c r="AI68" i="62"/>
  <c r="AJ68" i="62" s="1"/>
  <c r="AE68" i="62"/>
  <c r="AD68" i="62"/>
  <c r="AI67" i="62"/>
  <c r="AJ67" i="62" s="1"/>
  <c r="AE67" i="62"/>
  <c r="AD67" i="62" s="1"/>
  <c r="AI66" i="62"/>
  <c r="AJ66" i="62" s="1"/>
  <c r="AE66" i="62"/>
  <c r="AD66" i="62"/>
  <c r="AI65" i="62"/>
  <c r="AJ65" i="62" s="1"/>
  <c r="AE65" i="62"/>
  <c r="AD65" i="62"/>
  <c r="AI64" i="62"/>
  <c r="AJ64" i="62" s="1"/>
  <c r="AE64" i="62"/>
  <c r="AD64" i="62"/>
  <c r="AI63" i="62"/>
  <c r="AJ63" i="62" s="1"/>
  <c r="AE63" i="62"/>
  <c r="AD63" i="62"/>
  <c r="AJ62" i="62"/>
  <c r="AI62" i="62"/>
  <c r="AE62" i="62"/>
  <c r="AD62" i="62"/>
  <c r="AI61" i="62"/>
  <c r="AJ61" i="62" s="1"/>
  <c r="AE61" i="62"/>
  <c r="AD61" i="62"/>
  <c r="AI60" i="62"/>
  <c r="AJ60" i="62" s="1"/>
  <c r="AE60" i="62"/>
  <c r="AD60" i="62"/>
  <c r="AI59" i="62"/>
  <c r="AJ59" i="62" s="1"/>
  <c r="AE59" i="62"/>
  <c r="AD59" i="62" s="1"/>
  <c r="AI58" i="62"/>
  <c r="AJ58" i="62" s="1"/>
  <c r="AE58" i="62"/>
  <c r="AD58" i="62"/>
  <c r="AI57" i="62"/>
  <c r="AJ57" i="62" s="1"/>
  <c r="AE57" i="62"/>
  <c r="AD57" i="62"/>
  <c r="AI56" i="62"/>
  <c r="AJ56" i="62" s="1"/>
  <c r="AE56" i="62"/>
  <c r="AD56" i="62"/>
  <c r="AI55" i="62"/>
  <c r="AJ55" i="62" s="1"/>
  <c r="AE55" i="62"/>
  <c r="AD55" i="62"/>
  <c r="AJ54" i="62"/>
  <c r="AI54" i="62"/>
  <c r="AE54" i="62"/>
  <c r="AD54" i="62"/>
  <c r="AI53" i="62"/>
  <c r="AJ53" i="62" s="1"/>
  <c r="AE53" i="62"/>
  <c r="AD53" i="62"/>
  <c r="AI52" i="62"/>
  <c r="AJ52" i="62" s="1"/>
  <c r="AE52" i="62"/>
  <c r="AD52" i="62"/>
  <c r="AI51" i="62"/>
  <c r="AJ51" i="62" s="1"/>
  <c r="AE51" i="62"/>
  <c r="AD51" i="62" s="1"/>
  <c r="AI50" i="62"/>
  <c r="AJ50" i="62" s="1"/>
  <c r="AE50" i="62"/>
  <c r="AD50" i="62"/>
  <c r="AI49" i="62"/>
  <c r="AJ49" i="62" s="1"/>
  <c r="AE49" i="62"/>
  <c r="AD49" i="62"/>
  <c r="AI48" i="62"/>
  <c r="AJ48" i="62" s="1"/>
  <c r="AE48" i="62"/>
  <c r="AD48" i="62"/>
  <c r="AI47" i="62"/>
  <c r="AJ47" i="62" s="1"/>
  <c r="AE47" i="62"/>
  <c r="AD47" i="62"/>
  <c r="AJ46" i="62"/>
  <c r="AI46" i="62"/>
  <c r="AE46" i="62"/>
  <c r="AD46" i="62"/>
  <c r="AI45" i="62"/>
  <c r="AJ45" i="62" s="1"/>
  <c r="AE45" i="62"/>
  <c r="AD45" i="62"/>
  <c r="AI44" i="62"/>
  <c r="AJ44" i="62" s="1"/>
  <c r="AE44" i="62"/>
  <c r="AD44" i="62"/>
  <c r="AI43" i="62"/>
  <c r="AJ43" i="62" s="1"/>
  <c r="AE43" i="62"/>
  <c r="AD43" i="62" s="1"/>
  <c r="AI42" i="62"/>
  <c r="AJ42" i="62" s="1"/>
  <c r="AE42" i="62"/>
  <c r="AD42" i="62"/>
  <c r="AI41" i="62"/>
  <c r="AJ41" i="62" s="1"/>
  <c r="AE41" i="62"/>
  <c r="AD41" i="62"/>
  <c r="AI40" i="62"/>
  <c r="AJ40" i="62" s="1"/>
  <c r="AE40" i="62"/>
  <c r="AD40" i="62"/>
  <c r="AI39" i="62"/>
  <c r="AJ39" i="62" s="1"/>
  <c r="AE39" i="62"/>
  <c r="AD39" i="62"/>
  <c r="AJ38" i="62"/>
  <c r="AI38" i="62"/>
  <c r="AE38" i="62"/>
  <c r="AD38" i="62"/>
  <c r="AI37" i="62"/>
  <c r="AJ37" i="62" s="1"/>
  <c r="AE37" i="62"/>
  <c r="AD37" i="62"/>
  <c r="AI36" i="62"/>
  <c r="AJ36" i="62" s="1"/>
  <c r="AE36" i="62"/>
  <c r="AD36" i="62"/>
  <c r="AI35" i="62"/>
  <c r="AJ35" i="62" s="1"/>
  <c r="AE35" i="62"/>
  <c r="AD35" i="62"/>
  <c r="AI34" i="62"/>
  <c r="AJ34" i="62" s="1"/>
  <c r="AE34" i="62"/>
  <c r="AD34" i="62"/>
  <c r="AI33" i="62"/>
  <c r="AJ33" i="62" s="1"/>
  <c r="AE33" i="62"/>
  <c r="AD33" i="62"/>
  <c r="AI32" i="62"/>
  <c r="AJ32" i="62" s="1"/>
  <c r="AE32" i="62"/>
  <c r="AD32" i="62"/>
  <c r="AI31" i="62"/>
  <c r="AJ31" i="62" s="1"/>
  <c r="AE31" i="62"/>
  <c r="AD31" i="62"/>
  <c r="AI30" i="62"/>
  <c r="AJ30" i="62" s="1"/>
  <c r="AE30" i="62"/>
  <c r="AD30" i="62"/>
  <c r="AI29" i="62"/>
  <c r="AJ29" i="62" s="1"/>
  <c r="AE29" i="62"/>
  <c r="AD29" i="62" s="1"/>
  <c r="AJ28" i="62"/>
  <c r="AI28" i="62"/>
  <c r="AE28" i="62"/>
  <c r="AD28" i="62"/>
  <c r="AI27" i="62"/>
  <c r="AJ27" i="62" s="1"/>
  <c r="AE27" i="62"/>
  <c r="AD27" i="62"/>
  <c r="AI26" i="62"/>
  <c r="AJ26" i="62" s="1"/>
  <c r="AE26" i="62"/>
  <c r="AD26" i="62"/>
  <c r="AI25" i="62"/>
  <c r="AJ25" i="62" s="1"/>
  <c r="AE25" i="62"/>
  <c r="AD25" i="62"/>
  <c r="AI24" i="62"/>
  <c r="AJ24" i="62" s="1"/>
  <c r="AE24" i="62"/>
  <c r="AD24" i="62"/>
  <c r="AI23" i="62"/>
  <c r="AJ23" i="62" s="1"/>
  <c r="AE23" i="62"/>
  <c r="AD23" i="62" s="1"/>
  <c r="AJ22" i="62"/>
  <c r="AI22" i="62"/>
  <c r="AE22" i="62"/>
  <c r="AD22" i="62"/>
  <c r="AJ21" i="62"/>
  <c r="AI21" i="62"/>
  <c r="AE21" i="62"/>
  <c r="AD21" i="62"/>
  <c r="AJ20" i="62"/>
  <c r="AI20" i="62"/>
  <c r="AE20" i="62"/>
  <c r="AD20" i="62"/>
  <c r="AJ19" i="62"/>
  <c r="AI19" i="62"/>
  <c r="AE19" i="62"/>
  <c r="AD19" i="62"/>
  <c r="AI18" i="62"/>
  <c r="AJ18" i="62" s="1"/>
  <c r="AE18" i="62"/>
  <c r="AD18" i="62" s="1"/>
  <c r="AO17" i="62"/>
  <c r="AN17" i="62"/>
  <c r="AM17" i="62"/>
  <c r="AJ17" i="62"/>
  <c r="AI17" i="62"/>
  <c r="AE17" i="62"/>
  <c r="AD17" i="62"/>
  <c r="AI16" i="62"/>
  <c r="AJ16" i="62" s="1"/>
  <c r="AE16" i="62"/>
  <c r="AD16" i="62"/>
  <c r="AI15" i="62"/>
  <c r="AJ15" i="62" s="1"/>
  <c r="AE15" i="62"/>
  <c r="AD15" i="62"/>
  <c r="AI14" i="62"/>
  <c r="AJ14" i="62" s="1"/>
  <c r="AE14" i="62"/>
  <c r="AD14" i="62"/>
  <c r="AI13" i="62"/>
  <c r="AJ13" i="62" s="1"/>
  <c r="AE13" i="62"/>
  <c r="AD13" i="62"/>
  <c r="AI12" i="62"/>
  <c r="AJ12" i="62" s="1"/>
  <c r="AE12" i="62"/>
  <c r="AD12" i="62"/>
  <c r="AI11" i="62"/>
  <c r="AJ11" i="62" s="1"/>
  <c r="AE11" i="62"/>
  <c r="AD11" i="62"/>
  <c r="AI10" i="62"/>
  <c r="AJ10" i="62" s="1"/>
  <c r="AE10" i="62"/>
  <c r="AD10" i="62" s="1"/>
  <c r="AJ9" i="62"/>
  <c r="AI9" i="62"/>
  <c r="AE9" i="62"/>
  <c r="AD9" i="62"/>
  <c r="W9" i="62"/>
  <c r="G9" i="62"/>
  <c r="B9" i="62"/>
  <c r="AI8" i="62"/>
  <c r="AJ8" i="62" s="1"/>
  <c r="AE8" i="62"/>
  <c r="AD8" i="62"/>
  <c r="T8" i="62"/>
  <c r="M8" i="62"/>
  <c r="L8" i="62"/>
  <c r="K8" i="62"/>
  <c r="G8" i="62"/>
  <c r="W8" i="62" s="1"/>
  <c r="E8" i="62"/>
  <c r="AI7" i="62"/>
  <c r="AJ7" i="62" s="1"/>
  <c r="AE7" i="62"/>
  <c r="AD7" i="62" s="1"/>
  <c r="D7" i="62"/>
  <c r="C7" i="62"/>
  <c r="H6" i="62" s="1"/>
  <c r="AJ6" i="62"/>
  <c r="AI6" i="62"/>
  <c r="AE6" i="62"/>
  <c r="AD6" i="62"/>
  <c r="I6" i="62"/>
  <c r="AI5" i="62"/>
  <c r="AJ5" i="62" s="1"/>
  <c r="AE5" i="62"/>
  <c r="AD5" i="62" s="1"/>
  <c r="AI4" i="62"/>
  <c r="AJ4" i="62" s="1"/>
  <c r="AE4" i="62"/>
  <c r="AD4" i="62" s="1"/>
  <c r="AM20" i="62" s="1"/>
  <c r="AI3" i="62"/>
  <c r="AJ3" i="62" s="1"/>
  <c r="AE3" i="62"/>
  <c r="AD3" i="62"/>
  <c r="M3" i="62"/>
  <c r="AJ2" i="62"/>
  <c r="AI2" i="62"/>
  <c r="AE2" i="62"/>
  <c r="AD2" i="62"/>
  <c r="AM19" i="62" l="1"/>
  <c r="E9" i="62"/>
  <c r="B10" i="62"/>
  <c r="AM22" i="62"/>
  <c r="AM21" i="62"/>
  <c r="M9" i="62"/>
  <c r="W10" i="62"/>
  <c r="U8" i="62"/>
  <c r="G10" i="62"/>
  <c r="G11" i="62" l="1"/>
  <c r="K9" i="62"/>
  <c r="L9" i="62"/>
  <c r="M10" i="62"/>
  <c r="B11" i="62"/>
  <c r="E10" i="62"/>
  <c r="AM23" i="62"/>
  <c r="AN20" i="62" s="1"/>
  <c r="AN19" i="62"/>
  <c r="AN21" i="62"/>
  <c r="W11" i="62"/>
  <c r="AN22" i="62"/>
  <c r="W12" i="62" l="1"/>
  <c r="U9" i="62"/>
  <c r="E11" i="62"/>
  <c r="B12" i="62"/>
  <c r="M11" i="62"/>
  <c r="AO22" i="62"/>
  <c r="AO20" i="62"/>
  <c r="T9" i="62"/>
  <c r="U10" i="62"/>
  <c r="L10" i="62"/>
  <c r="T10" i="62"/>
  <c r="K10" i="62"/>
  <c r="G12" i="62"/>
  <c r="K11" i="62" l="1"/>
  <c r="L11" i="62"/>
  <c r="G13" i="62"/>
  <c r="W13" i="62"/>
  <c r="M12" i="62"/>
  <c r="B13" i="62"/>
  <c r="E12" i="62"/>
  <c r="L12" i="62" l="1"/>
  <c r="K12" i="62"/>
  <c r="E13" i="62"/>
  <c r="B14" i="62"/>
  <c r="M13" i="62"/>
  <c r="W14" i="62"/>
  <c r="G14" i="62"/>
  <c r="U11" i="62"/>
  <c r="T11" i="62"/>
  <c r="T12" i="62" l="1"/>
  <c r="W15" i="62"/>
  <c r="M14" i="62"/>
  <c r="B15" i="62"/>
  <c r="E14" i="62"/>
  <c r="G15" i="62"/>
  <c r="T13" i="62"/>
  <c r="K13" i="62"/>
  <c r="L13" i="62"/>
  <c r="U12" i="62"/>
  <c r="U13" i="62" l="1"/>
  <c r="G16" i="62"/>
  <c r="E15" i="62"/>
  <c r="B16" i="62"/>
  <c r="M15" i="62"/>
  <c r="W16" i="62"/>
  <c r="U14" i="62"/>
  <c r="L14" i="62"/>
  <c r="K14" i="62"/>
  <c r="T14" i="62"/>
  <c r="W17" i="62" l="1"/>
  <c r="M16" i="62"/>
  <c r="B17" i="62"/>
  <c r="E16" i="62"/>
  <c r="G17" i="62"/>
  <c r="T15" i="62"/>
  <c r="K15" i="62"/>
  <c r="U15" i="62"/>
  <c r="L15" i="62"/>
  <c r="G18" i="62" l="1"/>
  <c r="E17" i="62"/>
  <c r="M17" i="62"/>
  <c r="B18" i="62"/>
  <c r="W18" i="62"/>
  <c r="L16" i="62"/>
  <c r="K16" i="62"/>
  <c r="T16" i="62"/>
  <c r="B19" i="62" l="1"/>
  <c r="M18" i="62"/>
  <c r="E18" i="62"/>
  <c r="U16" i="62"/>
  <c r="W19" i="62"/>
  <c r="T17" i="62"/>
  <c r="K17" i="62"/>
  <c r="L17" i="62"/>
  <c r="U17" i="62"/>
  <c r="G19" i="62"/>
  <c r="G20" i="62" l="1"/>
  <c r="K18" i="62"/>
  <c r="L18" i="62"/>
  <c r="W20" i="62"/>
  <c r="B20" i="62"/>
  <c r="E19" i="62"/>
  <c r="M19" i="62"/>
  <c r="E20" i="62" l="1"/>
  <c r="B21" i="62"/>
  <c r="M20" i="62"/>
  <c r="L19" i="62"/>
  <c r="K19" i="62"/>
  <c r="W21" i="62"/>
  <c r="U18" i="62"/>
  <c r="T18" i="62"/>
  <c r="G21" i="62"/>
  <c r="G22" i="62" l="1"/>
  <c r="W22" i="62"/>
  <c r="T19" i="62"/>
  <c r="L20" i="62"/>
  <c r="K20" i="62"/>
  <c r="E21" i="62"/>
  <c r="M21" i="62"/>
  <c r="B22" i="62"/>
  <c r="U19" i="62"/>
  <c r="T20" i="62" l="1"/>
  <c r="K21" i="62"/>
  <c r="L21" i="62"/>
  <c r="U21" i="62"/>
  <c r="W23" i="62"/>
  <c r="U20" i="62"/>
  <c r="G23" i="62"/>
  <c r="E22" i="62"/>
  <c r="B23" i="62"/>
  <c r="M22" i="62"/>
  <c r="M23" i="62" l="1"/>
  <c r="B24" i="62"/>
  <c r="E23" i="62"/>
  <c r="G24" i="62"/>
  <c r="W24" i="62"/>
  <c r="T21" i="62"/>
  <c r="K22" i="62"/>
  <c r="L22" i="62"/>
  <c r="U22" i="62"/>
  <c r="G25" i="62" l="1"/>
  <c r="E24" i="62"/>
  <c r="B25" i="62"/>
  <c r="M24" i="62"/>
  <c r="W25" i="62"/>
  <c r="U23" i="62"/>
  <c r="L23" i="62"/>
  <c r="K23" i="62"/>
  <c r="T22" i="62"/>
  <c r="K24" i="62" l="1"/>
  <c r="L24" i="62"/>
  <c r="T23" i="62"/>
  <c r="W26" i="62"/>
  <c r="M25" i="62"/>
  <c r="B26" i="62"/>
  <c r="E25" i="62"/>
  <c r="G26" i="62"/>
  <c r="L25" i="62" l="1"/>
  <c r="K25" i="62"/>
  <c r="U24" i="62"/>
  <c r="E26" i="62"/>
  <c r="B27" i="62"/>
  <c r="M26" i="62"/>
  <c r="T24" i="62"/>
  <c r="G27" i="62"/>
  <c r="W27" i="62"/>
  <c r="K26" i="62" l="1"/>
  <c r="L26" i="62"/>
  <c r="U25" i="62"/>
  <c r="M27" i="62"/>
  <c r="B28" i="62"/>
  <c r="E27" i="62"/>
  <c r="T25" i="62"/>
  <c r="L27" i="62" l="1"/>
  <c r="K27" i="62"/>
  <c r="T27" i="62"/>
  <c r="E28" i="62"/>
  <c r="B29" i="62"/>
  <c r="M28" i="62"/>
  <c r="U26" i="62"/>
  <c r="T26" i="62"/>
  <c r="U28" i="62" l="1"/>
  <c r="K28" i="62"/>
  <c r="T28" i="62"/>
  <c r="L28" i="62"/>
  <c r="M29" i="62"/>
  <c r="B30" i="62"/>
  <c r="E29" i="62"/>
  <c r="U27" i="62"/>
  <c r="E30" i="62" l="1"/>
  <c r="B31" i="62"/>
  <c r="M30" i="62"/>
  <c r="L29" i="62"/>
  <c r="T29" i="62"/>
  <c r="K29" i="62"/>
  <c r="U29" i="62"/>
  <c r="B32" i="62" l="1"/>
  <c r="E31" i="62"/>
  <c r="M31" i="62"/>
  <c r="U30" i="62"/>
  <c r="T30" i="62"/>
  <c r="L30" i="62"/>
  <c r="K30" i="62"/>
  <c r="E32" i="62" l="1"/>
  <c r="B33" i="62"/>
  <c r="M32" i="62"/>
  <c r="L31" i="62"/>
  <c r="K31" i="62"/>
  <c r="U31" i="62"/>
  <c r="U32" i="62" l="1"/>
  <c r="L32" i="62"/>
  <c r="K32" i="62"/>
  <c r="T31" i="62"/>
  <c r="B34" i="62"/>
  <c r="M33" i="62"/>
  <c r="E33" i="62"/>
  <c r="M34" i="62" l="1"/>
  <c r="B35" i="62"/>
  <c r="E34" i="62"/>
  <c r="U33" i="62"/>
  <c r="L33" i="62"/>
  <c r="K33" i="62"/>
  <c r="T32" i="62"/>
  <c r="E35" i="62" l="1"/>
  <c r="B36" i="62"/>
  <c r="M35" i="62"/>
  <c r="L34" i="62"/>
  <c r="K34" i="62"/>
  <c r="T33" i="62"/>
  <c r="T34" i="62" l="1"/>
  <c r="U35" i="62"/>
  <c r="L35" i="62"/>
  <c r="K35" i="62"/>
  <c r="T35" i="62"/>
  <c r="U34" i="62"/>
  <c r="M36" i="62"/>
  <c r="B37" i="62"/>
  <c r="E36" i="62"/>
  <c r="E37" i="62" l="1"/>
  <c r="B38" i="62"/>
  <c r="M37" i="62"/>
  <c r="L36" i="62"/>
  <c r="T36" i="62"/>
  <c r="K36" i="62"/>
  <c r="U36" i="62"/>
  <c r="U37" i="62" l="1"/>
  <c r="K37" i="62"/>
  <c r="T37" i="62"/>
  <c r="L37" i="62"/>
  <c r="B39" i="62"/>
  <c r="M38" i="62"/>
  <c r="E38" i="62"/>
  <c r="U38" i="62" l="1"/>
  <c r="L38" i="62"/>
  <c r="K38" i="62"/>
  <c r="T38" i="62"/>
  <c r="B40" i="62"/>
  <c r="M39" i="62"/>
  <c r="E39" i="62"/>
  <c r="L39" i="62" l="1"/>
  <c r="K39" i="62"/>
  <c r="E40" i="62"/>
  <c r="B41" i="62"/>
  <c r="M40" i="62"/>
  <c r="U39" i="62" l="1"/>
  <c r="U40" i="62"/>
  <c r="L40" i="62"/>
  <c r="K40" i="62"/>
  <c r="T40" i="62"/>
  <c r="B42" i="62"/>
  <c r="M41" i="62"/>
  <c r="E41" i="62"/>
  <c r="T39" i="62"/>
  <c r="L41" i="62" l="1"/>
  <c r="K41" i="62"/>
  <c r="E42" i="62"/>
  <c r="B43" i="62"/>
  <c r="M42" i="62"/>
  <c r="T41" i="62" l="1"/>
  <c r="U42" i="62"/>
  <c r="L42" i="62"/>
  <c r="K42" i="62"/>
  <c r="T42" i="62"/>
  <c r="U41" i="62"/>
  <c r="B44" i="62"/>
  <c r="M43" i="62"/>
  <c r="E43" i="62"/>
  <c r="E44" i="62" l="1"/>
  <c r="B45" i="62"/>
  <c r="M44" i="62"/>
  <c r="L43" i="62"/>
  <c r="U43" i="62"/>
  <c r="T43" i="62"/>
  <c r="K43" i="62"/>
  <c r="B46" i="62" l="1"/>
  <c r="M45" i="62"/>
  <c r="E45" i="62"/>
  <c r="U44" i="62"/>
  <c r="L44" i="62"/>
  <c r="K44" i="62"/>
  <c r="T44" i="62"/>
  <c r="L45" i="62" l="1"/>
  <c r="K45" i="62"/>
  <c r="E46" i="62"/>
  <c r="B47" i="62"/>
  <c r="M46" i="62"/>
  <c r="U46" i="62" l="1"/>
  <c r="L46" i="62"/>
  <c r="K46" i="62"/>
  <c r="T46" i="62"/>
  <c r="T45" i="62"/>
  <c r="B48" i="62"/>
  <c r="M47" i="62"/>
  <c r="E47" i="62"/>
  <c r="U45" i="62"/>
  <c r="L47" i="62" l="1"/>
  <c r="K47" i="62"/>
  <c r="E48" i="62"/>
  <c r="B49" i="62"/>
  <c r="M48" i="62"/>
  <c r="U47" i="62" l="1"/>
  <c r="U48" i="62"/>
  <c r="L48" i="62"/>
  <c r="K48" i="62"/>
  <c r="T48" i="62"/>
  <c r="B50" i="62"/>
  <c r="M49" i="62"/>
  <c r="E49" i="62"/>
  <c r="T47" i="62"/>
  <c r="L49" i="62" l="1"/>
  <c r="K49" i="62"/>
  <c r="E50" i="62"/>
  <c r="B51" i="62"/>
  <c r="M50" i="62"/>
  <c r="T49" i="62" l="1"/>
  <c r="U50" i="62"/>
  <c r="L50" i="62"/>
  <c r="K50" i="62"/>
  <c r="T50" i="62"/>
  <c r="U49" i="62"/>
  <c r="B52" i="62"/>
  <c r="M51" i="62"/>
  <c r="E51" i="62"/>
  <c r="E52" i="62" l="1"/>
  <c r="B53" i="62"/>
  <c r="M52" i="62"/>
  <c r="L51" i="62"/>
  <c r="U51" i="62"/>
  <c r="T51" i="62"/>
  <c r="K51" i="62"/>
  <c r="B54" i="62" l="1"/>
  <c r="M53" i="62"/>
  <c r="E53" i="62"/>
  <c r="U52" i="62"/>
  <c r="L52" i="62"/>
  <c r="K52" i="62"/>
  <c r="T52" i="62"/>
  <c r="L53" i="62" l="1"/>
  <c r="K53" i="62"/>
  <c r="E54" i="62"/>
  <c r="B55" i="62"/>
  <c r="M54" i="62"/>
  <c r="U54" i="62" l="1"/>
  <c r="L54" i="62"/>
  <c r="K54" i="62"/>
  <c r="T54" i="62"/>
  <c r="T53" i="62"/>
  <c r="B56" i="62"/>
  <c r="M55" i="62"/>
  <c r="E55" i="62"/>
  <c r="U53" i="62"/>
  <c r="L55" i="62" l="1"/>
  <c r="K55" i="62"/>
  <c r="E56" i="62"/>
  <c r="B57" i="62"/>
  <c r="M56" i="62"/>
  <c r="U55" i="62" l="1"/>
  <c r="U56" i="62"/>
  <c r="L56" i="62"/>
  <c r="K56" i="62"/>
  <c r="T56" i="62"/>
  <c r="B58" i="62"/>
  <c r="M57" i="62"/>
  <c r="E57" i="62"/>
  <c r="T55" i="62"/>
  <c r="L57" i="62" l="1"/>
  <c r="K57" i="62"/>
  <c r="E58" i="62"/>
  <c r="B59" i="62"/>
  <c r="M58" i="62"/>
  <c r="T57" i="62" l="1"/>
  <c r="U58" i="62"/>
  <c r="L58" i="62"/>
  <c r="K58" i="62"/>
  <c r="T58" i="62"/>
  <c r="U57" i="62"/>
  <c r="B60" i="62"/>
  <c r="M59" i="62"/>
  <c r="E59" i="62"/>
  <c r="E60" i="62" l="1"/>
  <c r="B61" i="62"/>
  <c r="M60" i="62"/>
  <c r="L59" i="62"/>
  <c r="K59" i="62"/>
  <c r="L60" i="62" l="1"/>
  <c r="K60" i="62"/>
  <c r="T59" i="62"/>
  <c r="U59" i="62"/>
  <c r="B62" i="62"/>
  <c r="M61" i="62"/>
  <c r="E61" i="62"/>
  <c r="E62" i="62" l="1"/>
  <c r="B63" i="62"/>
  <c r="M62" i="62"/>
  <c r="T60" i="62"/>
  <c r="U60" i="62"/>
  <c r="L61" i="62"/>
  <c r="U61" i="62"/>
  <c r="T61" i="62"/>
  <c r="K61" i="62"/>
  <c r="U62" i="62" l="1"/>
  <c r="L62" i="62"/>
  <c r="K62" i="62"/>
  <c r="T62" i="62"/>
  <c r="B64" i="62"/>
  <c r="M63" i="62"/>
  <c r="E63" i="62"/>
  <c r="L63" i="62" l="1"/>
  <c r="K63" i="62"/>
  <c r="E64" i="62"/>
  <c r="B65" i="62"/>
  <c r="M64" i="62"/>
  <c r="B66" i="62" l="1"/>
  <c r="M65" i="62"/>
  <c r="E65" i="62"/>
  <c r="U63" i="62"/>
  <c r="U64" i="62"/>
  <c r="L64" i="62"/>
  <c r="K64" i="62"/>
  <c r="T64" i="62"/>
  <c r="T63" i="62"/>
  <c r="L65" i="62" l="1"/>
  <c r="K65" i="62"/>
  <c r="E66" i="62"/>
  <c r="B67" i="62"/>
  <c r="M66" i="62"/>
  <c r="U66" i="62" l="1"/>
  <c r="L66" i="62"/>
  <c r="K66" i="62"/>
  <c r="T66" i="62"/>
  <c r="U65" i="62"/>
  <c r="T65" i="62"/>
  <c r="B68" i="62"/>
  <c r="M67" i="62"/>
  <c r="E67" i="62"/>
  <c r="E68" i="62" l="1"/>
  <c r="B69" i="62"/>
  <c r="M68" i="62"/>
  <c r="L67" i="62"/>
  <c r="U67" i="62"/>
  <c r="T67" i="62"/>
  <c r="K67" i="62"/>
  <c r="B70" i="62" l="1"/>
  <c r="M69" i="62"/>
  <c r="E69" i="62"/>
  <c r="U68" i="62"/>
  <c r="L68" i="62"/>
  <c r="K68" i="62"/>
  <c r="T68" i="62"/>
  <c r="E70" i="62" l="1"/>
  <c r="B71" i="62"/>
  <c r="M70" i="62"/>
  <c r="L69" i="62"/>
  <c r="K69" i="62"/>
  <c r="B72" i="62" l="1"/>
  <c r="M71" i="62"/>
  <c r="E71" i="62"/>
  <c r="U70" i="62"/>
  <c r="L70" i="62"/>
  <c r="K70" i="62"/>
  <c r="T70" i="62"/>
  <c r="U69" i="62"/>
  <c r="T69" i="62"/>
  <c r="E72" i="62" l="1"/>
  <c r="B73" i="62"/>
  <c r="M72" i="62"/>
  <c r="L71" i="62"/>
  <c r="T71" i="62"/>
  <c r="K71" i="62"/>
  <c r="B74" i="62" l="1"/>
  <c r="M73" i="62"/>
  <c r="E73" i="62"/>
  <c r="U71" i="62"/>
  <c r="L72" i="62"/>
  <c r="K72" i="62"/>
  <c r="T72" i="62"/>
  <c r="L73" i="62" l="1"/>
  <c r="K73" i="62"/>
  <c r="U73" i="62"/>
  <c r="T73" i="62"/>
  <c r="E74" i="62"/>
  <c r="B75" i="62"/>
  <c r="M74" i="62"/>
  <c r="U72" i="62"/>
  <c r="L74" i="62" l="1"/>
  <c r="K74" i="62"/>
  <c r="T74" i="62"/>
  <c r="B76" i="62"/>
  <c r="M75" i="62"/>
  <c r="E75" i="62"/>
  <c r="E76" i="62" l="1"/>
  <c r="B77" i="62"/>
  <c r="M76" i="62"/>
  <c r="L75" i="62"/>
  <c r="U75" i="62"/>
  <c r="T75" i="62"/>
  <c r="K75" i="62"/>
  <c r="U74" i="62"/>
  <c r="B78" i="62" l="1"/>
  <c r="M77" i="62"/>
  <c r="E77" i="62"/>
  <c r="U76" i="62"/>
  <c r="L76" i="62"/>
  <c r="K76" i="62"/>
  <c r="T76" i="62"/>
  <c r="E78" i="62" l="1"/>
  <c r="B79" i="62"/>
  <c r="M78" i="62"/>
  <c r="L77" i="62"/>
  <c r="T77" i="62"/>
  <c r="K77" i="62"/>
  <c r="U78" i="62" l="1"/>
  <c r="L78" i="62"/>
  <c r="K78" i="62"/>
  <c r="T78" i="62"/>
  <c r="U77" i="62"/>
  <c r="B80" i="62"/>
  <c r="M79" i="62"/>
  <c r="E79" i="62"/>
  <c r="L79" i="62" l="1"/>
  <c r="T79" i="62"/>
  <c r="K79" i="62"/>
  <c r="U79" i="62"/>
  <c r="E80" i="62"/>
  <c r="B81" i="62"/>
  <c r="M80" i="62"/>
  <c r="U80" i="62" l="1"/>
  <c r="L80" i="62"/>
  <c r="K80" i="62"/>
  <c r="T80" i="62"/>
  <c r="B82" i="62"/>
  <c r="M81" i="62"/>
  <c r="E81" i="62"/>
  <c r="L81" i="62" l="1"/>
  <c r="K81" i="62"/>
  <c r="E82" i="62"/>
  <c r="B83" i="62"/>
  <c r="M82" i="62"/>
  <c r="T81" i="62" l="1"/>
  <c r="U82" i="62"/>
  <c r="L82" i="62"/>
  <c r="K82" i="62"/>
  <c r="T82" i="62"/>
  <c r="U81" i="62"/>
  <c r="B84" i="62"/>
  <c r="M83" i="62"/>
  <c r="E83" i="62"/>
  <c r="E84" i="62" l="1"/>
  <c r="B85" i="62"/>
  <c r="M84" i="62"/>
  <c r="L83" i="62"/>
  <c r="U83" i="62"/>
  <c r="T83" i="62"/>
  <c r="K83" i="62"/>
  <c r="B86" i="62" l="1"/>
  <c r="M85" i="62"/>
  <c r="E85" i="62"/>
  <c r="L84" i="62"/>
  <c r="K84" i="62"/>
  <c r="T84" i="62"/>
  <c r="U84" i="62" l="1"/>
  <c r="L85" i="62"/>
  <c r="T85" i="62"/>
  <c r="K85" i="62"/>
  <c r="E86" i="62"/>
  <c r="B87" i="62"/>
  <c r="M86" i="62"/>
  <c r="L86" i="62" l="1"/>
  <c r="K86" i="62"/>
  <c r="T86" i="62"/>
  <c r="B88" i="62"/>
  <c r="M87" i="62"/>
  <c r="E87" i="62"/>
  <c r="U85" i="62"/>
  <c r="L87" i="62" l="1"/>
  <c r="T87" i="62"/>
  <c r="K87" i="62"/>
  <c r="U87" i="62"/>
  <c r="U86" i="62"/>
  <c r="E88" i="62"/>
  <c r="B89" i="62"/>
  <c r="M88" i="62"/>
  <c r="L88" i="62" l="1"/>
  <c r="K88" i="62"/>
  <c r="T88" i="62"/>
  <c r="B90" i="62"/>
  <c r="M89" i="62"/>
  <c r="E89" i="62"/>
  <c r="E90" i="62" l="1"/>
  <c r="B91" i="62"/>
  <c r="M90" i="62"/>
  <c r="L89" i="62"/>
  <c r="K89" i="62"/>
  <c r="U89" i="62"/>
  <c r="T89" i="62"/>
  <c r="U88" i="62"/>
  <c r="L90" i="62" l="1"/>
  <c r="K90" i="62"/>
  <c r="T90" i="62"/>
  <c r="B92" i="62"/>
  <c r="M91" i="62"/>
  <c r="E91" i="62"/>
  <c r="L91" i="62" l="1"/>
  <c r="K91" i="62"/>
  <c r="U90" i="62"/>
  <c r="E92" i="62"/>
  <c r="B93" i="62"/>
  <c r="M92" i="62"/>
  <c r="U92" i="62" l="1"/>
  <c r="L92" i="62"/>
  <c r="K92" i="62"/>
  <c r="T92" i="62"/>
  <c r="B94" i="62"/>
  <c r="M93" i="62"/>
  <c r="E93" i="62"/>
  <c r="T91" i="62"/>
  <c r="U91" i="62"/>
  <c r="L93" i="62" l="1"/>
  <c r="U93" i="62"/>
  <c r="K93" i="62"/>
  <c r="E94" i="62"/>
  <c r="B95" i="62"/>
  <c r="M94" i="62"/>
  <c r="L94" i="62" l="1"/>
  <c r="K94" i="62"/>
  <c r="T94" i="62"/>
  <c r="T93" i="62"/>
  <c r="B96" i="62"/>
  <c r="M95" i="62"/>
  <c r="E95" i="62"/>
  <c r="L95" i="62" l="1"/>
  <c r="T95" i="62"/>
  <c r="K95" i="62"/>
  <c r="U94" i="62"/>
  <c r="E96" i="62"/>
  <c r="B97" i="62"/>
  <c r="M96" i="62"/>
  <c r="U96" i="62" l="1"/>
  <c r="L96" i="62"/>
  <c r="K96" i="62"/>
  <c r="T96" i="62"/>
  <c r="U95" i="62"/>
  <c r="B98" i="62"/>
  <c r="M97" i="62"/>
  <c r="E97" i="62"/>
  <c r="L97" i="62" l="1"/>
  <c r="K97" i="62"/>
  <c r="E98" i="62"/>
  <c r="B99" i="62"/>
  <c r="M98" i="62"/>
  <c r="T97" i="62" l="1"/>
  <c r="U98" i="62"/>
  <c r="L98" i="62"/>
  <c r="K98" i="62"/>
  <c r="T98" i="62"/>
  <c r="U97" i="62"/>
  <c r="B100" i="62"/>
  <c r="M99" i="62"/>
  <c r="E99" i="62"/>
  <c r="E100" i="62" l="1"/>
  <c r="B101" i="62"/>
  <c r="M100" i="62"/>
  <c r="L99" i="62"/>
  <c r="U99" i="62"/>
  <c r="T99" i="62"/>
  <c r="K99" i="62"/>
  <c r="B102" i="62" l="1"/>
  <c r="M101" i="62"/>
  <c r="E101" i="62"/>
  <c r="L100" i="62"/>
  <c r="K100" i="62"/>
  <c r="T100" i="62"/>
  <c r="U100" i="62" l="1"/>
  <c r="L101" i="62"/>
  <c r="U101" i="62"/>
  <c r="T101" i="62"/>
  <c r="K101" i="62"/>
  <c r="E102" i="62"/>
  <c r="B103" i="62"/>
  <c r="M102" i="62"/>
  <c r="B104" i="62" l="1"/>
  <c r="M103" i="62"/>
  <c r="E103" i="62"/>
  <c r="L102" i="62"/>
  <c r="K102" i="62"/>
  <c r="T102" i="62"/>
  <c r="U102" i="62" l="1"/>
  <c r="L103" i="62"/>
  <c r="T103" i="62"/>
  <c r="K103" i="62"/>
  <c r="U103" i="62"/>
  <c r="E104" i="62"/>
  <c r="B105" i="62"/>
  <c r="M104" i="62"/>
  <c r="L104" i="62" l="1"/>
  <c r="K104" i="62"/>
  <c r="T104" i="62"/>
  <c r="B106" i="62"/>
  <c r="M105" i="62"/>
  <c r="E105" i="62"/>
  <c r="L105" i="62" l="1"/>
  <c r="K105" i="62"/>
  <c r="U104" i="62"/>
  <c r="E106" i="62"/>
  <c r="B107" i="62"/>
  <c r="M106" i="62"/>
  <c r="T105" i="62" l="1"/>
  <c r="L106" i="62"/>
  <c r="K106" i="62"/>
  <c r="B108" i="62"/>
  <c r="M107" i="62"/>
  <c r="E107" i="62"/>
  <c r="U105" i="62"/>
  <c r="T106" i="62" l="1"/>
  <c r="U106" i="62"/>
  <c r="E108" i="62"/>
  <c r="B109" i="62"/>
  <c r="M108" i="62"/>
  <c r="L107" i="62"/>
  <c r="U107" i="62"/>
  <c r="T107" i="62"/>
  <c r="K107" i="62"/>
  <c r="B110" i="62" l="1"/>
  <c r="M109" i="62"/>
  <c r="E109" i="62"/>
  <c r="L108" i="62"/>
  <c r="K108" i="62"/>
  <c r="T108" i="62" l="1"/>
  <c r="U108" i="62"/>
  <c r="L109" i="62"/>
  <c r="U109" i="62"/>
  <c r="T109" i="62"/>
  <c r="K109" i="62"/>
  <c r="E110" i="62"/>
  <c r="B111" i="62"/>
  <c r="M110" i="62"/>
  <c r="B112" i="62" l="1"/>
  <c r="M111" i="62"/>
  <c r="E111" i="62"/>
  <c r="L110" i="62"/>
  <c r="K110" i="62"/>
  <c r="T110" i="62" l="1"/>
  <c r="U110" i="62"/>
  <c r="L111" i="62"/>
  <c r="K111" i="62"/>
  <c r="U111" i="62"/>
  <c r="E112" i="62"/>
  <c r="B113" i="62"/>
  <c r="M112" i="62"/>
  <c r="L112" i="62" l="1"/>
  <c r="K112" i="62"/>
  <c r="B114" i="62"/>
  <c r="M113" i="62"/>
  <c r="E113" i="62"/>
  <c r="T111" i="62"/>
  <c r="L113" i="62" l="1"/>
  <c r="K113" i="62"/>
  <c r="T112" i="62"/>
  <c r="U112" i="62"/>
  <c r="E114" i="62"/>
  <c r="B115" i="62"/>
  <c r="M114" i="62"/>
  <c r="L114" i="62" l="1"/>
  <c r="K114" i="62"/>
  <c r="B116" i="62"/>
  <c r="M115" i="62"/>
  <c r="E115" i="62"/>
  <c r="T113" i="62"/>
  <c r="U113" i="62"/>
  <c r="L115" i="62" l="1"/>
  <c r="U115" i="62"/>
  <c r="T115" i="62"/>
  <c r="K115" i="62"/>
  <c r="T114" i="62"/>
  <c r="U114" i="62"/>
  <c r="E116" i="62"/>
  <c r="B117" i="62"/>
  <c r="M116" i="62"/>
  <c r="B118" i="62" l="1"/>
  <c r="M117" i="62"/>
  <c r="E117" i="62"/>
  <c r="L116" i="62"/>
  <c r="K116" i="62"/>
  <c r="T116" i="62"/>
  <c r="U116" i="62" l="1"/>
  <c r="L117" i="62"/>
  <c r="U117" i="62"/>
  <c r="K117" i="62"/>
  <c r="E118" i="62"/>
  <c r="B119" i="62"/>
  <c r="M118" i="62"/>
  <c r="B120" i="62" l="1"/>
  <c r="M119" i="62"/>
  <c r="E119" i="62"/>
  <c r="L118" i="62"/>
  <c r="K118" i="62"/>
  <c r="T118" i="62"/>
  <c r="T117" i="62"/>
  <c r="U118" i="62" l="1"/>
  <c r="L119" i="62"/>
  <c r="T119" i="62"/>
  <c r="K119" i="62"/>
  <c r="E120" i="62"/>
  <c r="B121" i="62"/>
  <c r="M120" i="62"/>
  <c r="U119" i="62" l="1"/>
  <c r="L120" i="62"/>
  <c r="K120" i="62"/>
  <c r="T120" i="62"/>
  <c r="B122" i="62"/>
  <c r="M121" i="62"/>
  <c r="E121" i="62"/>
  <c r="U120" i="62" l="1"/>
  <c r="L121" i="62"/>
  <c r="K121" i="62"/>
  <c r="E122" i="62"/>
  <c r="B123" i="62"/>
  <c r="M122" i="62"/>
  <c r="T121" i="62" l="1"/>
  <c r="U122" i="62"/>
  <c r="L122" i="62"/>
  <c r="K122" i="62"/>
  <c r="T122" i="62"/>
  <c r="U121" i="62"/>
  <c r="B124" i="62"/>
  <c r="M123" i="62"/>
  <c r="E123" i="62"/>
  <c r="E124" i="62" l="1"/>
  <c r="B125" i="62"/>
  <c r="M124" i="62"/>
  <c r="L123" i="62"/>
  <c r="U123" i="62"/>
  <c r="T123" i="62"/>
  <c r="K123" i="62"/>
  <c r="B126" i="62" l="1"/>
  <c r="M125" i="62"/>
  <c r="E125" i="62"/>
  <c r="U124" i="62"/>
  <c r="L124" i="62"/>
  <c r="K124" i="62"/>
  <c r="T124" i="62"/>
  <c r="L125" i="62" l="1"/>
  <c r="U125" i="62"/>
  <c r="K125" i="62"/>
  <c r="E126" i="62"/>
  <c r="B127" i="62"/>
  <c r="M126" i="62"/>
  <c r="B128" i="62" l="1"/>
  <c r="M127" i="62"/>
  <c r="E127" i="62"/>
  <c r="U126" i="62"/>
  <c r="L126" i="62"/>
  <c r="K126" i="62"/>
  <c r="T126" i="62"/>
  <c r="T125" i="62"/>
  <c r="L127" i="62" l="1"/>
  <c r="T127" i="62"/>
  <c r="K127" i="62"/>
  <c r="E128" i="62"/>
  <c r="B129" i="62"/>
  <c r="M128" i="62"/>
  <c r="B130" i="62" l="1"/>
  <c r="M129" i="62"/>
  <c r="E129" i="62"/>
  <c r="U127" i="62"/>
  <c r="U128" i="62"/>
  <c r="L128" i="62"/>
  <c r="K128" i="62"/>
  <c r="T128" i="62"/>
  <c r="L129" i="62" l="1"/>
  <c r="K129" i="62"/>
  <c r="E130" i="62"/>
  <c r="B131" i="62"/>
  <c r="M130" i="62"/>
  <c r="T129" i="62" l="1"/>
  <c r="U130" i="62"/>
  <c r="L130" i="62"/>
  <c r="K130" i="62"/>
  <c r="T130" i="62"/>
  <c r="U129" i="62"/>
  <c r="B132" i="62"/>
  <c r="M131" i="62"/>
  <c r="E131" i="62"/>
  <c r="E132" i="62" l="1"/>
  <c r="B133" i="62"/>
  <c r="M132" i="62"/>
  <c r="L131" i="62"/>
  <c r="U131" i="62"/>
  <c r="T131" i="62"/>
  <c r="K131" i="62"/>
  <c r="B134" i="62" l="1"/>
  <c r="M133" i="62"/>
  <c r="E133" i="62"/>
  <c r="U132" i="62"/>
  <c r="L132" i="62"/>
  <c r="K132" i="62"/>
  <c r="T132" i="62"/>
  <c r="L133" i="62" l="1"/>
  <c r="U133" i="62"/>
  <c r="T133" i="62"/>
  <c r="K133" i="62"/>
  <c r="E134" i="62"/>
  <c r="B135" i="62"/>
  <c r="M134" i="62"/>
  <c r="B136" i="62" l="1"/>
  <c r="M135" i="62"/>
  <c r="E135" i="62"/>
  <c r="U134" i="62"/>
  <c r="L134" i="62"/>
  <c r="K134" i="62"/>
  <c r="T134" i="62"/>
  <c r="L135" i="62" l="1"/>
  <c r="T135" i="62"/>
  <c r="K135" i="62"/>
  <c r="E136" i="62"/>
  <c r="B137" i="62"/>
  <c r="M136" i="62"/>
  <c r="L136" i="62" l="1"/>
  <c r="K136" i="62"/>
  <c r="B138" i="62"/>
  <c r="M137" i="62"/>
  <c r="E137" i="62"/>
  <c r="U135" i="62"/>
  <c r="E138" i="62" l="1"/>
  <c r="B139" i="62"/>
  <c r="M138" i="62"/>
  <c r="L137" i="62"/>
  <c r="K137" i="62"/>
  <c r="U137" i="62"/>
  <c r="T137" i="62"/>
  <c r="T136" i="62"/>
  <c r="U136" i="62"/>
  <c r="L138" i="62" l="1"/>
  <c r="K138" i="62"/>
  <c r="B140" i="62"/>
  <c r="M139" i="62"/>
  <c r="E139" i="62"/>
  <c r="E140" i="62" l="1"/>
  <c r="B141" i="62"/>
  <c r="M140" i="62"/>
  <c r="L139" i="62"/>
  <c r="U139" i="62"/>
  <c r="T139" i="62"/>
  <c r="K139" i="62"/>
  <c r="T138" i="62"/>
  <c r="U138" i="62"/>
  <c r="B142" i="62" l="1"/>
  <c r="M141" i="62"/>
  <c r="E141" i="62"/>
  <c r="U140" i="62"/>
  <c r="L140" i="62"/>
  <c r="K140" i="62"/>
  <c r="T140" i="62"/>
  <c r="L141" i="62" l="1"/>
  <c r="U141" i="62"/>
  <c r="K141" i="62"/>
  <c r="E142" i="62"/>
  <c r="B143" i="62"/>
  <c r="M142" i="62"/>
  <c r="B144" i="62" l="1"/>
  <c r="M143" i="62"/>
  <c r="E143" i="62"/>
  <c r="U142" i="62"/>
  <c r="L142" i="62"/>
  <c r="K142" i="62"/>
  <c r="T142" i="62"/>
  <c r="T141" i="62"/>
  <c r="E144" i="62" l="1"/>
  <c r="B145" i="62"/>
  <c r="M144" i="62"/>
  <c r="L143" i="62"/>
  <c r="T143" i="62"/>
  <c r="K143" i="62"/>
  <c r="B146" i="62" l="1"/>
  <c r="M145" i="62"/>
  <c r="E145" i="62"/>
  <c r="U143" i="62"/>
  <c r="U144" i="62"/>
  <c r="L144" i="62"/>
  <c r="K144" i="62"/>
  <c r="T144" i="62"/>
  <c r="L145" i="62" l="1"/>
  <c r="K145" i="62"/>
  <c r="B147" i="62"/>
  <c r="E146" i="62"/>
  <c r="M146" i="62"/>
  <c r="K146" i="62" l="1"/>
  <c r="L146" i="62"/>
  <c r="B148" i="62"/>
  <c r="M147" i="62"/>
  <c r="E147" i="62"/>
  <c r="T145" i="62"/>
  <c r="U145" i="62"/>
  <c r="B149" i="62" l="1"/>
  <c r="E148" i="62"/>
  <c r="M148" i="62"/>
  <c r="U146" i="62"/>
  <c r="L147" i="62"/>
  <c r="K147" i="62"/>
  <c r="T146" i="62"/>
  <c r="U147" i="62" l="1"/>
  <c r="T147" i="62"/>
  <c r="K148" i="62"/>
  <c r="U148" i="62"/>
  <c r="L148" i="62"/>
  <c r="B150" i="62"/>
  <c r="M149" i="62"/>
  <c r="E149" i="62"/>
  <c r="L149" i="62" l="1"/>
  <c r="K149" i="62"/>
  <c r="T148" i="62"/>
  <c r="B151" i="62"/>
  <c r="E150" i="62"/>
  <c r="M150" i="62"/>
  <c r="B152" i="62" l="1"/>
  <c r="M151" i="62"/>
  <c r="E151" i="62"/>
  <c r="T150" i="62"/>
  <c r="K150" i="62"/>
  <c r="L150" i="62"/>
  <c r="U150" i="62"/>
  <c r="T149" i="62"/>
  <c r="U149" i="62"/>
  <c r="L151" i="62" l="1"/>
  <c r="K151" i="62"/>
  <c r="B153" i="62"/>
  <c r="E152" i="62"/>
  <c r="M152" i="62"/>
  <c r="K152" i="62" l="1"/>
  <c r="U152" i="62"/>
  <c r="L152" i="62"/>
  <c r="B154" i="62"/>
  <c r="M153" i="62"/>
  <c r="E153" i="62"/>
  <c r="T151" i="62"/>
  <c r="U151" i="62"/>
  <c r="B155" i="62" l="1"/>
  <c r="E154" i="62"/>
  <c r="M154" i="62"/>
  <c r="U153" i="62"/>
  <c r="L153" i="62"/>
  <c r="K153" i="62"/>
  <c r="T153" i="62"/>
  <c r="T152" i="62"/>
  <c r="K154" i="62" l="1"/>
  <c r="L154" i="62"/>
  <c r="B156" i="62"/>
  <c r="M155" i="62"/>
  <c r="E155" i="62"/>
  <c r="B157" i="62" l="1"/>
  <c r="E156" i="62"/>
  <c r="M156" i="62"/>
  <c r="U154" i="62"/>
  <c r="L155" i="62"/>
  <c r="K155" i="62"/>
  <c r="T154" i="62"/>
  <c r="U155" i="62" l="1"/>
  <c r="T155" i="62"/>
  <c r="K156" i="62"/>
  <c r="U156" i="62"/>
  <c r="L156" i="62"/>
  <c r="B158" i="62"/>
  <c r="M157" i="62"/>
  <c r="E157" i="62"/>
  <c r="L157" i="62" l="1"/>
  <c r="K157" i="62"/>
  <c r="T156" i="62"/>
  <c r="B159" i="62"/>
  <c r="E158" i="62"/>
  <c r="M158" i="62"/>
  <c r="B160" i="62" l="1"/>
  <c r="M159" i="62"/>
  <c r="E159" i="62"/>
  <c r="T158" i="62"/>
  <c r="K158" i="62"/>
  <c r="L158" i="62"/>
  <c r="U158" i="62"/>
  <c r="T157" i="62"/>
  <c r="U157" i="62"/>
  <c r="L159" i="62" l="1"/>
  <c r="K159" i="62"/>
  <c r="B161" i="62"/>
  <c r="E160" i="62"/>
  <c r="M160" i="62"/>
  <c r="K160" i="62" l="1"/>
  <c r="U160" i="62"/>
  <c r="L160" i="62"/>
  <c r="B162" i="62"/>
  <c r="M161" i="62"/>
  <c r="E161" i="62"/>
  <c r="T159" i="62"/>
  <c r="U159" i="62"/>
  <c r="B163" i="62" l="1"/>
  <c r="E162" i="62"/>
  <c r="M162" i="62"/>
  <c r="U161" i="62"/>
  <c r="L161" i="62"/>
  <c r="K161" i="62"/>
  <c r="T161" i="62"/>
  <c r="T160" i="62"/>
  <c r="K162" i="62" l="1"/>
  <c r="L162" i="62"/>
  <c r="B164" i="62"/>
  <c r="M163" i="62"/>
  <c r="E163" i="62"/>
  <c r="B165" i="62" l="1"/>
  <c r="E164" i="62"/>
  <c r="M164" i="62"/>
  <c r="U162" i="62"/>
  <c r="L163" i="62"/>
  <c r="K163" i="62"/>
  <c r="T162" i="62"/>
  <c r="U163" i="62" l="1"/>
  <c r="T163" i="62"/>
  <c r="T164" i="62"/>
  <c r="K164" i="62"/>
  <c r="L164" i="62"/>
  <c r="B166" i="62"/>
  <c r="M165" i="62"/>
  <c r="E165" i="62"/>
  <c r="U165" i="62" l="1"/>
  <c r="L165" i="62"/>
  <c r="K165" i="62"/>
  <c r="T165" i="62"/>
  <c r="B167" i="62"/>
  <c r="E166" i="62"/>
  <c r="M166" i="62"/>
  <c r="U164" i="62"/>
  <c r="B168" i="62" l="1"/>
  <c r="M167" i="62"/>
  <c r="E167" i="62"/>
  <c r="T166" i="62"/>
  <c r="K166" i="62"/>
  <c r="L166" i="62"/>
  <c r="U166" i="62"/>
  <c r="L167" i="62" l="1"/>
  <c r="K167" i="62"/>
  <c r="B169" i="62"/>
  <c r="E168" i="62"/>
  <c r="M168" i="62"/>
  <c r="K168" i="62" l="1"/>
  <c r="U168" i="62"/>
  <c r="L168" i="62"/>
  <c r="B170" i="62"/>
  <c r="M169" i="62"/>
  <c r="E169" i="62"/>
  <c r="T167" i="62"/>
  <c r="U167" i="62"/>
  <c r="B171" i="62" l="1"/>
  <c r="E170" i="62"/>
  <c r="M170" i="62"/>
  <c r="U169" i="62"/>
  <c r="L169" i="62"/>
  <c r="K169" i="62"/>
  <c r="T169" i="62"/>
  <c r="T168" i="62"/>
  <c r="K170" i="62" l="1"/>
  <c r="L170" i="62"/>
  <c r="B172" i="62"/>
  <c r="M171" i="62"/>
  <c r="E171" i="62"/>
  <c r="B173" i="62" l="1"/>
  <c r="E172" i="62"/>
  <c r="M172" i="62"/>
  <c r="U170" i="62"/>
  <c r="L171" i="62"/>
  <c r="K171" i="62"/>
  <c r="T170" i="62"/>
  <c r="U171" i="62" l="1"/>
  <c r="T171" i="62"/>
  <c r="K172" i="62"/>
  <c r="U172" i="62"/>
  <c r="L172" i="62"/>
  <c r="B174" i="62"/>
  <c r="M173" i="62"/>
  <c r="E173" i="62"/>
  <c r="L173" i="62" l="1"/>
  <c r="K173" i="62"/>
  <c r="T172" i="62"/>
  <c r="B175" i="62"/>
  <c r="E174" i="62"/>
  <c r="M174" i="62"/>
  <c r="B176" i="62" l="1"/>
  <c r="M175" i="62"/>
  <c r="E175" i="62"/>
  <c r="T174" i="62"/>
  <c r="K174" i="62"/>
  <c r="L174" i="62"/>
  <c r="U174" i="62"/>
  <c r="T173" i="62"/>
  <c r="U173" i="62"/>
  <c r="L175" i="62" l="1"/>
  <c r="K175" i="62"/>
  <c r="B177" i="62"/>
  <c r="E176" i="62"/>
  <c r="M176" i="62"/>
  <c r="K176" i="62" l="1"/>
  <c r="U176" i="62"/>
  <c r="L176" i="62"/>
  <c r="B178" i="62"/>
  <c r="M177" i="62"/>
  <c r="E177" i="62"/>
  <c r="T175" i="62"/>
  <c r="U175" i="62"/>
  <c r="B179" i="62" l="1"/>
  <c r="E178" i="62"/>
  <c r="M178" i="62"/>
  <c r="U177" i="62"/>
  <c r="L177" i="62"/>
  <c r="K177" i="62"/>
  <c r="T177" i="62"/>
  <c r="T176" i="62"/>
  <c r="K178" i="62" l="1"/>
  <c r="L178" i="62"/>
  <c r="B180" i="62"/>
  <c r="M179" i="62"/>
  <c r="E179" i="62"/>
  <c r="B181" i="62" l="1"/>
  <c r="E180" i="62"/>
  <c r="M180" i="62"/>
  <c r="U178" i="62"/>
  <c r="L179" i="62"/>
  <c r="K179" i="62"/>
  <c r="T178" i="62"/>
  <c r="U179" i="62" l="1"/>
  <c r="T179" i="62"/>
  <c r="K180" i="62"/>
  <c r="U180" i="62"/>
  <c r="L180" i="62"/>
  <c r="B182" i="62"/>
  <c r="M181" i="62"/>
  <c r="E181" i="62"/>
  <c r="L181" i="62" l="1"/>
  <c r="K181" i="62"/>
  <c r="T181" i="62"/>
  <c r="T180" i="62"/>
  <c r="B183" i="62"/>
  <c r="E182" i="62"/>
  <c r="M182" i="62"/>
  <c r="B184" i="62" l="1"/>
  <c r="M183" i="62"/>
  <c r="E183" i="62"/>
  <c r="T182" i="62"/>
  <c r="K182" i="62"/>
  <c r="L182" i="62"/>
  <c r="U182" i="62"/>
  <c r="U181" i="62"/>
  <c r="U183" i="62" l="1"/>
  <c r="L183" i="62"/>
  <c r="T183" i="62"/>
  <c r="K183" i="62"/>
  <c r="B185" i="62"/>
  <c r="E184" i="62"/>
  <c r="M184" i="62"/>
  <c r="K184" i="62" l="1"/>
  <c r="L184" i="62"/>
  <c r="B186" i="62"/>
  <c r="M185" i="62"/>
  <c r="E185" i="62"/>
  <c r="B187" i="62" l="1"/>
  <c r="E186" i="62"/>
  <c r="M186" i="62"/>
  <c r="U184" i="62"/>
  <c r="L185" i="62"/>
  <c r="K185" i="62"/>
  <c r="T185" i="62"/>
  <c r="T184" i="62"/>
  <c r="U185" i="62" l="1"/>
  <c r="T186" i="62"/>
  <c r="K186" i="62"/>
  <c r="L186" i="62"/>
  <c r="B188" i="62"/>
  <c r="M187" i="62"/>
  <c r="E187" i="62"/>
  <c r="U186" i="62" l="1"/>
  <c r="U187" i="62"/>
  <c r="L187" i="62"/>
  <c r="T187" i="62"/>
  <c r="K187" i="62"/>
  <c r="B189" i="62"/>
  <c r="E188" i="62"/>
  <c r="M188" i="62"/>
  <c r="K188" i="62" l="1"/>
  <c r="L188" i="62"/>
  <c r="B190" i="62"/>
  <c r="M189" i="62"/>
  <c r="E189" i="62"/>
  <c r="L189" i="62" l="1"/>
  <c r="K189" i="62"/>
  <c r="T189" i="62"/>
  <c r="B191" i="62"/>
  <c r="E190" i="62"/>
  <c r="M190" i="62"/>
  <c r="U188" i="62"/>
  <c r="T188" i="62"/>
  <c r="K190" i="62" l="1"/>
  <c r="L190" i="62"/>
  <c r="B192" i="62"/>
  <c r="M191" i="62"/>
  <c r="E191" i="62"/>
  <c r="U189" i="62"/>
  <c r="B193" i="62" l="1"/>
  <c r="E192" i="62"/>
  <c r="M192" i="62"/>
  <c r="U190" i="62"/>
  <c r="L191" i="62"/>
  <c r="K191" i="62"/>
  <c r="T190" i="62"/>
  <c r="U191" i="62" l="1"/>
  <c r="T191" i="62"/>
  <c r="K192" i="62"/>
  <c r="U192" i="62"/>
  <c r="L192" i="62"/>
  <c r="B194" i="62"/>
  <c r="M193" i="62"/>
  <c r="E193" i="62"/>
  <c r="L193" i="62" l="1"/>
  <c r="K193" i="62"/>
  <c r="T193" i="62"/>
  <c r="T192" i="62"/>
  <c r="B195" i="62"/>
  <c r="E194" i="62"/>
  <c r="M194" i="62"/>
  <c r="B196" i="62" l="1"/>
  <c r="M195" i="62"/>
  <c r="E195" i="62"/>
  <c r="T194" i="62"/>
  <c r="K194" i="62"/>
  <c r="L194" i="62"/>
  <c r="U194" i="62"/>
  <c r="U193" i="62"/>
  <c r="L195" i="62" l="1"/>
  <c r="K195" i="62"/>
  <c r="B197" i="62"/>
  <c r="E196" i="62"/>
  <c r="M196" i="62"/>
  <c r="K196" i="62" l="1"/>
  <c r="L196" i="62"/>
  <c r="B198" i="62"/>
  <c r="M197" i="62"/>
  <c r="E197" i="62"/>
  <c r="T195" i="62"/>
  <c r="U195" i="62"/>
  <c r="B199" i="62" l="1"/>
  <c r="E198" i="62"/>
  <c r="M198" i="62"/>
  <c r="U196" i="62"/>
  <c r="L197" i="62"/>
  <c r="K197" i="62"/>
  <c r="T197" i="62"/>
  <c r="T196" i="62"/>
  <c r="U197" i="62" l="1"/>
  <c r="T198" i="62"/>
  <c r="K198" i="62"/>
  <c r="L198" i="62"/>
  <c r="B200" i="62"/>
  <c r="M199" i="62"/>
  <c r="E199" i="62"/>
  <c r="L199" i="62" l="1"/>
  <c r="K199" i="62"/>
  <c r="B201" i="62"/>
  <c r="E200" i="62"/>
  <c r="M200" i="62"/>
  <c r="U198" i="62"/>
  <c r="K200" i="62" l="1"/>
  <c r="L200" i="62"/>
  <c r="E201" i="62"/>
  <c r="B202" i="62"/>
  <c r="M201" i="62"/>
  <c r="T199" i="62"/>
  <c r="U199" i="62"/>
  <c r="K201" i="62" l="1"/>
  <c r="L201" i="62"/>
  <c r="U200" i="62"/>
  <c r="B203" i="62"/>
  <c r="M202" i="62"/>
  <c r="E202" i="62"/>
  <c r="T200" i="62"/>
  <c r="U202" i="62" l="1"/>
  <c r="K202" i="62"/>
  <c r="T202" i="62"/>
  <c r="L202" i="62"/>
  <c r="U201" i="62"/>
  <c r="B204" i="62"/>
  <c r="E203" i="62"/>
  <c r="M203" i="62"/>
  <c r="T201" i="62"/>
  <c r="K203" i="62" l="1"/>
  <c r="L203" i="62"/>
  <c r="B205" i="62"/>
  <c r="M204" i="62"/>
  <c r="E204" i="62"/>
  <c r="L204" i="62" l="1"/>
  <c r="K204" i="62"/>
  <c r="E205" i="62"/>
  <c r="B206" i="62"/>
  <c r="M205" i="62"/>
  <c r="U203" i="62"/>
  <c r="T203" i="62"/>
  <c r="T204" i="62" l="1"/>
  <c r="K205" i="62"/>
  <c r="L205" i="62"/>
  <c r="B207" i="62"/>
  <c r="M206" i="62"/>
  <c r="E206" i="62"/>
  <c r="U204" i="62"/>
  <c r="U205" i="62" l="1"/>
  <c r="K206" i="62"/>
  <c r="L206" i="62"/>
  <c r="T205" i="62"/>
  <c r="B208" i="62"/>
  <c r="E207" i="62"/>
  <c r="M207" i="62"/>
  <c r="K207" i="62" l="1"/>
  <c r="L207" i="62"/>
  <c r="B209" i="62"/>
  <c r="M208" i="62"/>
  <c r="E208" i="62"/>
  <c r="T206" i="62"/>
  <c r="U206" i="62"/>
  <c r="L208" i="62" l="1"/>
  <c r="K208" i="62"/>
  <c r="E209" i="62"/>
  <c r="B210" i="62"/>
  <c r="M209" i="62"/>
  <c r="U207" i="62"/>
  <c r="T207" i="62"/>
  <c r="T208" i="62" l="1"/>
  <c r="K209" i="62"/>
  <c r="U209" i="62"/>
  <c r="L209" i="62"/>
  <c r="B211" i="62"/>
  <c r="M210" i="62"/>
  <c r="E210" i="62"/>
  <c r="U208" i="62"/>
  <c r="U210" i="62" l="1"/>
  <c r="K210" i="62"/>
  <c r="T210" i="62"/>
  <c r="L210" i="62"/>
  <c r="T209" i="62"/>
  <c r="B212" i="62"/>
  <c r="E211" i="62"/>
  <c r="M211" i="62"/>
  <c r="T211" i="62" l="1"/>
  <c r="K211" i="62"/>
  <c r="L211" i="62"/>
  <c r="B213" i="62"/>
  <c r="M212" i="62"/>
  <c r="E212" i="62"/>
  <c r="U212" i="62" l="1"/>
  <c r="L212" i="62"/>
  <c r="K212" i="62"/>
  <c r="E213" i="62"/>
  <c r="B214" i="62"/>
  <c r="M213" i="62"/>
  <c r="U211" i="62"/>
  <c r="T212" i="62" l="1"/>
  <c r="K213" i="62"/>
  <c r="U213" i="62"/>
  <c r="L213" i="62"/>
  <c r="B215" i="62"/>
  <c r="M214" i="62"/>
  <c r="E214" i="62"/>
  <c r="U214" i="62" l="1"/>
  <c r="K214" i="62"/>
  <c r="T214" i="62"/>
  <c r="L214" i="62"/>
  <c r="T213" i="62"/>
  <c r="B216" i="62"/>
  <c r="E215" i="62"/>
  <c r="M215" i="62"/>
  <c r="K215" i="62" l="1"/>
  <c r="U215" i="62"/>
  <c r="L215" i="62"/>
  <c r="B217" i="62"/>
  <c r="M216" i="62"/>
  <c r="E216" i="62"/>
  <c r="E217" i="62" l="1"/>
  <c r="B218" i="62"/>
  <c r="M217" i="62"/>
  <c r="U216" i="62"/>
  <c r="L216" i="62"/>
  <c r="K216" i="62"/>
  <c r="T215" i="62"/>
  <c r="T216" i="62" l="1"/>
  <c r="T217" i="62"/>
  <c r="K217" i="62"/>
  <c r="L217" i="62"/>
  <c r="B219" i="62"/>
  <c r="M218" i="62"/>
  <c r="E218" i="62"/>
  <c r="U217" i="62" l="1"/>
  <c r="K218" i="62"/>
  <c r="T218" i="62"/>
  <c r="L218" i="62"/>
  <c r="B220" i="62"/>
  <c r="E219" i="62"/>
  <c r="M219" i="62"/>
  <c r="U218" i="62" l="1"/>
  <c r="T219" i="62"/>
  <c r="K219" i="62"/>
  <c r="U219" i="62"/>
  <c r="L219" i="62"/>
  <c r="B221" i="62"/>
  <c r="M220" i="62"/>
  <c r="E220" i="62"/>
  <c r="U220" i="62" l="1"/>
  <c r="L220" i="62"/>
  <c r="K220" i="62"/>
  <c r="E221" i="62"/>
  <c r="B222" i="62"/>
  <c r="M221" i="62"/>
  <c r="T220" i="62" l="1"/>
  <c r="K221" i="62"/>
  <c r="U221" i="62"/>
  <c r="L221" i="62"/>
  <c r="B223" i="62"/>
  <c r="M222" i="62"/>
  <c r="E222" i="62"/>
  <c r="U222" i="62" l="1"/>
  <c r="K222" i="62"/>
  <c r="T222" i="62"/>
  <c r="L222" i="62"/>
  <c r="T221" i="62"/>
  <c r="B224" i="62"/>
  <c r="E223" i="62"/>
  <c r="M223" i="62"/>
  <c r="B225" i="62" l="1"/>
  <c r="M224" i="62"/>
  <c r="E224" i="62"/>
  <c r="T223" i="62"/>
  <c r="K223" i="62"/>
  <c r="U223" i="62"/>
  <c r="L223" i="62"/>
  <c r="L224" i="62" l="1"/>
  <c r="K224" i="62"/>
  <c r="E225" i="62"/>
  <c r="B226" i="62"/>
  <c r="M225" i="62"/>
  <c r="T224" i="62" l="1"/>
  <c r="K225" i="62"/>
  <c r="U225" i="62"/>
  <c r="L225" i="62"/>
  <c r="B227" i="62"/>
  <c r="M226" i="62"/>
  <c r="E226" i="62"/>
  <c r="U224" i="62"/>
  <c r="U226" i="62" l="1"/>
  <c r="K226" i="62"/>
  <c r="T226" i="62"/>
  <c r="L226" i="62"/>
  <c r="T225" i="62"/>
  <c r="B228" i="62"/>
  <c r="E227" i="62"/>
  <c r="M227" i="62"/>
  <c r="K227" i="62" l="1"/>
  <c r="L227" i="62"/>
  <c r="M228" i="62"/>
  <c r="B229" i="62"/>
  <c r="E228" i="62"/>
  <c r="E229" i="62" l="1"/>
  <c r="B230" i="62"/>
  <c r="M229" i="62"/>
  <c r="U228" i="62"/>
  <c r="L228" i="62"/>
  <c r="K228" i="62"/>
  <c r="U227" i="62"/>
  <c r="T227" i="62"/>
  <c r="T228" i="62" l="1"/>
  <c r="L229" i="62"/>
  <c r="K229" i="62"/>
  <c r="E230" i="62"/>
  <c r="M230" i="62"/>
  <c r="B231" i="62"/>
  <c r="T229" i="62" l="1"/>
  <c r="U229" i="62"/>
  <c r="U230" i="62"/>
  <c r="K230" i="62"/>
  <c r="T230" i="62"/>
  <c r="L230" i="62"/>
  <c r="E231" i="62"/>
  <c r="B232" i="62"/>
  <c r="M231" i="62"/>
  <c r="L231" i="62" l="1"/>
  <c r="K231" i="62"/>
  <c r="E232" i="62"/>
  <c r="M232" i="62"/>
  <c r="B233" i="62"/>
  <c r="K232" i="62" l="1"/>
  <c r="U232" i="62"/>
  <c r="L232" i="62"/>
  <c r="E233" i="62"/>
  <c r="B234" i="62"/>
  <c r="M233" i="62"/>
  <c r="U231" i="62"/>
  <c r="T231" i="62"/>
  <c r="L233" i="62" l="1"/>
  <c r="T233" i="62"/>
  <c r="K233" i="62"/>
  <c r="U233" i="62"/>
  <c r="E234" i="62"/>
  <c r="M234" i="62"/>
  <c r="B235" i="62"/>
  <c r="T232" i="62"/>
  <c r="E235" i="62" l="1"/>
  <c r="B236" i="62"/>
  <c r="M235" i="62"/>
  <c r="U234" i="62"/>
  <c r="K234" i="62"/>
  <c r="T234" i="62"/>
  <c r="L234" i="62"/>
  <c r="L235" i="62" l="1"/>
  <c r="K235" i="62"/>
  <c r="E236" i="62"/>
  <c r="M236" i="62"/>
  <c r="B237" i="62"/>
  <c r="U235" i="62" l="1"/>
  <c r="E237" i="62"/>
  <c r="B238" i="62"/>
  <c r="M237" i="62"/>
  <c r="T235" i="62"/>
  <c r="T236" i="62"/>
  <c r="U236" i="62"/>
  <c r="L236" i="62"/>
  <c r="K236" i="62"/>
  <c r="E238" i="62" l="1"/>
  <c r="M238" i="62"/>
  <c r="B239" i="62"/>
  <c r="L237" i="62"/>
  <c r="K237" i="62"/>
  <c r="U237" i="62"/>
  <c r="T237" i="62" l="1"/>
  <c r="K238" i="62"/>
  <c r="T238" i="62"/>
  <c r="L238" i="62"/>
  <c r="E239" i="62"/>
  <c r="B240" i="62"/>
  <c r="M239" i="62"/>
  <c r="E240" i="62" l="1"/>
  <c r="M240" i="62"/>
  <c r="B241" i="62"/>
  <c r="L239" i="62"/>
  <c r="K239" i="62"/>
  <c r="U239" i="62"/>
  <c r="U238" i="62"/>
  <c r="T239" i="62" l="1"/>
  <c r="E241" i="62"/>
  <c r="B242" i="62"/>
  <c r="M241" i="62"/>
  <c r="K240" i="62"/>
  <c r="U240" i="62"/>
  <c r="L240" i="62"/>
  <c r="L241" i="62" l="1"/>
  <c r="T241" i="62"/>
  <c r="K241" i="62"/>
  <c r="U241" i="62"/>
  <c r="T240" i="62"/>
  <c r="E242" i="62"/>
  <c r="M242" i="62"/>
  <c r="B243" i="62"/>
  <c r="U242" i="62" l="1"/>
  <c r="K242" i="62"/>
  <c r="T242" i="62"/>
  <c r="L242" i="62"/>
  <c r="E243" i="62"/>
  <c r="B244" i="62"/>
  <c r="M243" i="62"/>
  <c r="L243" i="62" l="1"/>
  <c r="K243" i="62"/>
  <c r="E244" i="62"/>
  <c r="M244" i="62"/>
  <c r="B245" i="62"/>
  <c r="U243" i="62" l="1"/>
  <c r="E245" i="62"/>
  <c r="B246" i="62"/>
  <c r="M245" i="62"/>
  <c r="T243" i="62"/>
  <c r="T244" i="62"/>
  <c r="U244" i="62"/>
  <c r="L244" i="62"/>
  <c r="K244" i="62"/>
  <c r="E246" i="62" l="1"/>
  <c r="M246" i="62"/>
  <c r="B247" i="62"/>
  <c r="L245" i="62"/>
  <c r="K245" i="62"/>
  <c r="U245" i="62"/>
  <c r="T245" i="62" l="1"/>
  <c r="K246" i="62"/>
  <c r="T246" i="62"/>
  <c r="L246" i="62"/>
  <c r="E247" i="62"/>
  <c r="M247" i="62"/>
  <c r="L247" i="62" l="1"/>
  <c r="K247" i="62"/>
  <c r="X27" i="62"/>
  <c r="AA27" i="62"/>
  <c r="Z9" i="62"/>
  <c r="H8" i="62"/>
  <c r="Y9" i="62"/>
  <c r="I9" i="62"/>
  <c r="X9" i="62"/>
  <c r="H9" i="62"/>
  <c r="I10" i="62"/>
  <c r="H10" i="62"/>
  <c r="Y10" i="62"/>
  <c r="X10" i="62"/>
  <c r="X11" i="62"/>
  <c r="AA9" i="62"/>
  <c r="Z10" i="62"/>
  <c r="AA10" i="62"/>
  <c r="Z12" i="62"/>
  <c r="I12" i="62"/>
  <c r="H12" i="62"/>
  <c r="AA11" i="62"/>
  <c r="I11" i="62"/>
  <c r="H11" i="62"/>
  <c r="Y11" i="62"/>
  <c r="Z11" i="62"/>
  <c r="AA12" i="62"/>
  <c r="X12" i="62"/>
  <c r="Z14" i="62"/>
  <c r="H13" i="62"/>
  <c r="Y13" i="62"/>
  <c r="AA13" i="62"/>
  <c r="X13" i="62"/>
  <c r="Y12" i="62"/>
  <c r="Z13" i="62"/>
  <c r="I13" i="62"/>
  <c r="Y15" i="62"/>
  <c r="Z15" i="62"/>
  <c r="I14" i="62"/>
  <c r="H15" i="62"/>
  <c r="X16" i="62"/>
  <c r="AA15" i="62"/>
  <c r="I15" i="62"/>
  <c r="X14" i="62"/>
  <c r="H14" i="62"/>
  <c r="X15" i="62"/>
  <c r="AA14" i="62"/>
  <c r="Y14" i="62"/>
  <c r="AA16" i="62"/>
  <c r="AA17" i="62"/>
  <c r="I16" i="62"/>
  <c r="Z16" i="62"/>
  <c r="I17" i="62"/>
  <c r="H16" i="62"/>
  <c r="H17" i="62"/>
  <c r="X17" i="62"/>
  <c r="Y16" i="62"/>
  <c r="Y17" i="62"/>
  <c r="Z17" i="62"/>
  <c r="X18" i="62"/>
  <c r="AA18" i="62"/>
  <c r="H18" i="62"/>
  <c r="I18" i="62"/>
  <c r="AA19" i="62"/>
  <c r="X21" i="62"/>
  <c r="Z18" i="62"/>
  <c r="X20" i="62"/>
  <c r="H19" i="62"/>
  <c r="X19" i="62"/>
  <c r="Y19" i="62"/>
  <c r="Y18" i="62"/>
  <c r="Z20" i="62"/>
  <c r="I21" i="62"/>
  <c r="Z19" i="62"/>
  <c r="AA20" i="62"/>
  <c r="I19" i="62"/>
  <c r="Y20" i="62"/>
  <c r="H20" i="62"/>
  <c r="H23" i="62"/>
  <c r="Z21" i="62"/>
  <c r="H22" i="62"/>
  <c r="H21" i="62"/>
  <c r="Y21" i="62"/>
  <c r="Y22" i="62"/>
  <c r="AA22" i="62"/>
  <c r="I20" i="62"/>
  <c r="AA21" i="62"/>
  <c r="Z22" i="62"/>
  <c r="H24" i="62"/>
  <c r="Y24" i="62"/>
  <c r="X22" i="62"/>
  <c r="Z24" i="62"/>
  <c r="AA23" i="62"/>
  <c r="Z23" i="62"/>
  <c r="I23" i="62"/>
  <c r="Y23" i="62"/>
  <c r="I22" i="62"/>
  <c r="AA24" i="62"/>
  <c r="X24" i="62"/>
  <c r="X23" i="62"/>
  <c r="I25" i="62"/>
  <c r="I24" i="62"/>
  <c r="Y25" i="62"/>
  <c r="Z25" i="62"/>
  <c r="AA25" i="62"/>
  <c r="AA26" i="62"/>
  <c r="Y26" i="62"/>
  <c r="I27" i="62"/>
  <c r="H25" i="62"/>
  <c r="X25" i="62"/>
  <c r="H26" i="62"/>
  <c r="X26" i="62"/>
  <c r="H27" i="62"/>
  <c r="Z26" i="62"/>
  <c r="I26" i="62"/>
  <c r="Z27" i="62"/>
  <c r="I8" i="62"/>
  <c r="U246" i="62"/>
  <c r="I33" i="62" l="1"/>
  <c r="T247" i="62"/>
  <c r="Y8" i="62"/>
  <c r="Y27" i="62"/>
  <c r="U247" i="62"/>
  <c r="AA8" i="62"/>
  <c r="AA37" i="62" s="1"/>
  <c r="X8" i="62"/>
  <c r="X37" i="62" s="1"/>
  <c r="H33" i="62"/>
  <c r="Z8" i="62"/>
  <c r="Z37" i="62" s="1"/>
  <c r="Y37" i="62" l="1"/>
  <c r="E32" i="58" l="1"/>
  <c r="B7" i="58"/>
  <c r="B8" i="58" s="1"/>
  <c r="B9" i="58" s="1"/>
  <c r="B10" i="58" s="1"/>
  <c r="B11" i="58" s="1"/>
  <c r="B12" i="58" s="1"/>
  <c r="B13" i="58" s="1"/>
  <c r="B14" i="58" s="1"/>
  <c r="B15" i="58" s="1"/>
  <c r="B16" i="58" s="1"/>
  <c r="B17" i="58" s="1"/>
  <c r="B18" i="58" s="1"/>
  <c r="D32" i="58" l="1"/>
  <c r="I11" i="45" l="1"/>
  <c r="I12" i="45" s="1"/>
  <c r="I13" i="45" s="1"/>
  <c r="I14" i="45" s="1"/>
  <c r="I15" i="45" l="1"/>
  <c r="I11" i="44"/>
  <c r="I12" i="44" s="1"/>
  <c r="I13" i="44" s="1"/>
  <c r="I14" i="44" s="1"/>
  <c r="I15" i="44" s="1"/>
  <c r="I16" i="44" s="1"/>
  <c r="I17" i="44" s="1"/>
  <c r="I18" i="44" s="1"/>
  <c r="I19" i="44" s="1"/>
  <c r="I20" i="44" s="1"/>
  <c r="I21" i="44" s="1"/>
  <c r="I22" i="44" s="1"/>
  <c r="I23" i="44" s="1"/>
  <c r="I24" i="44" s="1"/>
  <c r="I25" i="44" s="1"/>
  <c r="I26" i="44" s="1"/>
  <c r="I27" i="44" s="1"/>
  <c r="I34" i="44" l="1"/>
  <c r="I35" i="44"/>
  <c r="I36" i="44"/>
  <c r="I16" i="45"/>
  <c r="I17" i="45" l="1"/>
  <c r="I18" i="45" l="1"/>
  <c r="I19" i="45" l="1"/>
  <c r="N10" i="13"/>
  <c r="K10" i="13"/>
  <c r="H10" i="13"/>
  <c r="E10" i="13"/>
  <c r="I20" i="45" l="1"/>
  <c r="I21" i="45" l="1"/>
  <c r="I22" i="45" l="1"/>
  <c r="I23" i="45" l="1"/>
  <c r="I24" i="45" l="1"/>
  <c r="I25" i="45" l="1"/>
  <c r="B28" i="32"/>
  <c r="B29" i="32" s="1"/>
  <c r="I26" i="45" l="1"/>
  <c r="I34" i="45"/>
  <c r="F10" i="59"/>
  <c r="E10" i="59"/>
  <c r="D10" i="59"/>
  <c r="C10" i="59"/>
  <c r="B11" i="59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I27" i="45" l="1"/>
  <c r="I35" i="45"/>
  <c r="H10" i="59"/>
  <c r="H11" i="59" s="1"/>
  <c r="I36" i="45" l="1"/>
  <c r="H12" i="59"/>
  <c r="J11" i="59"/>
  <c r="E11" i="59" l="1"/>
  <c r="F11" i="59"/>
  <c r="D11" i="59"/>
  <c r="C11" i="59"/>
  <c r="H13" i="59"/>
  <c r="J12" i="59"/>
  <c r="E12" i="59" l="1"/>
  <c r="D12" i="59"/>
  <c r="F12" i="59"/>
  <c r="C12" i="59"/>
  <c r="H14" i="59"/>
  <c r="J13" i="59"/>
  <c r="E13" i="59" l="1"/>
  <c r="C13" i="59"/>
  <c r="F13" i="59"/>
  <c r="D13" i="59"/>
  <c r="H15" i="59"/>
  <c r="J14" i="59"/>
  <c r="E14" i="59" l="1"/>
  <c r="D14" i="59"/>
  <c r="C14" i="59"/>
  <c r="F14" i="59"/>
  <c r="H16" i="59"/>
  <c r="J15" i="59"/>
  <c r="E15" i="59" l="1"/>
  <c r="F15" i="59"/>
  <c r="D15" i="59"/>
  <c r="C15" i="59"/>
  <c r="H17" i="59"/>
  <c r="J16" i="59"/>
  <c r="E16" i="59" l="1"/>
  <c r="D16" i="59"/>
  <c r="F16" i="59"/>
  <c r="C16" i="59"/>
  <c r="H18" i="59"/>
  <c r="J17" i="59"/>
  <c r="E17" i="59" l="1"/>
  <c r="C17" i="59"/>
  <c r="F17" i="59"/>
  <c r="D17" i="59"/>
  <c r="H19" i="59"/>
  <c r="J18" i="59"/>
  <c r="E18" i="59" l="1"/>
  <c r="D18" i="59"/>
  <c r="C18" i="59"/>
  <c r="F18" i="59"/>
  <c r="H20" i="59"/>
  <c r="J19" i="59"/>
  <c r="E19" i="59" l="1"/>
  <c r="D19" i="59"/>
  <c r="F19" i="59"/>
  <c r="C19" i="59"/>
  <c r="H21" i="59"/>
  <c r="J20" i="59"/>
  <c r="E20" i="59" l="1"/>
  <c r="D20" i="59"/>
  <c r="F20" i="59"/>
  <c r="C20" i="59"/>
  <c r="H22" i="59"/>
  <c r="J21" i="59"/>
  <c r="E21" i="59" l="1"/>
  <c r="C21" i="59"/>
  <c r="D21" i="59"/>
  <c r="F21" i="59"/>
  <c r="H23" i="59"/>
  <c r="J22" i="59"/>
  <c r="E22" i="59" l="1"/>
  <c r="C22" i="59"/>
  <c r="F22" i="59"/>
  <c r="D22" i="59"/>
  <c r="H24" i="59"/>
  <c r="J23" i="59"/>
  <c r="E23" i="59" l="1"/>
  <c r="F23" i="59"/>
  <c r="C23" i="59"/>
  <c r="D23" i="59"/>
  <c r="H25" i="59"/>
  <c r="J24" i="59"/>
  <c r="E24" i="59" l="1"/>
  <c r="F24" i="59"/>
  <c r="D24" i="59"/>
  <c r="C24" i="59"/>
  <c r="H26" i="59"/>
  <c r="J25" i="59"/>
  <c r="E25" i="59" l="1"/>
  <c r="C25" i="59"/>
  <c r="D25" i="59"/>
  <c r="F25" i="59"/>
  <c r="H27" i="59"/>
  <c r="J26" i="59"/>
  <c r="E26" i="59" l="1"/>
  <c r="C26" i="59"/>
  <c r="F26" i="59"/>
  <c r="D26" i="59"/>
  <c r="H28" i="59"/>
  <c r="J27" i="59"/>
  <c r="E27" i="59" l="1"/>
  <c r="F27" i="59"/>
  <c r="C27" i="59"/>
  <c r="D27" i="59"/>
  <c r="H29" i="59"/>
  <c r="J28" i="59"/>
  <c r="E28" i="59" l="1"/>
  <c r="F28" i="59"/>
  <c r="D28" i="59"/>
  <c r="C28" i="59"/>
  <c r="H30" i="59"/>
  <c r="J29" i="59"/>
  <c r="E29" i="59" l="1"/>
  <c r="C29" i="59"/>
  <c r="D29" i="59"/>
  <c r="F29" i="59"/>
  <c r="H31" i="59"/>
  <c r="J30" i="59"/>
  <c r="E30" i="59" l="1"/>
  <c r="C30" i="59"/>
  <c r="F30" i="59"/>
  <c r="D30" i="59"/>
  <c r="H32" i="59"/>
  <c r="J31" i="59"/>
  <c r="E31" i="59" l="1"/>
  <c r="F31" i="59"/>
  <c r="C31" i="59"/>
  <c r="D31" i="59"/>
  <c r="H33" i="59"/>
  <c r="J32" i="59"/>
  <c r="E32" i="59" l="1"/>
  <c r="F32" i="59"/>
  <c r="D32" i="59"/>
  <c r="C32" i="59"/>
  <c r="H34" i="59"/>
  <c r="J33" i="59"/>
  <c r="E33" i="59" l="1"/>
  <c r="C33" i="59"/>
  <c r="D33" i="59"/>
  <c r="F33" i="59"/>
  <c r="H35" i="59"/>
  <c r="J34" i="59"/>
  <c r="E34" i="59" l="1"/>
  <c r="C34" i="59"/>
  <c r="F34" i="59"/>
  <c r="D34" i="59"/>
  <c r="H36" i="59"/>
  <c r="J35" i="59"/>
  <c r="E35" i="59" l="1"/>
  <c r="F35" i="59"/>
  <c r="C35" i="59"/>
  <c r="D35" i="59"/>
  <c r="J36" i="59"/>
  <c r="E36" i="59" l="1"/>
  <c r="F36" i="59"/>
  <c r="C36" i="59"/>
  <c r="D36" i="59"/>
  <c r="M12" i="58" l="1"/>
  <c r="M11" i="58"/>
  <c r="M10" i="58"/>
  <c r="M9" i="58"/>
  <c r="M8" i="58"/>
  <c r="M7" i="58"/>
  <c r="B11" i="39" l="1"/>
  <c r="E11" i="39" l="1"/>
  <c r="D11" i="39"/>
  <c r="C11" i="39"/>
  <c r="F11" i="39"/>
  <c r="B12" i="39"/>
  <c r="E12" i="39" l="1"/>
  <c r="D12" i="39"/>
  <c r="C12" i="39"/>
  <c r="F12" i="39"/>
  <c r="B13" i="39"/>
  <c r="B11" i="45"/>
  <c r="D11" i="45" l="1"/>
  <c r="C11" i="45"/>
  <c r="E11" i="45"/>
  <c r="F11" i="45"/>
  <c r="E13" i="39"/>
  <c r="D13" i="39"/>
  <c r="C13" i="39"/>
  <c r="F13" i="39"/>
  <c r="B14" i="39"/>
  <c r="B12" i="45"/>
  <c r="D12" i="45" l="1"/>
  <c r="C12" i="45"/>
  <c r="E12" i="45"/>
  <c r="F12" i="45"/>
  <c r="E14" i="39"/>
  <c r="D14" i="39"/>
  <c r="C14" i="39"/>
  <c r="F14" i="39"/>
  <c r="B15" i="39"/>
  <c r="B13" i="45"/>
  <c r="D13" i="45" l="1"/>
  <c r="C13" i="45"/>
  <c r="E13" i="45"/>
  <c r="F13" i="45"/>
  <c r="E15" i="39"/>
  <c r="D15" i="39"/>
  <c r="C15" i="39"/>
  <c r="F15" i="39"/>
  <c r="B16" i="39"/>
  <c r="B14" i="45"/>
  <c r="D14" i="45" l="1"/>
  <c r="C14" i="45"/>
  <c r="E14" i="45"/>
  <c r="F14" i="45"/>
  <c r="E16" i="39"/>
  <c r="D16" i="39"/>
  <c r="C16" i="39"/>
  <c r="F16" i="39"/>
  <c r="B17" i="39"/>
  <c r="L10" i="44"/>
  <c r="U10" i="44"/>
  <c r="R10" i="44"/>
  <c r="O10" i="44"/>
  <c r="B15" i="45"/>
  <c r="B11" i="44"/>
  <c r="C11" i="44" l="1"/>
  <c r="L11" i="44" s="1"/>
  <c r="F11" i="44"/>
  <c r="U11" i="44" s="1"/>
  <c r="E11" i="44"/>
  <c r="R11" i="44" s="1"/>
  <c r="D11" i="44"/>
  <c r="O11" i="44" s="1"/>
  <c r="D15" i="45"/>
  <c r="C15" i="45"/>
  <c r="E15" i="45"/>
  <c r="F15" i="45"/>
  <c r="E17" i="39"/>
  <c r="D17" i="39"/>
  <c r="C17" i="39"/>
  <c r="F17" i="39"/>
  <c r="B18" i="39"/>
  <c r="B19" i="39" s="1"/>
  <c r="B16" i="45"/>
  <c r="B12" i="44"/>
  <c r="C12" i="44" l="1"/>
  <c r="L12" i="44" s="1"/>
  <c r="F12" i="44"/>
  <c r="E12" i="44"/>
  <c r="R12" i="44" s="1"/>
  <c r="D12" i="44"/>
  <c r="O12" i="44" s="1"/>
  <c r="D16" i="45"/>
  <c r="C16" i="45"/>
  <c r="E16" i="45"/>
  <c r="F16" i="45"/>
  <c r="E19" i="39"/>
  <c r="D19" i="39"/>
  <c r="C19" i="39"/>
  <c r="F19" i="39"/>
  <c r="E18" i="39"/>
  <c r="D18" i="39"/>
  <c r="C18" i="39"/>
  <c r="F18" i="39"/>
  <c r="B17" i="45"/>
  <c r="B20" i="39"/>
  <c r="B13" i="44"/>
  <c r="D17" i="45" l="1"/>
  <c r="C17" i="45"/>
  <c r="E17" i="45"/>
  <c r="F17" i="45"/>
  <c r="C13" i="44"/>
  <c r="L13" i="44" s="1"/>
  <c r="F13" i="44"/>
  <c r="E13" i="44"/>
  <c r="R13" i="44" s="1"/>
  <c r="D13" i="44"/>
  <c r="O13" i="44" s="1"/>
  <c r="E20" i="39"/>
  <c r="D20" i="39"/>
  <c r="C20" i="39"/>
  <c r="F20" i="39"/>
  <c r="U12" i="44"/>
  <c r="B18" i="45"/>
  <c r="B21" i="39"/>
  <c r="B14" i="44"/>
  <c r="C14" i="44" l="1"/>
  <c r="F14" i="44"/>
  <c r="U14" i="44" s="1"/>
  <c r="E14" i="44"/>
  <c r="D14" i="44"/>
  <c r="D18" i="45"/>
  <c r="C18" i="45"/>
  <c r="E18" i="45"/>
  <c r="F18" i="45"/>
  <c r="E21" i="39"/>
  <c r="D21" i="39"/>
  <c r="C21" i="39"/>
  <c r="F21" i="39"/>
  <c r="L14" i="44"/>
  <c r="U13" i="44"/>
  <c r="B19" i="45"/>
  <c r="B22" i="39"/>
  <c r="B15" i="44"/>
  <c r="D19" i="45" l="1"/>
  <c r="C19" i="45"/>
  <c r="E19" i="45"/>
  <c r="F19" i="45"/>
  <c r="C15" i="44"/>
  <c r="F15" i="44"/>
  <c r="U15" i="44" s="1"/>
  <c r="E15" i="44"/>
  <c r="R15" i="44" s="1"/>
  <c r="D15" i="44"/>
  <c r="E22" i="39"/>
  <c r="D22" i="39"/>
  <c r="C22" i="39"/>
  <c r="F22" i="39"/>
  <c r="L15" i="44"/>
  <c r="O14" i="44"/>
  <c r="R14" i="44"/>
  <c r="B20" i="45"/>
  <c r="B23" i="39"/>
  <c r="B16" i="44"/>
  <c r="D20" i="45" l="1"/>
  <c r="C20" i="45"/>
  <c r="E20" i="45"/>
  <c r="F20" i="45"/>
  <c r="C16" i="44"/>
  <c r="L16" i="44" s="1"/>
  <c r="F16" i="44"/>
  <c r="U16" i="44" s="1"/>
  <c r="E16" i="44"/>
  <c r="D16" i="44"/>
  <c r="O16" i="44" s="1"/>
  <c r="E23" i="39"/>
  <c r="D23" i="39"/>
  <c r="C23" i="39"/>
  <c r="F23" i="39"/>
  <c r="O15" i="44"/>
  <c r="B21" i="45"/>
  <c r="B24" i="39"/>
  <c r="B17" i="44"/>
  <c r="D21" i="45" l="1"/>
  <c r="C21" i="45"/>
  <c r="E21" i="45"/>
  <c r="F21" i="45"/>
  <c r="C17" i="44"/>
  <c r="L17" i="44" s="1"/>
  <c r="F17" i="44"/>
  <c r="U17" i="44" s="1"/>
  <c r="E17" i="44"/>
  <c r="R17" i="44" s="1"/>
  <c r="D17" i="44"/>
  <c r="O17" i="44" s="1"/>
  <c r="E24" i="39"/>
  <c r="D24" i="39"/>
  <c r="C24" i="39"/>
  <c r="F24" i="39"/>
  <c r="R16" i="44"/>
  <c r="B22" i="45"/>
  <c r="B25" i="39"/>
  <c r="B18" i="44"/>
  <c r="C18" i="44" l="1"/>
  <c r="L18" i="44" s="1"/>
  <c r="F18" i="44"/>
  <c r="U18" i="44" s="1"/>
  <c r="E18" i="44"/>
  <c r="R18" i="44" s="1"/>
  <c r="D18" i="44"/>
  <c r="O18" i="44" s="1"/>
  <c r="D22" i="45"/>
  <c r="C22" i="45"/>
  <c r="E22" i="45"/>
  <c r="F22" i="45"/>
  <c r="E25" i="39"/>
  <c r="D25" i="39"/>
  <c r="C25" i="39"/>
  <c r="F25" i="39"/>
  <c r="B23" i="45"/>
  <c r="B26" i="39"/>
  <c r="B19" i="44"/>
  <c r="D23" i="45" l="1"/>
  <c r="C23" i="45"/>
  <c r="E23" i="45"/>
  <c r="F23" i="45"/>
  <c r="C19" i="44"/>
  <c r="F19" i="44"/>
  <c r="U19" i="44" s="1"/>
  <c r="E19" i="44"/>
  <c r="R19" i="44" s="1"/>
  <c r="D19" i="44"/>
  <c r="O19" i="44" s="1"/>
  <c r="E26" i="39"/>
  <c r="D26" i="39"/>
  <c r="C26" i="39"/>
  <c r="F26" i="39"/>
  <c r="L19" i="44"/>
  <c r="B24" i="45"/>
  <c r="B27" i="39"/>
  <c r="B20" i="44"/>
  <c r="D24" i="45" l="1"/>
  <c r="C24" i="45"/>
  <c r="E24" i="45"/>
  <c r="F24" i="45"/>
  <c r="C20" i="44"/>
  <c r="L20" i="44" s="1"/>
  <c r="F20" i="44"/>
  <c r="U20" i="44" s="1"/>
  <c r="E20" i="44"/>
  <c r="R20" i="44" s="1"/>
  <c r="D20" i="44"/>
  <c r="O20" i="44" s="1"/>
  <c r="E27" i="39"/>
  <c r="D27" i="39"/>
  <c r="C27" i="39"/>
  <c r="F27" i="39"/>
  <c r="B25" i="45"/>
  <c r="B28" i="39"/>
  <c r="B21" i="44"/>
  <c r="D25" i="45" l="1"/>
  <c r="C25" i="45"/>
  <c r="E25" i="45"/>
  <c r="F25" i="45"/>
  <c r="C21" i="44"/>
  <c r="L21" i="44" s="1"/>
  <c r="F21" i="44"/>
  <c r="U21" i="44" s="1"/>
  <c r="E21" i="44"/>
  <c r="R21" i="44" s="1"/>
  <c r="D21" i="44"/>
  <c r="O21" i="44" s="1"/>
  <c r="E28" i="39"/>
  <c r="D28" i="39"/>
  <c r="C28" i="39"/>
  <c r="F28" i="39"/>
  <c r="B26" i="45"/>
  <c r="B29" i="39"/>
  <c r="B22" i="44"/>
  <c r="D26" i="45" l="1"/>
  <c r="C26" i="45"/>
  <c r="E26" i="45"/>
  <c r="F26" i="45"/>
  <c r="C22" i="44"/>
  <c r="F22" i="44"/>
  <c r="U22" i="44" s="1"/>
  <c r="E22" i="44"/>
  <c r="R22" i="44" s="1"/>
  <c r="D22" i="44"/>
  <c r="O22" i="44" s="1"/>
  <c r="E29" i="39"/>
  <c r="D29" i="39"/>
  <c r="C29" i="39"/>
  <c r="F29" i="39"/>
  <c r="L22" i="44"/>
  <c r="B30" i="39"/>
  <c r="B27" i="45"/>
  <c r="B23" i="44"/>
  <c r="C23" i="44" l="1"/>
  <c r="F23" i="44"/>
  <c r="U23" i="44" s="1"/>
  <c r="E23" i="44"/>
  <c r="R23" i="44" s="1"/>
  <c r="D23" i="44"/>
  <c r="O23" i="44" s="1"/>
  <c r="D27" i="45"/>
  <c r="C27" i="45"/>
  <c r="E27" i="45"/>
  <c r="F27" i="45"/>
  <c r="E30" i="39"/>
  <c r="D30" i="39"/>
  <c r="C30" i="39"/>
  <c r="F30" i="39"/>
  <c r="L23" i="44"/>
  <c r="B28" i="45"/>
  <c r="B24" i="44"/>
  <c r="C24" i="44" l="1"/>
  <c r="F24" i="44"/>
  <c r="U24" i="44" s="1"/>
  <c r="E24" i="44"/>
  <c r="R24" i="44" s="1"/>
  <c r="D24" i="44"/>
  <c r="O24" i="44" s="1"/>
  <c r="D28" i="45"/>
  <c r="C28" i="45"/>
  <c r="E28" i="45"/>
  <c r="F28" i="45"/>
  <c r="L24" i="44"/>
  <c r="B29" i="45"/>
  <c r="B25" i="44"/>
  <c r="C25" i="44" l="1"/>
  <c r="F25" i="44"/>
  <c r="U25" i="44" s="1"/>
  <c r="E25" i="44"/>
  <c r="R25" i="44" s="1"/>
  <c r="D25" i="44"/>
  <c r="O25" i="44" s="1"/>
  <c r="D29" i="45"/>
  <c r="C29" i="45"/>
  <c r="E29" i="45"/>
  <c r="F29" i="45"/>
  <c r="L25" i="44"/>
  <c r="B30" i="45"/>
  <c r="B26" i="44"/>
  <c r="C26" i="44" l="1"/>
  <c r="L26" i="44" s="1"/>
  <c r="L35" i="44" s="1"/>
  <c r="M35" i="44" s="1"/>
  <c r="C35" i="44" s="1"/>
  <c r="F26" i="44"/>
  <c r="U26" i="44" s="1"/>
  <c r="U35" i="44" s="1"/>
  <c r="V35" i="44" s="1"/>
  <c r="F35" i="44" s="1"/>
  <c r="E26" i="44"/>
  <c r="R26" i="44" s="1"/>
  <c r="R35" i="44" s="1"/>
  <c r="S35" i="44" s="1"/>
  <c r="E35" i="44" s="1"/>
  <c r="D26" i="44"/>
  <c r="O26" i="44" s="1"/>
  <c r="O35" i="44" s="1"/>
  <c r="P35" i="44" s="1"/>
  <c r="D35" i="44" s="1"/>
  <c r="D30" i="45"/>
  <c r="C30" i="45"/>
  <c r="F30" i="45"/>
  <c r="E30" i="45"/>
  <c r="R41" i="44"/>
  <c r="R34" i="44"/>
  <c r="S34" i="44" s="1"/>
  <c r="O34" i="44"/>
  <c r="P34" i="44" s="1"/>
  <c r="O41" i="44"/>
  <c r="U34" i="44"/>
  <c r="V34" i="44" s="1"/>
  <c r="U41" i="44"/>
  <c r="L41" i="44"/>
  <c r="L34" i="44"/>
  <c r="M34" i="44" s="1"/>
  <c r="B27" i="44"/>
  <c r="C27" i="44" l="1"/>
  <c r="L27" i="44" s="1"/>
  <c r="L36" i="44" s="1"/>
  <c r="M36" i="44" s="1"/>
  <c r="C36" i="44" s="1"/>
  <c r="F27" i="44"/>
  <c r="U27" i="44" s="1"/>
  <c r="U36" i="44" s="1"/>
  <c r="V36" i="44" s="1"/>
  <c r="F36" i="44" s="1"/>
  <c r="E27" i="44"/>
  <c r="R27" i="44" s="1"/>
  <c r="R36" i="44" s="1"/>
  <c r="S36" i="44" s="1"/>
  <c r="E36" i="44" s="1"/>
  <c r="D27" i="44"/>
  <c r="O27" i="44" s="1"/>
  <c r="O36" i="44" s="1"/>
  <c r="P36" i="44" s="1"/>
  <c r="D36" i="44" s="1"/>
  <c r="P26" i="44"/>
  <c r="P22" i="44"/>
  <c r="P18" i="44"/>
  <c r="P14" i="44"/>
  <c r="P10" i="44"/>
  <c r="P20" i="44"/>
  <c r="P16" i="44"/>
  <c r="P27" i="44"/>
  <c r="P23" i="44"/>
  <c r="P15" i="44"/>
  <c r="P25" i="44"/>
  <c r="P21" i="44"/>
  <c r="P17" i="44"/>
  <c r="P13" i="44"/>
  <c r="D34" i="44"/>
  <c r="P24" i="44"/>
  <c r="P12" i="44"/>
  <c r="P19" i="44"/>
  <c r="P11" i="44"/>
  <c r="C34" i="44"/>
  <c r="M18" i="44"/>
  <c r="M21" i="44"/>
  <c r="M20" i="44"/>
  <c r="M23" i="44"/>
  <c r="M11" i="44"/>
  <c r="M15" i="44"/>
  <c r="M24" i="44"/>
  <c r="M10" i="44"/>
  <c r="M14" i="44"/>
  <c r="M17" i="44"/>
  <c r="M16" i="44"/>
  <c r="M19" i="44"/>
  <c r="M26" i="44"/>
  <c r="M13" i="44"/>
  <c r="M12" i="44"/>
  <c r="M22" i="44"/>
  <c r="M25" i="44"/>
  <c r="M27" i="44"/>
  <c r="F34" i="44"/>
  <c r="V25" i="44"/>
  <c r="V20" i="44"/>
  <c r="V18" i="44"/>
  <c r="V16" i="44"/>
  <c r="V15" i="44"/>
  <c r="V26" i="44"/>
  <c r="V23" i="44"/>
  <c r="V13" i="44"/>
  <c r="V19" i="44"/>
  <c r="V21" i="44"/>
  <c r="V12" i="44"/>
  <c r="V14" i="44"/>
  <c r="V27" i="44"/>
  <c r="V11" i="44"/>
  <c r="V17" i="44"/>
  <c r="V10" i="44"/>
  <c r="V22" i="44"/>
  <c r="V24" i="44"/>
  <c r="E34" i="44"/>
  <c r="S16" i="44"/>
  <c r="S19" i="44"/>
  <c r="S22" i="44"/>
  <c r="S25" i="44"/>
  <c r="S24" i="44"/>
  <c r="S11" i="44"/>
  <c r="S17" i="44"/>
  <c r="S23" i="44"/>
  <c r="S10" i="44"/>
  <c r="S12" i="44"/>
  <c r="S15" i="44"/>
  <c r="S18" i="44"/>
  <c r="S21" i="44"/>
  <c r="S27" i="44"/>
  <c r="S14" i="44"/>
  <c r="S20" i="44"/>
  <c r="S26" i="44"/>
  <c r="S13" i="44"/>
  <c r="B28" i="44"/>
  <c r="C28" i="44" l="1"/>
  <c r="F28" i="44"/>
  <c r="E28" i="44"/>
  <c r="D28" i="44"/>
  <c r="S41" i="44"/>
  <c r="S42" i="44" s="1"/>
  <c r="P41" i="44"/>
  <c r="P42" i="44" s="1"/>
  <c r="V41" i="44"/>
  <c r="V42" i="44" s="1"/>
  <c r="M41" i="44"/>
  <c r="M42" i="44" s="1"/>
  <c r="B29" i="44"/>
  <c r="C29" i="44" l="1"/>
  <c r="F29" i="44"/>
  <c r="E29" i="44"/>
  <c r="D29" i="44"/>
  <c r="B30" i="44"/>
  <c r="C30" i="44" l="1"/>
  <c r="F30" i="44"/>
  <c r="E30" i="44"/>
  <c r="D30" i="44"/>
  <c r="B32" i="32"/>
  <c r="B13" i="13" l="1"/>
  <c r="B14" i="13" l="1"/>
  <c r="B15" i="13" l="1"/>
  <c r="B16" i="13" l="1"/>
  <c r="B17" i="13" l="1"/>
  <c r="B18" i="13" l="1"/>
  <c r="B19" i="13" l="1"/>
  <c r="B20" i="13" l="1"/>
  <c r="B21" i="13" l="1"/>
  <c r="B22" i="13" l="1"/>
  <c r="B23" i="13" l="1"/>
  <c r="B24" i="13" l="1"/>
  <c r="B25" i="13" l="1"/>
  <c r="B26" i="13" l="1"/>
  <c r="M37" i="13" l="1"/>
  <c r="F56" i="13" s="1"/>
  <c r="B36" i="13"/>
  <c r="B54" i="13" s="1"/>
  <c r="B27" i="13"/>
  <c r="M40" i="13" l="1"/>
  <c r="B39" i="13"/>
  <c r="J37" i="13"/>
  <c r="E56" i="13" s="1"/>
  <c r="G37" i="13"/>
  <c r="D56" i="13" s="1"/>
  <c r="D37" i="13"/>
  <c r="C56" i="13" s="1"/>
  <c r="B28" i="13"/>
  <c r="F64" i="13" l="1"/>
  <c r="B42" i="13"/>
  <c r="B62" i="13"/>
  <c r="J40" i="13"/>
  <c r="G40" i="13"/>
  <c r="D40" i="13"/>
  <c r="E64" i="13" l="1"/>
  <c r="C64" i="13"/>
  <c r="D64" i="13"/>
  <c r="M43" i="13"/>
  <c r="G43" i="13"/>
  <c r="D43" i="13"/>
  <c r="J43" i="13"/>
  <c r="I29" i="13" l="1"/>
  <c r="K29" i="13" l="1"/>
  <c r="B11" i="32" l="1"/>
  <c r="B12" i="32" l="1"/>
  <c r="B13" i="32" l="1"/>
  <c r="B14" i="32" l="1"/>
  <c r="B11" i="29"/>
  <c r="B15" i="32" l="1"/>
  <c r="B12" i="29"/>
  <c r="B16" i="32" l="1"/>
  <c r="B13" i="29"/>
  <c r="B17" i="32" l="1"/>
  <c r="B14" i="29"/>
  <c r="B18" i="32" l="1"/>
  <c r="B15" i="29"/>
  <c r="B19" i="32" l="1"/>
  <c r="B16" i="29"/>
  <c r="B20" i="32" l="1"/>
  <c r="B17" i="29"/>
  <c r="B21" i="32" l="1"/>
  <c r="B18" i="29"/>
  <c r="B22" i="32" l="1"/>
  <c r="B19" i="29"/>
  <c r="B23" i="32" l="1"/>
  <c r="B20" i="29"/>
  <c r="B24" i="32" l="1"/>
  <c r="B21" i="29"/>
  <c r="B25" i="32" l="1"/>
  <c r="B22" i="29"/>
  <c r="B26" i="32" l="1"/>
  <c r="B23" i="29"/>
  <c r="B27" i="32" l="1"/>
  <c r="B24" i="29"/>
  <c r="B25" i="29" l="1"/>
  <c r="B26" i="29" l="1"/>
  <c r="B27" i="29" l="1"/>
  <c r="B28" i="29" s="1"/>
  <c r="B29" i="29" l="1"/>
  <c r="I28" i="13" l="1"/>
  <c r="I26" i="13"/>
  <c r="I25" i="13"/>
  <c r="I27" i="13"/>
  <c r="K25" i="13" l="1"/>
  <c r="K26" i="13"/>
  <c r="K27" i="13"/>
  <c r="K28" i="13"/>
  <c r="I24" i="13" l="1"/>
  <c r="K24" i="13" l="1"/>
  <c r="I23" i="13"/>
  <c r="I22" i="13"/>
  <c r="K23" i="13" l="1"/>
  <c r="K22" i="13"/>
  <c r="I13" i="13" l="1"/>
  <c r="I21" i="13"/>
  <c r="I14" i="13"/>
  <c r="I15" i="13"/>
  <c r="I20" i="13"/>
  <c r="I19" i="13"/>
  <c r="I16" i="13"/>
  <c r="I17" i="13"/>
  <c r="I18" i="13"/>
  <c r="I12" i="13"/>
  <c r="I43" i="13" l="1"/>
  <c r="K20" i="13"/>
  <c r="K21" i="13"/>
  <c r="K12" i="13"/>
  <c r="K15" i="13"/>
  <c r="K18" i="13"/>
  <c r="K17" i="13"/>
  <c r="K16" i="13"/>
  <c r="K14" i="13"/>
  <c r="K13" i="13"/>
  <c r="K19" i="13"/>
  <c r="I40" i="13"/>
  <c r="I37" i="13"/>
  <c r="E57" i="13" s="1"/>
  <c r="E65" i="13" l="1"/>
  <c r="E66" i="13" s="1"/>
  <c r="E67" i="13" s="1"/>
  <c r="E58" i="13"/>
  <c r="E59" i="13" s="1"/>
  <c r="K43" i="13"/>
  <c r="K37" i="13"/>
  <c r="K40" i="13"/>
  <c r="B11" i="36" l="1"/>
  <c r="E11" i="36" l="1"/>
  <c r="D11" i="36"/>
  <c r="C11" i="36"/>
  <c r="F11" i="36"/>
  <c r="B12" i="36"/>
  <c r="E12" i="36" l="1"/>
  <c r="D12" i="36"/>
  <c r="C12" i="36"/>
  <c r="F12" i="36"/>
  <c r="B13" i="36"/>
  <c r="E13" i="36" l="1"/>
  <c r="D13" i="36"/>
  <c r="C13" i="36"/>
  <c r="F13" i="36"/>
  <c r="B14" i="36"/>
  <c r="E14" i="36" l="1"/>
  <c r="D14" i="36"/>
  <c r="C14" i="36"/>
  <c r="F14" i="36"/>
  <c r="B15" i="36"/>
  <c r="E15" i="36" l="1"/>
  <c r="D15" i="36"/>
  <c r="C15" i="36"/>
  <c r="F15" i="36"/>
  <c r="B16" i="36"/>
  <c r="E16" i="36" l="1"/>
  <c r="D16" i="36"/>
  <c r="C16" i="36"/>
  <c r="F16" i="36"/>
  <c r="B17" i="36"/>
  <c r="E17" i="36" l="1"/>
  <c r="D17" i="36"/>
  <c r="C17" i="36"/>
  <c r="F17" i="36"/>
  <c r="B18" i="36"/>
  <c r="E18" i="36" l="1"/>
  <c r="D18" i="36"/>
  <c r="C18" i="36"/>
  <c r="F18" i="36"/>
  <c r="B19" i="36"/>
  <c r="E19" i="36" l="1"/>
  <c r="D19" i="36"/>
  <c r="C19" i="36"/>
  <c r="F19" i="36"/>
  <c r="B20" i="36"/>
  <c r="E20" i="36" l="1"/>
  <c r="D20" i="36"/>
  <c r="C20" i="36"/>
  <c r="F20" i="36"/>
  <c r="B21" i="36"/>
  <c r="E21" i="36" l="1"/>
  <c r="D21" i="36"/>
  <c r="C21" i="36"/>
  <c r="F21" i="36"/>
  <c r="B22" i="36"/>
  <c r="E22" i="36" l="1"/>
  <c r="D22" i="36"/>
  <c r="C22" i="36"/>
  <c r="F22" i="36"/>
  <c r="B23" i="36"/>
  <c r="E23" i="36" l="1"/>
  <c r="D23" i="36"/>
  <c r="C23" i="36"/>
  <c r="F23" i="36"/>
  <c r="B24" i="36"/>
  <c r="E24" i="36" l="1"/>
  <c r="D24" i="36"/>
  <c r="C24" i="36"/>
  <c r="F24" i="36"/>
  <c r="B25" i="36"/>
  <c r="E25" i="36" l="1"/>
  <c r="D25" i="36"/>
  <c r="C25" i="36"/>
  <c r="F25" i="36"/>
  <c r="B26" i="36"/>
  <c r="E26" i="36" l="1"/>
  <c r="D26" i="36"/>
  <c r="C26" i="36"/>
  <c r="F26" i="36"/>
  <c r="B27" i="36"/>
  <c r="E27" i="36" l="1"/>
  <c r="D27" i="36"/>
  <c r="C27" i="36"/>
  <c r="F27" i="36"/>
  <c r="B28" i="36"/>
  <c r="E28" i="36" l="1"/>
  <c r="D28" i="36"/>
  <c r="C28" i="36"/>
  <c r="F28" i="36"/>
  <c r="B29" i="36"/>
  <c r="E29" i="36" l="1"/>
  <c r="D29" i="36"/>
  <c r="C29" i="36"/>
  <c r="F29" i="36"/>
  <c r="B30" i="36"/>
  <c r="E30" i="36" l="1"/>
  <c r="D30" i="36"/>
  <c r="C30" i="36"/>
  <c r="F30" i="36"/>
  <c r="C20" i="13"/>
  <c r="E20" i="13" s="1"/>
  <c r="C18" i="13"/>
  <c r="E18" i="13" s="1"/>
  <c r="C21" i="13"/>
  <c r="E21" i="13" s="1"/>
  <c r="C14" i="13"/>
  <c r="C19" i="13"/>
  <c r="E19" i="13" s="1"/>
  <c r="C12" i="13"/>
  <c r="C16" i="13"/>
  <c r="E16" i="13" s="1"/>
  <c r="C17" i="13"/>
  <c r="E17" i="13" s="1"/>
  <c r="C13" i="13"/>
  <c r="C15" i="13"/>
  <c r="E15" i="13" s="1"/>
  <c r="E13" i="13" l="1"/>
  <c r="E14" i="13"/>
  <c r="E12" i="13"/>
  <c r="D35" i="36" l="1"/>
  <c r="D36" i="36"/>
  <c r="D34" i="36"/>
  <c r="C29" i="13"/>
  <c r="E29" i="13" s="1"/>
  <c r="F35" i="36"/>
  <c r="F36" i="36"/>
  <c r="F34" i="36"/>
  <c r="C27" i="13"/>
  <c r="E27" i="13" s="1"/>
  <c r="C23" i="13"/>
  <c r="E23" i="13" s="1"/>
  <c r="C24" i="13"/>
  <c r="E24" i="13" s="1"/>
  <c r="C22" i="13"/>
  <c r="C28" i="13"/>
  <c r="E28" i="13" s="1"/>
  <c r="C26" i="13"/>
  <c r="E26" i="13" s="1"/>
  <c r="E36" i="36" l="1"/>
  <c r="C25" i="13"/>
  <c r="E25" i="13" s="1"/>
  <c r="E34" i="36"/>
  <c r="E22" i="13"/>
  <c r="C36" i="36"/>
  <c r="C34" i="36"/>
  <c r="C35" i="36"/>
  <c r="E35" i="36"/>
  <c r="C37" i="13" l="1"/>
  <c r="C57" i="13" s="1"/>
  <c r="C40" i="13"/>
  <c r="E43" i="13"/>
  <c r="E37" i="13"/>
  <c r="E40" i="13"/>
  <c r="C43" i="13"/>
  <c r="C65" i="13" l="1"/>
  <c r="C66" i="13" s="1"/>
  <c r="C67" i="13" s="1"/>
  <c r="C58" i="13"/>
  <c r="C59" i="13" s="1"/>
  <c r="O19" i="45" l="1"/>
  <c r="L13" i="45"/>
  <c r="R13" i="45"/>
  <c r="L20" i="45"/>
  <c r="L14" i="45"/>
  <c r="U20" i="45"/>
  <c r="L18" i="45"/>
  <c r="U17" i="45"/>
  <c r="R12" i="45"/>
  <c r="U11" i="45"/>
  <c r="L19" i="45"/>
  <c r="L17" i="45"/>
  <c r="L15" i="45"/>
  <c r="R18" i="45"/>
  <c r="U13" i="45"/>
  <c r="U19" i="45"/>
  <c r="U12" i="45"/>
  <c r="U15" i="45"/>
  <c r="R10" i="45"/>
  <c r="R17" i="45"/>
  <c r="U10" i="45"/>
  <c r="L12" i="45"/>
  <c r="R19" i="45"/>
  <c r="L11" i="45"/>
  <c r="U18" i="45"/>
  <c r="R11" i="45"/>
  <c r="L10" i="45"/>
  <c r="U14" i="45"/>
  <c r="U16" i="45"/>
  <c r="R20" i="45"/>
  <c r="R14" i="45"/>
  <c r="O10" i="45"/>
  <c r="R16" i="45"/>
  <c r="R15" i="45"/>
  <c r="L16" i="45"/>
  <c r="O15" i="45" l="1"/>
  <c r="L16" i="13"/>
  <c r="N16" i="13" s="1"/>
  <c r="L18" i="13"/>
  <c r="N18" i="13" s="1"/>
  <c r="O17" i="45"/>
  <c r="O20" i="45"/>
  <c r="L21" i="13"/>
  <c r="N21" i="13" s="1"/>
  <c r="O14" i="45"/>
  <c r="L15" i="13"/>
  <c r="N15" i="13" s="1"/>
  <c r="O12" i="45"/>
  <c r="L13" i="13"/>
  <c r="L20" i="13"/>
  <c r="N20" i="13" s="1"/>
  <c r="O13" i="45"/>
  <c r="L14" i="13"/>
  <c r="L12" i="13"/>
  <c r="O11" i="45"/>
  <c r="O18" i="45"/>
  <c r="L19" i="13"/>
  <c r="N19" i="13" s="1"/>
  <c r="O16" i="45"/>
  <c r="L17" i="13"/>
  <c r="N17" i="13" s="1"/>
  <c r="N14" i="13" l="1"/>
  <c r="N13" i="13"/>
  <c r="N12" i="13"/>
  <c r="U21" i="45" l="1"/>
  <c r="U22" i="45"/>
  <c r="O21" i="45" l="1"/>
  <c r="L22" i="45"/>
  <c r="R22" i="45"/>
  <c r="R21" i="45"/>
  <c r="O22" i="45" l="1"/>
  <c r="L23" i="13"/>
  <c r="N23" i="13" s="1"/>
  <c r="L25" i="45"/>
  <c r="R25" i="45"/>
  <c r="U25" i="45"/>
  <c r="R24" i="45"/>
  <c r="U23" i="45"/>
  <c r="U27" i="45"/>
  <c r="R27" i="45"/>
  <c r="L24" i="45"/>
  <c r="L23" i="45"/>
  <c r="U26" i="45"/>
  <c r="U24" i="45"/>
  <c r="L27" i="45"/>
  <c r="L26" i="45"/>
  <c r="R23" i="45"/>
  <c r="R26" i="45"/>
  <c r="L29" i="13" l="1"/>
  <c r="N29" i="13" s="1"/>
  <c r="R41" i="45"/>
  <c r="L21" i="45"/>
  <c r="L22" i="13"/>
  <c r="U34" i="45"/>
  <c r="V34" i="45" s="1"/>
  <c r="U35" i="45"/>
  <c r="V35" i="45" s="1"/>
  <c r="F35" i="45" s="1"/>
  <c r="U41" i="45"/>
  <c r="U36" i="45"/>
  <c r="V36" i="45" s="1"/>
  <c r="F36" i="45" s="1"/>
  <c r="R35" i="45"/>
  <c r="S35" i="45" s="1"/>
  <c r="E35" i="45" s="1"/>
  <c r="O23" i="45"/>
  <c r="L24" i="13"/>
  <c r="N24" i="13" s="1"/>
  <c r="O26" i="45"/>
  <c r="L27" i="13"/>
  <c r="N27" i="13" s="1"/>
  <c r="R34" i="45"/>
  <c r="S34" i="45" s="1"/>
  <c r="O27" i="45"/>
  <c r="L28" i="13"/>
  <c r="N28" i="13" s="1"/>
  <c r="R36" i="45"/>
  <c r="S36" i="45" s="1"/>
  <c r="E36" i="45" s="1"/>
  <c r="O25" i="45"/>
  <c r="L26" i="13"/>
  <c r="N26" i="13" s="1"/>
  <c r="L25" i="13"/>
  <c r="N25" i="13" s="1"/>
  <c r="O24" i="45"/>
  <c r="F34" i="45" l="1"/>
  <c r="V20" i="45"/>
  <c r="V19" i="45"/>
  <c r="V21" i="45"/>
  <c r="V22" i="45"/>
  <c r="V24" i="45"/>
  <c r="V26" i="45"/>
  <c r="V15" i="45"/>
  <c r="V18" i="45"/>
  <c r="V11" i="45"/>
  <c r="V10" i="45"/>
  <c r="V13" i="45"/>
  <c r="V27" i="45"/>
  <c r="V23" i="45"/>
  <c r="V12" i="45"/>
  <c r="V17" i="45"/>
  <c r="V14" i="45"/>
  <c r="V25" i="45"/>
  <c r="V16" i="45"/>
  <c r="N22" i="13"/>
  <c r="L40" i="13"/>
  <c r="L43" i="13"/>
  <c r="L37" i="13"/>
  <c r="F57" i="13" s="1"/>
  <c r="L36" i="45"/>
  <c r="M36" i="45" s="1"/>
  <c r="C36" i="45" s="1"/>
  <c r="L41" i="45"/>
  <c r="L34" i="45"/>
  <c r="M34" i="45" s="1"/>
  <c r="L35" i="45"/>
  <c r="M35" i="45" s="1"/>
  <c r="C35" i="45" s="1"/>
  <c r="E34" i="45"/>
  <c r="S26" i="45"/>
  <c r="S22" i="45"/>
  <c r="S21" i="45"/>
  <c r="S14" i="45"/>
  <c r="S27" i="45"/>
  <c r="S13" i="45"/>
  <c r="S18" i="45"/>
  <c r="S24" i="45"/>
  <c r="S19" i="45"/>
  <c r="S11" i="45"/>
  <c r="S15" i="45"/>
  <c r="S17" i="45"/>
  <c r="S12" i="45"/>
  <c r="S16" i="45"/>
  <c r="S10" i="45"/>
  <c r="S25" i="45"/>
  <c r="S23" i="45"/>
  <c r="S20" i="45"/>
  <c r="O36" i="45"/>
  <c r="P36" i="45" s="1"/>
  <c r="D36" i="45" s="1"/>
  <c r="O41" i="45"/>
  <c r="O35" i="45"/>
  <c r="P35" i="45" s="1"/>
  <c r="D35" i="45" s="1"/>
  <c r="O34" i="45"/>
  <c r="P34" i="45" s="1"/>
  <c r="F65" i="13" l="1"/>
  <c r="F66" i="13" s="1"/>
  <c r="F67" i="13" s="1"/>
  <c r="N40" i="13"/>
  <c r="N37" i="13"/>
  <c r="N43" i="13"/>
  <c r="F58" i="13"/>
  <c r="F59" i="13" s="1"/>
  <c r="P12" i="45"/>
  <c r="P11" i="45"/>
  <c r="P21" i="45"/>
  <c r="P25" i="45"/>
  <c r="P23" i="45"/>
  <c r="P10" i="45"/>
  <c r="P16" i="45"/>
  <c r="P13" i="45"/>
  <c r="P22" i="45"/>
  <c r="P17" i="45"/>
  <c r="P14" i="45"/>
  <c r="P18" i="45"/>
  <c r="P27" i="45"/>
  <c r="P20" i="45"/>
  <c r="P24" i="45"/>
  <c r="P26" i="45"/>
  <c r="P15" i="45"/>
  <c r="P19" i="45"/>
  <c r="D34" i="45"/>
  <c r="S41" i="45"/>
  <c r="S42" i="45" s="1"/>
  <c r="M27" i="45"/>
  <c r="M17" i="45"/>
  <c r="M11" i="45"/>
  <c r="M16" i="45"/>
  <c r="M24" i="45"/>
  <c r="C34" i="45"/>
  <c r="M25" i="45"/>
  <c r="M26" i="45"/>
  <c r="M12" i="45"/>
  <c r="M15" i="45"/>
  <c r="M19" i="45"/>
  <c r="M13" i="45"/>
  <c r="M14" i="45"/>
  <c r="M21" i="45"/>
  <c r="M23" i="45"/>
  <c r="M22" i="45"/>
  <c r="M10" i="45"/>
  <c r="M20" i="45"/>
  <c r="M18" i="45"/>
  <c r="V41" i="45"/>
  <c r="V42" i="45" s="1"/>
  <c r="M41" i="45" l="1"/>
  <c r="M42" i="45" s="1"/>
  <c r="P41" i="45"/>
  <c r="P42" i="45" s="1"/>
  <c r="F17" i="13" l="1"/>
  <c r="H17" i="13" s="1"/>
  <c r="F18" i="13" l="1"/>
  <c r="H18" i="13" s="1"/>
  <c r="F15" i="13"/>
  <c r="H15" i="13" s="1"/>
  <c r="F21" i="13"/>
  <c r="H21" i="13" s="1"/>
  <c r="F20" i="13"/>
  <c r="H20" i="13" s="1"/>
  <c r="F12" i="13"/>
  <c r="F16" i="13"/>
  <c r="H16" i="13" s="1"/>
  <c r="F19" i="13"/>
  <c r="H19" i="13" s="1"/>
  <c r="F14" i="13"/>
  <c r="F13" i="13"/>
  <c r="H13" i="13" l="1"/>
  <c r="H14" i="13"/>
  <c r="H12" i="13"/>
  <c r="F24" i="13" l="1"/>
  <c r="H24" i="13" s="1"/>
  <c r="F23" i="13"/>
  <c r="H23" i="13" s="1"/>
  <c r="F34" i="39"/>
  <c r="F36" i="39"/>
  <c r="F35" i="39"/>
  <c r="C36" i="39"/>
  <c r="C34" i="39"/>
  <c r="C35" i="39"/>
  <c r="F26" i="13"/>
  <c r="H26" i="13" s="1"/>
  <c r="F25" i="13"/>
  <c r="H25" i="13" s="1"/>
  <c r="F22" i="13"/>
  <c r="D34" i="39"/>
  <c r="D36" i="39"/>
  <c r="D35" i="39"/>
  <c r="F29" i="13"/>
  <c r="H29" i="13" s="1"/>
  <c r="F28" i="13"/>
  <c r="H28" i="13" s="1"/>
  <c r="E34" i="39"/>
  <c r="E36" i="39"/>
  <c r="E35" i="39"/>
  <c r="F27" i="13"/>
  <c r="H27" i="13" s="1"/>
  <c r="H22" i="13" l="1"/>
  <c r="F40" i="13"/>
  <c r="F37" i="13"/>
  <c r="D57" i="13" s="1"/>
  <c r="F43" i="13"/>
  <c r="D65" i="13" l="1"/>
  <c r="D66" i="13" s="1"/>
  <c r="D67" i="13" s="1"/>
  <c r="D58" i="13"/>
  <c r="D59" i="13" s="1"/>
  <c r="H43" i="13"/>
  <c r="H37" i="13"/>
  <c r="H40" i="13"/>
</calcChain>
</file>

<file path=xl/sharedStrings.xml><?xml version="1.0" encoding="utf-8"?>
<sst xmlns="http://schemas.openxmlformats.org/spreadsheetml/2006/main" count="399" uniqueCount="225">
  <si>
    <t>Year</t>
  </si>
  <si>
    <t>Total</t>
  </si>
  <si>
    <t>(a)</t>
  </si>
  <si>
    <t>(b)</t>
  </si>
  <si>
    <t>(c)</t>
  </si>
  <si>
    <t>(d)</t>
  </si>
  <si>
    <t>Table 3</t>
  </si>
  <si>
    <t>Table 4</t>
  </si>
  <si>
    <t>$/MWH</t>
  </si>
  <si>
    <t>$/MMBtu</t>
  </si>
  <si>
    <t>Winter</t>
  </si>
  <si>
    <t>Summer</t>
  </si>
  <si>
    <t>Current</t>
  </si>
  <si>
    <t>Avoided Costs</t>
  </si>
  <si>
    <t>Comparison between Proposed and Current Avoided Costs</t>
  </si>
  <si>
    <t>Fixed</t>
  </si>
  <si>
    <t>Table 1</t>
  </si>
  <si>
    <t>CF</t>
  </si>
  <si>
    <t>Source</t>
  </si>
  <si>
    <t>Natural Gas Price - Delivered to Plant</t>
  </si>
  <si>
    <t>($/MWH)</t>
  </si>
  <si>
    <t>Prices on this tab are formated to be cut and pasted directly into the tariff page</t>
  </si>
  <si>
    <t>Market Price $/MWH</t>
  </si>
  <si>
    <t>HLH</t>
  </si>
  <si>
    <t>LLH</t>
  </si>
  <si>
    <t>Mid-Columbia</t>
  </si>
  <si>
    <t>Palo Verde</t>
  </si>
  <si>
    <t>Electricity Market Prices</t>
  </si>
  <si>
    <t>Month</t>
  </si>
  <si>
    <t>$/MWh</t>
  </si>
  <si>
    <t>Calendar Year</t>
  </si>
  <si>
    <t>Off-Peak Energy Prices (¢/kWh)</t>
  </si>
  <si>
    <t xml:space="preserve">Deliveries During </t>
  </si>
  <si>
    <t>Capacity Contribution</t>
  </si>
  <si>
    <t>Wind</t>
  </si>
  <si>
    <t>Integration Costs</t>
  </si>
  <si>
    <t>Solar</t>
  </si>
  <si>
    <t>Avoided Cost Prices for Wind QF</t>
  </si>
  <si>
    <t>Avoided Cost Prices for Base Load QF</t>
  </si>
  <si>
    <t>Capacity (MW)</t>
  </si>
  <si>
    <t>Resource</t>
  </si>
  <si>
    <t>East</t>
  </si>
  <si>
    <t>Existing Plant Retirements/Conversions</t>
  </si>
  <si>
    <t>Expansion Resources</t>
  </si>
  <si>
    <t>DSM, Class 1 Total</t>
  </si>
  <si>
    <t>DSM, Class 2 Total</t>
  </si>
  <si>
    <t>West</t>
  </si>
  <si>
    <t>DSM, Class 1  Total</t>
  </si>
  <si>
    <t>DSM, Class 2  Total</t>
  </si>
  <si>
    <t>Annual Additions, Long Term Resources</t>
  </si>
  <si>
    <t>Annual Additions, Short Term Resources</t>
  </si>
  <si>
    <t>Total Annual Additions</t>
  </si>
  <si>
    <t>Resource Totals 1/</t>
  </si>
  <si>
    <t>10-year</t>
  </si>
  <si>
    <t>20-year</t>
  </si>
  <si>
    <t>Avoided Cost Prices for Fixed Solar QF</t>
  </si>
  <si>
    <t>Avoided Cost Prices for Tracking Solar QF</t>
  </si>
  <si>
    <t>on-peak Summer</t>
  </si>
  <si>
    <t>on-peak Winter</t>
  </si>
  <si>
    <t>off-peak Summer</t>
  </si>
  <si>
    <t>off-peak Winter</t>
  </si>
  <si>
    <t>Generation Profile_Baseload</t>
  </si>
  <si>
    <t>Generation Profile_Wind*</t>
  </si>
  <si>
    <t>Natural Gas Price Delivered to Plant  ($/MMBtu)</t>
  </si>
  <si>
    <t>Market Prices in $/MWH</t>
  </si>
  <si>
    <t>FORWARD PRICE CURVE SUMMARY</t>
  </si>
  <si>
    <t>Quotes Dated:</t>
  </si>
  <si>
    <t>Sample of source data</t>
  </si>
  <si>
    <t>Date</t>
  </si>
  <si>
    <t>Mid C</t>
  </si>
  <si>
    <t>PV</t>
  </si>
  <si>
    <t>Chk Ttl</t>
  </si>
  <si>
    <t>Check Totals</t>
  </si>
  <si>
    <t>PV HLH/Flat Ratio</t>
  </si>
  <si>
    <t>PV Flat</t>
  </si>
  <si>
    <t>PV LLH/Flat Ratio</t>
  </si>
  <si>
    <t xml:space="preserve"> </t>
  </si>
  <si>
    <t>On Peak Energy Prices (¢/kWh)</t>
  </si>
  <si>
    <t>BASE LOAD</t>
  </si>
  <si>
    <t>WIND</t>
  </si>
  <si>
    <t>SOLAR FIXED</t>
  </si>
  <si>
    <t>SOLAR TRACKING</t>
  </si>
  <si>
    <t>Hayden 1</t>
  </si>
  <si>
    <t>Hayden 2</t>
  </si>
  <si>
    <t>Cholla 4  (Coal Early Retirement/Conversions)</t>
  </si>
  <si>
    <t>DaveJohnston 1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</si>
  <si>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</si>
  <si>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</si>
  <si>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</si>
  <si>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</si>
  <si>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</si>
  <si>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</si>
  <si>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Gadsby 1-6</t>
  </si>
  <si>
    <t>DSM, Class 2, ID</t>
  </si>
  <si>
    <t>DSM, Class 2, UT</t>
  </si>
  <si>
    <t>DSM, Class 2, WY</t>
  </si>
  <si>
    <t>DSM, Class 1, OR-Irrigate</t>
  </si>
  <si>
    <t>DSM, Class 2, CA</t>
  </si>
  <si>
    <t>DSM, Class 2, OR</t>
  </si>
  <si>
    <t>DSM, Class 2, WA</t>
  </si>
  <si>
    <t>Generation Profile_Solar Fixed</t>
  </si>
  <si>
    <t>Generation Profile_Solar Tracking</t>
  </si>
  <si>
    <t>Table 6</t>
  </si>
  <si>
    <t>DSM, Class 1, ID-Curtail</t>
  </si>
  <si>
    <t>DSM, Class 1, ID-Irrigate</t>
  </si>
  <si>
    <t>DSM, Class 1, UT-Curtail</t>
  </si>
  <si>
    <t>DSM, Class 1, UT-Irrigate</t>
  </si>
  <si>
    <t>DSM, Class 1, WY-Curtail</t>
  </si>
  <si>
    <t>DSM, Class 1, WY-Irrigate</t>
  </si>
  <si>
    <t>DSM, Class 1, CA-Irrigate</t>
  </si>
  <si>
    <t>DSM, Class 1, WA-Irrigate</t>
  </si>
  <si>
    <t>IRP - Wyo NE</t>
  </si>
  <si>
    <t>Burnertip Annual Average Price</t>
  </si>
  <si>
    <t>15-year (2018-2032) Nominal Levelized</t>
  </si>
  <si>
    <t>15-year (2019-2033) Nominal Levelized</t>
  </si>
  <si>
    <t>15-year (2020-2034) Nominal Levelized</t>
  </si>
  <si>
    <t>Off-Peak Energy Prices (¢/kWh) (1)</t>
  </si>
  <si>
    <t>Craig 1  (Coal Early Retirement/Conversions)</t>
  </si>
  <si>
    <t>Craig 2</t>
  </si>
  <si>
    <t>Wind, Djohnston</t>
  </si>
  <si>
    <t>Wind, GO</t>
  </si>
  <si>
    <t>Total Wind</t>
  </si>
  <si>
    <t>Utility Solar - PV - Utah-S</t>
  </si>
  <si>
    <t>DSM, Class 1, ID-Cool/WH</t>
  </si>
  <si>
    <t>DSM, Class 1, UT-Cool/WH</t>
  </si>
  <si>
    <t>DSM, Class 1, WY-Cool/WH</t>
  </si>
  <si>
    <t>FOT Mona - SMR</t>
  </si>
  <si>
    <t>JimBridger 1  (Coal Early Retirement/Conversions)</t>
  </si>
  <si>
    <t>JimBridger 2  (Coal Early Retirement/Conversions)</t>
  </si>
  <si>
    <t>Utility Solar - PV - Yakima</t>
  </si>
  <si>
    <t>DSM, Class 1, CA-Cool/WH</t>
  </si>
  <si>
    <t>FOT COB - SMR</t>
  </si>
  <si>
    <t>FOT MidColumbia - SMR</t>
  </si>
  <si>
    <t>FOT MidColumbia - SMR - 2</t>
  </si>
  <si>
    <t>FOT NOB - SMR</t>
  </si>
  <si>
    <t>FOT MidColumbia - WTR</t>
  </si>
  <si>
    <t>FOT MidColumbia - WTR2</t>
  </si>
  <si>
    <t>FOT NOB - WTR</t>
  </si>
  <si>
    <t>Annual</t>
  </si>
  <si>
    <t>QF Queue</t>
  </si>
  <si>
    <t>No.</t>
  </si>
  <si>
    <t>QF</t>
  </si>
  <si>
    <t>Partial Displacement</t>
  </si>
  <si>
    <t>Name plate</t>
  </si>
  <si>
    <t>Start Date</t>
  </si>
  <si>
    <t>x</t>
  </si>
  <si>
    <t>Type</t>
  </si>
  <si>
    <t xml:space="preserve">Wind </t>
  </si>
  <si>
    <t>Tracking</t>
  </si>
  <si>
    <t xml:space="preserve">Gas </t>
  </si>
  <si>
    <t xml:space="preserve">Hydro </t>
  </si>
  <si>
    <t>Total Signed MW</t>
  </si>
  <si>
    <t>Regulation Reserve</t>
  </si>
  <si>
    <t>System Balancing</t>
  </si>
  <si>
    <t>System Balancing Integration Costs</t>
  </si>
  <si>
    <t>Wind Integration (Incremental)</t>
  </si>
  <si>
    <t>Tracking Solar Integration (Incremental)</t>
  </si>
  <si>
    <t>Fixed Solar Integraton Costs (Incremental)</t>
  </si>
  <si>
    <t>* Costs per MWh of wind/solar generation</t>
  </si>
  <si>
    <t>Incremental Flex Capacity Costs (2016 $/MWh) *</t>
  </si>
  <si>
    <t>2016 Flexible Reserve Study Results from 2017 IRP</t>
  </si>
  <si>
    <t>Period</t>
  </si>
  <si>
    <t>On Peak Winter</t>
  </si>
  <si>
    <t>On Peak Summer</t>
  </si>
  <si>
    <t>Total Hours</t>
  </si>
  <si>
    <t>HLH Hour %</t>
  </si>
  <si>
    <t>Sun/Hol</t>
  </si>
  <si>
    <t>HLH Days</t>
  </si>
  <si>
    <t>Table 5</t>
  </si>
  <si>
    <t>(e)</t>
  </si>
  <si>
    <t>(f)</t>
  </si>
  <si>
    <t>(g)</t>
  </si>
  <si>
    <t>(h)</t>
  </si>
  <si>
    <t>(i)</t>
  </si>
  <si>
    <t>(j)</t>
  </si>
  <si>
    <t>(k)</t>
  </si>
  <si>
    <t>(l)</t>
  </si>
  <si>
    <t>Proposed</t>
  </si>
  <si>
    <t>Total Difference</t>
  </si>
  <si>
    <t>(1): On- and off- peak prices are reduced by integration charges and reflect 0.5% annual degradation rate</t>
  </si>
  <si>
    <t>(1): On- and off- peak prices are reduced by integration charges</t>
  </si>
  <si>
    <t>On-Peak Energy Prices (¢/kWh)</t>
  </si>
  <si>
    <t>Peak Winter</t>
  </si>
  <si>
    <t>Peak Summer</t>
  </si>
  <si>
    <t>Off Peak  Winter</t>
  </si>
  <si>
    <t>Off Peak  Summer</t>
  </si>
  <si>
    <t>$ With degradation</t>
  </si>
  <si>
    <t>0.5 % Degradation</t>
  </si>
  <si>
    <t>Check</t>
  </si>
  <si>
    <t>NPV (2018-2032)</t>
  </si>
  <si>
    <t>(x) Extrapolated</t>
  </si>
  <si>
    <t>Tesoro Non Firm QF</t>
  </si>
  <si>
    <t>Table 2</t>
  </si>
  <si>
    <t>Signed QF Queue</t>
  </si>
  <si>
    <t>Cumulative</t>
  </si>
  <si>
    <t>% Change</t>
  </si>
  <si>
    <t>Total Change in Rates</t>
  </si>
  <si>
    <t>Current Rates</t>
  </si>
  <si>
    <t>Tracking Solar</t>
  </si>
  <si>
    <t>Fixed Solar</t>
  </si>
  <si>
    <t>Baseload</t>
  </si>
  <si>
    <t>Discount Rate - 2017 IRP update</t>
  </si>
  <si>
    <t>Proposed Rates</t>
  </si>
  <si>
    <t>Excerpt from 2017 IRP Update Table 8.1, Page 108</t>
  </si>
  <si>
    <t>Wind, UT</t>
  </si>
  <si>
    <t>251C-Cedar Springs WD - 2</t>
  </si>
  <si>
    <t>100B-Ekola Flats WD - 1 (P)</t>
  </si>
  <si>
    <t>102B-TB Flats WD - 3 (P)</t>
  </si>
  <si>
    <t>245B-Uinta WD Energy Center - 2</t>
  </si>
  <si>
    <t>Total Solar</t>
  </si>
  <si>
    <t>Battery Storage - East</t>
  </si>
  <si>
    <t>FOT Mona - WTR</t>
  </si>
  <si>
    <t>Wind, WallaW</t>
  </si>
  <si>
    <t>Wind, YK</t>
  </si>
  <si>
    <t>Wind, SO</t>
  </si>
  <si>
    <t>Utility Solar - PV - S-Oregon</t>
  </si>
  <si>
    <t>FOT COB - WTR</t>
  </si>
  <si>
    <t>1/ Front office transaction amounts reflect one-year transaction periods, are not additive, and are reported as a 10/20-year annual average.</t>
  </si>
  <si>
    <t xml:space="preserve"> The 2017 IRP Update was prepared using a 13% planning reserve margin.  See 2017 IRP, page 10.</t>
  </si>
  <si>
    <t>2017 IRP Update Preferred Portfolio</t>
  </si>
  <si>
    <t>Soda Lake Geothermal</t>
  </si>
  <si>
    <t>Sprague River (terminated)</t>
  </si>
  <si>
    <t>Ivory Pine (terminated)</t>
  </si>
  <si>
    <t>Roseburg Dillard QF</t>
  </si>
  <si>
    <t>West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</si>
</sst>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0.0%"/>
    <numFmt numFmtId="169" formatCode="_(* #,##0.0_);_(* \(#,##0.0\);_(* &quot;-&quot;??_);_(@_)"/>
    <numFmt numFmtId="170" formatCode="&quot;$&quot;###0;[Red]\(&quot;$&quot;###0\)"/>
    <numFmt numFmtId="171" formatCode="_(&quot;$&quot;* #,##0_);_(&quot;$&quot;* \(#,##0\);_(&quot;$&quot;* &quot;-&quot;??_);_(@_)"/>
    <numFmt numFmtId="172" formatCode="&quot;$&quot;#,##0.000_);[Red]\(&quot;$&quot;#,##0.000\)"/>
    <numFmt numFmtId="173" formatCode="_(* #,##0_);[Red]_(* \(#,##0\);_(* &quot;-&quot;_);_(@_)"/>
    <numFmt numFmtId="174" formatCode="0.000"/>
    <numFmt numFmtId="175" formatCode="0.000%"/>
    <numFmt numFmtId="176" formatCode="#,##0.000_);\(#,##0.000\)"/>
    <numFmt numFmtId="177" formatCode="_(* #,##0.000_);[Red]_(* \(#,##0.000\);_(* &quot;-&quot;_);_(@_)"/>
    <numFmt numFmtId="178" formatCode="_(* #,##0.00_);[Red]_(* \(#,##0.00\);_(* &quot;-&quot;_);_(@_)"/>
    <numFmt numFmtId="179" formatCode="_(* #,##0.000_);_(* \(#,##0.000\);_(* &quot;-&quot;??_);_(@_)"/>
    <numFmt numFmtId="180" formatCode="[$-409]mmmm\ d\,\ yyyy;@"/>
    <numFmt numFmtId="181" formatCode="yyyy\ mm\ dd"/>
    <numFmt numFmtId="182" formatCode="_(* #,##0.0000_);_(* \(#,##0.0000\);_(* &quot;-&quot;??_);_(@_)"/>
    <numFmt numFmtId="183" formatCode="_(&quot;$&quot;* #,##0.000_);_(&quot;$&quot;* \(#,##0.000\);_(&quot;$&quot;* &quot;-&quot;??_);_(@_)"/>
  </numFmts>
  <fonts count="41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u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u/>
      <sz val="9"/>
      <name val="Times New Roman"/>
      <family val="1"/>
    </font>
    <font>
      <u val="singleAccounting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Times New Roman"/>
      <family val="1"/>
    </font>
    <font>
      <u/>
      <sz val="10"/>
      <color theme="10"/>
      <name val="Arial"/>
      <family val="2"/>
    </font>
    <font>
      <sz val="10"/>
      <color rgb="FF1F497D"/>
      <name val="Calibri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42">
    <xf numFmtId="173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18" fillId="0" borderId="0" applyFont="0" applyFill="0" applyBorder="0" applyProtection="0">
      <alignment horizontal="right"/>
    </xf>
    <xf numFmtId="0" fontId="17" fillId="0" borderId="0" applyNumberFormat="0" applyFill="0" applyBorder="0" applyAlignment="0">
      <protection locked="0"/>
    </xf>
    <xf numFmtId="165" fontId="19" fillId="0" borderId="0" applyNumberFormat="0" applyFill="0" applyBorder="0" applyAlignment="0" applyProtection="0"/>
    <xf numFmtId="0" fontId="20" fillId="0" borderId="1" applyNumberFormat="0" applyBorder="0" applyAlignment="0"/>
    <xf numFmtId="0" fontId="9" fillId="0" borderId="0"/>
    <xf numFmtId="173" fontId="9" fillId="0" borderId="0"/>
    <xf numFmtId="0" fontId="7" fillId="0" borderId="0"/>
    <xf numFmtId="173" fontId="7" fillId="0" borderId="0"/>
    <xf numFmtId="12" fontId="16" fillId="2" borderId="2">
      <alignment horizontal="left"/>
    </xf>
    <xf numFmtId="9" fontId="7" fillId="0" borderId="0" applyFont="0" applyFill="0" applyBorder="0" applyAlignment="0" applyProtection="0"/>
    <xf numFmtId="37" fontId="20" fillId="3" borderId="0" applyNumberFormat="0" applyBorder="0" applyAlignment="0" applyProtection="0"/>
    <xf numFmtId="37" fontId="21" fillId="0" borderId="0"/>
    <xf numFmtId="3" fontId="22" fillId="4" borderId="3" applyProtection="0"/>
    <xf numFmtId="173" fontId="7" fillId="0" borderId="0"/>
    <xf numFmtId="173" fontId="9" fillId="0" borderId="0"/>
    <xf numFmtId="0" fontId="6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173" fontId="9" fillId="0" borderId="0"/>
    <xf numFmtId="173" fontId="7" fillId="0" borderId="0"/>
    <xf numFmtId="173" fontId="4" fillId="0" borderId="0"/>
    <xf numFmtId="173" fontId="7" fillId="0" borderId="0"/>
    <xf numFmtId="0" fontId="7" fillId="0" borderId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35" fillId="0" borderId="0" applyNumberFormat="0" applyFill="0" applyBorder="0" applyAlignment="0" applyProtection="0"/>
    <xf numFmtId="0" fontId="7" fillId="0" borderId="0"/>
    <xf numFmtId="173" fontId="7" fillId="0" borderId="0"/>
    <xf numFmtId="43" fontId="7" fillId="0" borderId="0" applyFont="0" applyFill="0" applyBorder="0" applyAlignment="0" applyProtection="0"/>
    <xf numFmtId="173" fontId="7" fillId="0" borderId="0"/>
    <xf numFmtId="0" fontId="3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6">
    <xf numFmtId="173" fontId="0" fillId="0" borderId="0" xfId="0"/>
    <xf numFmtId="173" fontId="10" fillId="0" borderId="0" xfId="0" applyFont="1" applyFill="1" applyAlignment="1">
      <alignment horizontal="centerContinuous"/>
    </xf>
    <xf numFmtId="173" fontId="15" fillId="0" borderId="0" xfId="0" applyFont="1" applyFill="1" applyAlignment="1">
      <alignment horizontal="centerContinuous"/>
    </xf>
    <xf numFmtId="173" fontId="11" fillId="0" borderId="0" xfId="0" applyFont="1" applyFill="1" applyAlignment="1">
      <alignment horizontal="centerContinuous"/>
    </xf>
    <xf numFmtId="173" fontId="13" fillId="0" borderId="0" xfId="0" applyFont="1" applyFill="1"/>
    <xf numFmtId="173" fontId="13" fillId="0" borderId="0" xfId="0" applyFont="1" applyFill="1" applyAlignment="1">
      <alignment horizontal="centerContinuous"/>
    </xf>
    <xf numFmtId="173" fontId="14" fillId="0" borderId="0" xfId="0" applyFont="1" applyFill="1"/>
    <xf numFmtId="173" fontId="10" fillId="0" borderId="0" xfId="8" applyFont="1" applyFill="1" applyAlignment="1">
      <alignment horizontal="centerContinuous"/>
    </xf>
    <xf numFmtId="173" fontId="8" fillId="0" borderId="4" xfId="8" applyFont="1" applyFill="1" applyBorder="1" applyAlignment="1">
      <alignment horizontal="center"/>
    </xf>
    <xf numFmtId="173" fontId="12" fillId="0" borderId="0" xfId="8" quotePrefix="1" applyFont="1" applyFill="1" applyBorder="1" applyAlignment="1">
      <alignment horizontal="center"/>
    </xf>
    <xf numFmtId="173" fontId="11" fillId="0" borderId="0" xfId="8" applyFont="1" applyFill="1" applyAlignment="1">
      <alignment horizontal="centerContinuous"/>
    </xf>
    <xf numFmtId="173" fontId="8" fillId="0" borderId="9" xfId="8" applyFont="1" applyFill="1" applyBorder="1" applyAlignment="1">
      <alignment horizontal="centerContinuous"/>
    </xf>
    <xf numFmtId="173" fontId="8" fillId="0" borderId="5" xfId="8" applyFont="1" applyFill="1" applyBorder="1" applyAlignment="1">
      <alignment horizontal="center"/>
    </xf>
    <xf numFmtId="173" fontId="8" fillId="0" borderId="8" xfId="8" applyFont="1" applyFill="1" applyBorder="1" applyAlignment="1">
      <alignment horizontal="center"/>
    </xf>
    <xf numFmtId="173" fontId="23" fillId="0" borderId="0" xfId="8" applyFont="1" applyFill="1" applyAlignment="1">
      <alignment horizontal="left"/>
    </xf>
    <xf numFmtId="173" fontId="9" fillId="0" borderId="0" xfId="10" applyFont="1"/>
    <xf numFmtId="173" fontId="0" fillId="0" borderId="0" xfId="8" applyFont="1" applyFill="1"/>
    <xf numFmtId="173" fontId="0" fillId="0" borderId="0" xfId="0" applyFont="1" applyFill="1"/>
    <xf numFmtId="168" fontId="0" fillId="0" borderId="0" xfId="12" applyNumberFormat="1" applyFont="1" applyFill="1"/>
    <xf numFmtId="173" fontId="0" fillId="0" borderId="0" xfId="8" applyFont="1" applyFill="1" applyAlignment="1">
      <alignment horizontal="centerContinuous"/>
    </xf>
    <xf numFmtId="173" fontId="0" fillId="0" borderId="8" xfId="8" applyFont="1" applyFill="1" applyBorder="1"/>
    <xf numFmtId="173" fontId="0" fillId="0" borderId="0" xfId="8" quotePrefix="1" applyFont="1" applyFill="1" applyBorder="1" applyAlignment="1">
      <alignment horizontal="center"/>
    </xf>
    <xf numFmtId="0" fontId="0" fillId="0" borderId="0" xfId="8" applyNumberFormat="1" applyFont="1" applyFill="1" applyAlignment="1">
      <alignment horizontal="center"/>
    </xf>
    <xf numFmtId="167" fontId="0" fillId="0" borderId="0" xfId="8" applyNumberFormat="1" applyFont="1" applyFill="1" applyBorder="1" applyAlignment="1">
      <alignment horizontal="center"/>
    </xf>
    <xf numFmtId="173" fontId="0" fillId="0" borderId="0" xfId="8" applyFont="1" applyFill="1" applyAlignment="1">
      <alignment horizontal="right"/>
    </xf>
    <xf numFmtId="173" fontId="0" fillId="0" borderId="0" xfId="8" applyFont="1" applyFill="1" applyBorder="1" applyAlignment="1">
      <alignment horizontal="center"/>
    </xf>
    <xf numFmtId="175" fontId="0" fillId="0" borderId="0" xfId="0" applyNumberFormat="1" applyFont="1" applyFill="1" applyAlignment="1">
      <alignment horizontal="center"/>
    </xf>
    <xf numFmtId="173" fontId="25" fillId="0" borderId="0" xfId="0" applyFont="1" applyFill="1"/>
    <xf numFmtId="173" fontId="25" fillId="0" borderId="0" xfId="0" applyFont="1" applyFill="1" applyBorder="1" applyAlignment="1">
      <alignment horizontal="center"/>
    </xf>
    <xf numFmtId="173" fontId="25" fillId="0" borderId="0" xfId="0" applyFont="1" applyFill="1" applyAlignment="1">
      <alignment horizontal="center"/>
    </xf>
    <xf numFmtId="173" fontId="26" fillId="0" borderId="0" xfId="0" applyFont="1" applyFill="1" applyBorder="1" applyAlignment="1">
      <alignment horizontal="centerContinuous"/>
    </xf>
    <xf numFmtId="173" fontId="27" fillId="0" borderId="0" xfId="0" applyFont="1" applyFill="1" applyBorder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>
      <alignment horizontal="center"/>
    </xf>
    <xf numFmtId="174" fontId="25" fillId="0" borderId="0" xfId="0" applyNumberFormat="1" applyFont="1" applyFill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8" fontId="25" fillId="0" borderId="0" xfId="0" applyNumberFormat="1" applyFont="1" applyFill="1" applyAlignment="1">
      <alignment horizontal="left"/>
    </xf>
    <xf numFmtId="175" fontId="25" fillId="0" borderId="0" xfId="0" applyNumberFormat="1" applyFont="1" applyFill="1" applyAlignment="1">
      <alignment horizontal="center"/>
    </xf>
    <xf numFmtId="173" fontId="25" fillId="0" borderId="0" xfId="0" applyFont="1" applyFill="1" applyAlignment="1">
      <alignment horizontal="right"/>
    </xf>
    <xf numFmtId="173" fontId="25" fillId="0" borderId="0" xfId="0" applyFont="1" applyFill="1" applyBorder="1" applyAlignment="1">
      <alignment horizontal="right" vertical="center" wrapText="1"/>
    </xf>
    <xf numFmtId="176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/>
    </xf>
    <xf numFmtId="39" fontId="25" fillId="0" borderId="0" xfId="0" applyNumberFormat="1" applyFont="1" applyFill="1" applyBorder="1" applyAlignment="1">
      <alignment horizontal="center"/>
    </xf>
    <xf numFmtId="39" fontId="25" fillId="0" borderId="0" xfId="0" applyNumberFormat="1" applyFont="1" applyFill="1" applyBorder="1" applyAlignment="1">
      <alignment horizontal="center" vertical="center"/>
    </xf>
    <xf numFmtId="173" fontId="9" fillId="0" borderId="0" xfId="0" applyFont="1" applyFill="1" applyBorder="1"/>
    <xf numFmtId="9" fontId="0" fillId="0" borderId="0" xfId="12" applyFont="1" applyFill="1"/>
    <xf numFmtId="173" fontId="9" fillId="0" borderId="0" xfId="17" applyFont="1" applyFill="1"/>
    <xf numFmtId="8" fontId="9" fillId="0" borderId="0" xfId="17" applyNumberFormat="1" applyFont="1" applyFill="1" applyAlignment="1">
      <alignment horizontal="right"/>
    </xf>
    <xf numFmtId="173" fontId="15" fillId="0" borderId="0" xfId="0" applyFont="1" applyFill="1"/>
    <xf numFmtId="0" fontId="25" fillId="0" borderId="0" xfId="0" applyNumberFormat="1" applyFont="1" applyFill="1" applyAlignment="1">
      <alignment horizontal="left" vertical="top"/>
    </xf>
    <xf numFmtId="173" fontId="0" fillId="0" borderId="0" xfId="0" applyFill="1"/>
    <xf numFmtId="173" fontId="26" fillId="0" borderId="0" xfId="0" applyFont="1" applyFill="1" applyBorder="1" applyAlignment="1">
      <alignment horizontal="left"/>
    </xf>
    <xf numFmtId="173" fontId="27" fillId="0" borderId="0" xfId="0" applyFont="1" applyFill="1" applyBorder="1" applyAlignment="1">
      <alignment horizontal="left" vertical="top"/>
    </xf>
    <xf numFmtId="173" fontId="25" fillId="0" borderId="0" xfId="0" applyFont="1" applyFill="1" applyBorder="1"/>
    <xf numFmtId="164" fontId="25" fillId="0" borderId="0" xfId="1" applyNumberFormat="1" applyFont="1" applyFill="1" applyBorder="1" applyAlignment="1">
      <alignment horizontal="left" vertical="top"/>
    </xf>
    <xf numFmtId="171" fontId="25" fillId="0" borderId="0" xfId="2" applyNumberFormat="1" applyFont="1" applyFill="1" applyBorder="1" applyAlignment="1">
      <alignment horizontal="left" vertical="top"/>
    </xf>
    <xf numFmtId="179" fontId="25" fillId="0" borderId="0" xfId="1" applyNumberFormat="1" applyFont="1" applyFill="1" applyBorder="1" applyAlignment="1">
      <alignment horizontal="left" vertical="top"/>
    </xf>
    <xf numFmtId="176" fontId="25" fillId="0" borderId="0" xfId="0" applyNumberFormat="1" applyFont="1" applyFill="1" applyBorder="1" applyAlignment="1">
      <alignment horizontal="left" vertical="top"/>
    </xf>
    <xf numFmtId="178" fontId="25" fillId="0" borderId="0" xfId="0" applyNumberFormat="1" applyFont="1" applyFill="1" applyBorder="1"/>
    <xf numFmtId="171" fontId="25" fillId="0" borderId="0" xfId="2" applyNumberFormat="1" applyFont="1" applyFill="1" applyBorder="1"/>
    <xf numFmtId="164" fontId="25" fillId="0" borderId="0" xfId="1" applyNumberFormat="1" applyFont="1" applyFill="1" applyBorder="1"/>
    <xf numFmtId="173" fontId="25" fillId="0" borderId="0" xfId="0" applyFont="1" applyFill="1" applyBorder="1" applyAlignment="1">
      <alignment horizontal="left" vertical="top"/>
    </xf>
    <xf numFmtId="10" fontId="25" fillId="0" borderId="0" xfId="12" applyNumberFormat="1" applyFont="1" applyFill="1" applyBorder="1" applyAlignment="1">
      <alignment horizontal="left" vertical="top"/>
    </xf>
    <xf numFmtId="173" fontId="0" fillId="0" borderId="0" xfId="0" applyBorder="1"/>
    <xf numFmtId="173" fontId="0" fillId="0" borderId="0" xfId="0" applyFill="1" applyBorder="1"/>
    <xf numFmtId="173" fontId="9" fillId="0" borderId="0" xfId="0" applyFont="1" applyFill="1" applyAlignment="1">
      <alignment horizontal="centerContinuous"/>
    </xf>
    <xf numFmtId="173" fontId="9" fillId="0" borderId="0" xfId="0" applyFont="1" applyFill="1"/>
    <xf numFmtId="173" fontId="16" fillId="0" borderId="0" xfId="0" applyFont="1" applyFill="1" applyAlignment="1">
      <alignment horizontal="centerContinuous"/>
    </xf>
    <xf numFmtId="0" fontId="16" fillId="0" borderId="0" xfId="20" applyFont="1" applyFill="1" applyAlignment="1">
      <alignment horizontal="centerContinuous"/>
    </xf>
    <xf numFmtId="173" fontId="24" fillId="0" borderId="0" xfId="0" applyFont="1" applyFill="1" applyAlignment="1">
      <alignment horizontal="centerContinuous"/>
    </xf>
    <xf numFmtId="173" fontId="0" fillId="0" borderId="0" xfId="8" quotePrefix="1" applyFont="1" applyFill="1"/>
    <xf numFmtId="173" fontId="7" fillId="0" borderId="0" xfId="0" applyFont="1" applyFill="1" applyBorder="1" applyAlignment="1">
      <alignment horizontal="center"/>
    </xf>
    <xf numFmtId="173" fontId="8" fillId="0" borderId="0" xfId="0" applyFont="1" applyFill="1" applyAlignment="1">
      <alignment horizontal="right"/>
    </xf>
    <xf numFmtId="180" fontId="9" fillId="0" borderId="0" xfId="0" applyNumberFormat="1" applyFont="1" applyFill="1"/>
    <xf numFmtId="173" fontId="9" fillId="0" borderId="0" xfId="0" applyFont="1" applyFill="1" applyAlignment="1">
      <alignment horizontal="left"/>
    </xf>
    <xf numFmtId="0" fontId="24" fillId="0" borderId="0" xfId="20" applyFont="1" applyFill="1" applyBorder="1" applyAlignment="1">
      <alignment horizontal="center"/>
    </xf>
    <xf numFmtId="173" fontId="24" fillId="0" borderId="0" xfId="0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left"/>
    </xf>
    <xf numFmtId="173" fontId="24" fillId="0" borderId="9" xfId="0" applyFont="1" applyFill="1" applyBorder="1" applyAlignment="1">
      <alignment horizontal="centerContinuous"/>
    </xf>
    <xf numFmtId="173" fontId="8" fillId="0" borderId="0" xfId="0" applyFont="1" applyFill="1"/>
    <xf numFmtId="0" fontId="24" fillId="0" borderId="11" xfId="20" applyFont="1" applyFill="1" applyBorder="1" applyAlignment="1">
      <alignment horizontal="center"/>
    </xf>
    <xf numFmtId="173" fontId="31" fillId="0" borderId="11" xfId="0" applyFont="1" applyFill="1" applyBorder="1" applyAlignment="1">
      <alignment horizontal="center"/>
    </xf>
    <xf numFmtId="173" fontId="31" fillId="0" borderId="9" xfId="0" applyFont="1" applyFill="1" applyBorder="1" applyAlignment="1">
      <alignment horizontal="center"/>
    </xf>
    <xf numFmtId="174" fontId="9" fillId="0" borderId="0" xfId="2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39" fontId="9" fillId="0" borderId="0" xfId="1" applyNumberFormat="1" applyFont="1" applyFill="1" applyAlignment="1">
      <alignment horizontal="center"/>
    </xf>
    <xf numFmtId="17" fontId="7" fillId="0" borderId="10" xfId="0" applyNumberFormat="1" applyFont="1" applyFill="1" applyBorder="1" applyAlignment="1">
      <alignment horizontal="center"/>
    </xf>
    <xf numFmtId="4" fontId="7" fillId="0" borderId="10" xfId="2" applyNumberFormat="1" applyFont="1" applyFill="1" applyBorder="1" applyAlignment="1">
      <alignment horizontal="center"/>
    </xf>
    <xf numFmtId="4" fontId="7" fillId="0" borderId="5" xfId="2" applyNumberFormat="1" applyFont="1" applyFill="1" applyBorder="1" applyAlignment="1">
      <alignment horizontal="center"/>
    </xf>
    <xf numFmtId="43" fontId="9" fillId="0" borderId="0" xfId="1" applyFont="1" applyFill="1" applyAlignment="1">
      <alignment horizontal="center"/>
    </xf>
    <xf numFmtId="17" fontId="9" fillId="0" borderId="10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17" fontId="9" fillId="0" borderId="11" xfId="0" applyNumberFormat="1" applyFont="1" applyFill="1" applyBorder="1" applyAlignment="1">
      <alignment horizontal="center"/>
    </xf>
    <xf numFmtId="174" fontId="9" fillId="0" borderId="7" xfId="2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17" fontId="7" fillId="0" borderId="11" xfId="0" applyNumberFormat="1" applyFont="1" applyFill="1" applyBorder="1" applyAlignment="1">
      <alignment horizontal="center"/>
    </xf>
    <xf numFmtId="4" fontId="7" fillId="0" borderId="11" xfId="2" applyNumberFormat="1" applyFont="1" applyFill="1" applyBorder="1" applyAlignment="1">
      <alignment horizontal="center"/>
    </xf>
    <xf numFmtId="4" fontId="7" fillId="0" borderId="8" xfId="2" applyNumberFormat="1" applyFont="1" applyFill="1" applyBorder="1" applyAlignment="1">
      <alignment horizontal="center"/>
    </xf>
    <xf numFmtId="43" fontId="9" fillId="0" borderId="0" xfId="1" applyFont="1" applyFill="1"/>
    <xf numFmtId="39" fontId="9" fillId="0" borderId="9" xfId="1" applyNumberFormat="1" applyFont="1" applyFill="1" applyBorder="1" applyAlignment="1">
      <alignment horizontal="center"/>
    </xf>
    <xf numFmtId="173" fontId="9" fillId="0" borderId="9" xfId="0" applyFont="1" applyFill="1" applyBorder="1" applyAlignment="1">
      <alignment horizontal="centerContinuous"/>
    </xf>
    <xf numFmtId="43" fontId="9" fillId="0" borderId="9" xfId="1" applyNumberFormat="1" applyFont="1" applyFill="1" applyBorder="1" applyAlignment="1">
      <alignment horizontal="center"/>
    </xf>
    <xf numFmtId="173" fontId="9" fillId="0" borderId="0" xfId="0" applyFont="1" applyFill="1" applyAlignment="1">
      <alignment horizontal="center"/>
    </xf>
    <xf numFmtId="0" fontId="7" fillId="0" borderId="0" xfId="20" applyFont="1" applyFill="1" applyAlignment="1">
      <alignment horizontal="center"/>
    </xf>
    <xf numFmtId="173" fontId="9" fillId="6" borderId="0" xfId="0" applyFont="1" applyFill="1"/>
    <xf numFmtId="173" fontId="7" fillId="0" borderId="0" xfId="0" applyFont="1" applyFill="1"/>
    <xf numFmtId="173" fontId="7" fillId="0" borderId="0" xfId="0" applyFont="1" applyFill="1" applyAlignment="1">
      <alignment horizontal="center"/>
    </xf>
    <xf numFmtId="0" fontId="9" fillId="0" borderId="0" xfId="20" applyFont="1" applyFill="1" applyAlignment="1">
      <alignment horizontal="center"/>
    </xf>
    <xf numFmtId="173" fontId="7" fillId="0" borderId="9" xfId="0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center"/>
    </xf>
    <xf numFmtId="173" fontId="9" fillId="0" borderId="0" xfId="0" applyFont="1" applyFill="1" applyAlignment="1">
      <alignment wrapText="1"/>
    </xf>
    <xf numFmtId="178" fontId="9" fillId="0" borderId="0" xfId="0" applyNumberFormat="1" applyFont="1" applyFill="1"/>
    <xf numFmtId="0" fontId="9" fillId="0" borderId="0" xfId="0" applyNumberFormat="1" applyFont="1" applyFill="1"/>
    <xf numFmtId="173" fontId="9" fillId="0" borderId="10" xfId="0" applyFont="1" applyFill="1" applyBorder="1" applyAlignment="1">
      <alignment horizontal="center"/>
    </xf>
    <xf numFmtId="173" fontId="9" fillId="0" borderId="0" xfId="0" quotePrefix="1" applyFont="1" applyFill="1" applyBorder="1" applyAlignment="1">
      <alignment horizontal="center"/>
    </xf>
    <xf numFmtId="173" fontId="9" fillId="0" borderId="10" xfId="0" quotePrefix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8" fontId="9" fillId="0" borderId="0" xfId="0" applyNumberFormat="1" applyFont="1" applyFill="1" applyBorder="1" applyAlignment="1">
      <alignment horizontal="center"/>
    </xf>
    <xf numFmtId="167" fontId="9" fillId="0" borderId="10" xfId="0" applyNumberFormat="1" applyFont="1" applyFill="1" applyBorder="1" applyAlignment="1">
      <alignment horizontal="center"/>
    </xf>
    <xf numFmtId="178" fontId="9" fillId="0" borderId="0" xfId="0" applyNumberFormat="1" applyFont="1" applyFill="1" applyBorder="1"/>
    <xf numFmtId="10" fontId="9" fillId="0" borderId="0" xfId="0" applyNumberFormat="1" applyFont="1" applyFill="1" applyAlignment="1">
      <alignment horizontal="center"/>
    </xf>
    <xf numFmtId="173" fontId="9" fillId="0" borderId="0" xfId="0" applyFont="1" applyFill="1" applyAlignment="1">
      <alignment horizontal="right"/>
    </xf>
    <xf numFmtId="39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7" applyFont="1"/>
    <xf numFmtId="177" fontId="9" fillId="0" borderId="0" xfId="0" applyNumberFormat="1" applyFont="1" applyFill="1"/>
    <xf numFmtId="9" fontId="0" fillId="0" borderId="0" xfId="12" applyNumberFormat="1" applyFont="1" applyFill="1"/>
    <xf numFmtId="8" fontId="25" fillId="0" borderId="0" xfId="0" applyNumberFormat="1" applyFont="1" applyFill="1"/>
    <xf numFmtId="178" fontId="25" fillId="0" borderId="0" xfId="0" applyNumberFormat="1" applyFont="1" applyFill="1"/>
    <xf numFmtId="8" fontId="25" fillId="0" borderId="0" xfId="0" applyNumberFormat="1" applyFont="1" applyFill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173" fontId="8" fillId="0" borderId="0" xfId="0" applyFont="1" applyFill="1" applyBorder="1" applyAlignment="1">
      <alignment horizontal="centerContinuous" wrapText="1"/>
    </xf>
    <xf numFmtId="173" fontId="9" fillId="0" borderId="22" xfId="0" applyFont="1" applyFill="1" applyBorder="1"/>
    <xf numFmtId="173" fontId="8" fillId="7" borderId="27" xfId="0" applyFont="1" applyFill="1" applyBorder="1" applyAlignment="1">
      <alignment horizontal="centerContinuous"/>
    </xf>
    <xf numFmtId="173" fontId="9" fillId="7" borderId="28" xfId="0" applyFont="1" applyFill="1" applyBorder="1" applyAlignment="1">
      <alignment horizontal="centerContinuous"/>
    </xf>
    <xf numFmtId="173" fontId="0" fillId="0" borderId="0" xfId="0" applyAlignment="1">
      <alignment horizontal="right"/>
    </xf>
    <xf numFmtId="168" fontId="32" fillId="0" borderId="0" xfId="12" applyNumberFormat="1" applyFont="1" applyFill="1"/>
    <xf numFmtId="1" fontId="32" fillId="0" borderId="0" xfId="9" applyNumberFormat="1" applyFont="1" applyFill="1" applyAlignment="1" applyProtection="1">
      <alignment horizontal="center"/>
      <protection locked="0"/>
    </xf>
    <xf numFmtId="173" fontId="10" fillId="0" borderId="0" xfId="8" applyFont="1" applyFill="1" applyAlignment="1">
      <alignment horizontal="center"/>
    </xf>
    <xf numFmtId="173" fontId="0" fillId="0" borderId="0" xfId="8" applyFont="1" applyFill="1" applyAlignment="1">
      <alignment horizontal="center"/>
    </xf>
    <xf numFmtId="168" fontId="34" fillId="0" borderId="0" xfId="12" applyNumberFormat="1" applyFont="1" applyFill="1"/>
    <xf numFmtId="173" fontId="0" fillId="0" borderId="0" xfId="8" applyFont="1" applyFill="1" applyAlignment="1">
      <alignment horizontal="centerContinuous" wrapText="1"/>
    </xf>
    <xf numFmtId="9" fontId="9" fillId="0" borderId="0" xfId="12" applyFont="1" applyFill="1"/>
    <xf numFmtId="173" fontId="32" fillId="0" borderId="0" xfId="26" applyFont="1" applyFill="1"/>
    <xf numFmtId="173" fontId="32" fillId="0" borderId="0" xfId="27" applyFont="1" applyFill="1"/>
    <xf numFmtId="173" fontId="4" fillId="0" borderId="0" xfId="26" applyFill="1"/>
    <xf numFmtId="173" fontId="24" fillId="0" borderId="9" xfId="27" applyFont="1" applyFill="1" applyBorder="1" applyAlignment="1">
      <alignment horizontal="centerContinuous"/>
    </xf>
    <xf numFmtId="173" fontId="32" fillId="0" borderId="28" xfId="26" applyFont="1" applyFill="1" applyBorder="1" applyAlignment="1">
      <alignment horizontal="centerContinuous"/>
    </xf>
    <xf numFmtId="173" fontId="32" fillId="0" borderId="29" xfId="26" applyFont="1" applyFill="1" applyBorder="1" applyAlignment="1">
      <alignment horizontal="centerContinuous"/>
    </xf>
    <xf numFmtId="0" fontId="33" fillId="0" borderId="8" xfId="27" applyNumberFormat="1" applyFont="1" applyFill="1" applyBorder="1" applyAlignment="1">
      <alignment horizontal="centerContinuous" wrapText="1"/>
    </xf>
    <xf numFmtId="173" fontId="33" fillId="0" borderId="5" xfId="27" applyFont="1" applyFill="1" applyBorder="1" applyAlignment="1">
      <alignment horizontal="centerContinuous" wrapText="1"/>
    </xf>
    <xf numFmtId="173" fontId="33" fillId="0" borderId="8" xfId="27" applyFont="1" applyFill="1" applyBorder="1" applyAlignment="1">
      <alignment horizontal="centerContinuous" wrapText="1"/>
    </xf>
    <xf numFmtId="173" fontId="32" fillId="0" borderId="8" xfId="26" applyFont="1" applyFill="1" applyBorder="1" applyAlignment="1">
      <alignment horizontal="center"/>
    </xf>
    <xf numFmtId="0" fontId="32" fillId="0" borderId="21" xfId="27" applyNumberFormat="1" applyFont="1" applyFill="1" applyBorder="1" applyAlignment="1">
      <alignment horizontal="left"/>
    </xf>
    <xf numFmtId="43" fontId="32" fillId="0" borderId="22" xfId="21" applyFont="1" applyFill="1" applyBorder="1"/>
    <xf numFmtId="168" fontId="32" fillId="0" borderId="25" xfId="29" applyNumberFormat="1" applyFont="1" applyFill="1" applyBorder="1"/>
    <xf numFmtId="181" fontId="32" fillId="0" borderId="25" xfId="27" applyNumberFormat="1" applyFont="1" applyFill="1" applyBorder="1"/>
    <xf numFmtId="0" fontId="32" fillId="0" borderId="5" xfId="27" applyNumberFormat="1" applyFont="1" applyFill="1" applyBorder="1" applyAlignment="1">
      <alignment horizontal="center"/>
    </xf>
    <xf numFmtId="2" fontId="32" fillId="0" borderId="5" xfId="27" applyNumberFormat="1" applyFont="1" applyFill="1" applyBorder="1" applyAlignment="1">
      <alignment horizontal="center"/>
    </xf>
    <xf numFmtId="168" fontId="32" fillId="0" borderId="6" xfId="29" applyNumberFormat="1" applyFont="1" applyFill="1" applyBorder="1" applyAlignment="1">
      <alignment horizontal="center"/>
    </xf>
    <xf numFmtId="181" fontId="32" fillId="0" borderId="6" xfId="21" applyNumberFormat="1" applyFont="1" applyFill="1" applyBorder="1" applyAlignment="1">
      <alignment horizontal="center"/>
    </xf>
    <xf numFmtId="173" fontId="33" fillId="0" borderId="0" xfId="26" applyFont="1" applyFill="1"/>
    <xf numFmtId="173" fontId="32" fillId="0" borderId="9" xfId="26" applyFont="1" applyFill="1" applyBorder="1"/>
    <xf numFmtId="168" fontId="32" fillId="0" borderId="9" xfId="29" applyNumberFormat="1" applyFont="1" applyFill="1" applyBorder="1"/>
    <xf numFmtId="43" fontId="32" fillId="0" borderId="5" xfId="21" applyFont="1" applyFill="1" applyBorder="1"/>
    <xf numFmtId="0" fontId="32" fillId="0" borderId="8" xfId="27" applyNumberFormat="1" applyFont="1" applyFill="1" applyBorder="1" applyAlignment="1">
      <alignment horizontal="center"/>
    </xf>
    <xf numFmtId="43" fontId="32" fillId="0" borderId="11" xfId="21" applyFont="1" applyFill="1" applyBorder="1"/>
    <xf numFmtId="2" fontId="32" fillId="0" borderId="8" xfId="27" applyNumberFormat="1" applyFont="1" applyFill="1" applyBorder="1" applyAlignment="1">
      <alignment horizontal="center"/>
    </xf>
    <xf numFmtId="168" fontId="32" fillId="0" borderId="12" xfId="29" applyNumberFormat="1" applyFont="1" applyFill="1" applyBorder="1" applyAlignment="1">
      <alignment horizontal="center"/>
    </xf>
    <xf numFmtId="181" fontId="32" fillId="0" borderId="12" xfId="21" applyNumberFormat="1" applyFont="1" applyFill="1" applyBorder="1" applyAlignment="1">
      <alignment horizontal="center"/>
    </xf>
    <xf numFmtId="2" fontId="32" fillId="0" borderId="9" xfId="21" applyNumberFormat="1" applyFont="1" applyFill="1" applyBorder="1" applyAlignment="1">
      <alignment horizontal="center"/>
    </xf>
    <xf numFmtId="0" fontId="32" fillId="0" borderId="9" xfId="27" applyNumberFormat="1" applyFont="1" applyFill="1" applyBorder="1" applyAlignment="1">
      <alignment horizontal="center"/>
    </xf>
    <xf numFmtId="181" fontId="32" fillId="0" borderId="29" xfId="21" applyNumberFormat="1" applyFont="1" applyFill="1" applyBorder="1" applyAlignment="1">
      <alignment horizontal="center"/>
    </xf>
    <xf numFmtId="173" fontId="32" fillId="0" borderId="0" xfId="26" applyFont="1" applyFill="1" applyBorder="1"/>
    <xf numFmtId="173" fontId="33" fillId="0" borderId="0" xfId="17" applyFont="1" applyFill="1" applyAlignment="1">
      <alignment horizontal="centerContinuous"/>
    </xf>
    <xf numFmtId="173" fontId="32" fillId="0" borderId="0" xfId="17" applyFont="1" applyFill="1" applyAlignment="1">
      <alignment horizontal="centerContinuous"/>
    </xf>
    <xf numFmtId="173" fontId="32" fillId="0" borderId="0" xfId="17" applyFont="1" applyFill="1"/>
    <xf numFmtId="173" fontId="32" fillId="0" borderId="0" xfId="17" applyFont="1" applyFill="1" applyBorder="1" applyAlignment="1">
      <alignment horizontal="centerContinuous"/>
    </xf>
    <xf numFmtId="173" fontId="32" fillId="0" borderId="0" xfId="17" applyFont="1" applyFill="1" applyBorder="1"/>
    <xf numFmtId="173" fontId="33" fillId="0" borderId="21" xfId="17" applyFont="1" applyFill="1" applyBorder="1" applyAlignment="1">
      <alignment horizontal="center"/>
    </xf>
    <xf numFmtId="173" fontId="33" fillId="0" borderId="21" xfId="17" applyFont="1" applyFill="1" applyBorder="1" applyAlignment="1">
      <alignment horizontal="center" wrapText="1"/>
    </xf>
    <xf numFmtId="173" fontId="33" fillId="0" borderId="21" xfId="17" applyFont="1" applyFill="1" applyBorder="1" applyAlignment="1">
      <alignment horizontal="centerContinuous" wrapText="1"/>
    </xf>
    <xf numFmtId="173" fontId="33" fillId="0" borderId="8" xfId="17" applyFont="1" applyFill="1" applyBorder="1" applyAlignment="1">
      <alignment horizontal="centerContinuous"/>
    </xf>
    <xf numFmtId="173" fontId="33" fillId="0" borderId="8" xfId="17" quotePrefix="1" applyFont="1" applyFill="1" applyBorder="1" applyAlignment="1">
      <alignment horizontal="center" wrapText="1"/>
    </xf>
    <xf numFmtId="173" fontId="33" fillId="0" borderId="11" xfId="17" applyFont="1" applyFill="1" applyBorder="1" applyAlignment="1">
      <alignment horizontal="center"/>
    </xf>
    <xf numFmtId="173" fontId="33" fillId="0" borderId="7" xfId="17" applyFont="1" applyFill="1" applyBorder="1" applyAlignment="1">
      <alignment horizontal="center"/>
    </xf>
    <xf numFmtId="173" fontId="33" fillId="0" borderId="12" xfId="17" applyFont="1" applyFill="1" applyBorder="1" applyAlignment="1">
      <alignment horizontal="center"/>
    </xf>
    <xf numFmtId="173" fontId="32" fillId="0" borderId="0" xfId="17" quotePrefix="1" applyFont="1" applyFill="1" applyBorder="1" applyAlignment="1">
      <alignment horizontal="center"/>
    </xf>
    <xf numFmtId="1" fontId="32" fillId="0" borderId="0" xfId="17" applyNumberFormat="1" applyFont="1" applyFill="1" applyAlignment="1">
      <alignment horizontal="center"/>
    </xf>
    <xf numFmtId="172" fontId="32" fillId="9" borderId="0" xfId="17" applyNumberFormat="1" applyFont="1" applyFill="1" applyAlignment="1">
      <alignment horizontal="center"/>
    </xf>
    <xf numFmtId="177" fontId="32" fillId="0" borderId="0" xfId="16" applyNumberFormat="1" applyFont="1" applyFill="1"/>
    <xf numFmtId="0" fontId="32" fillId="0" borderId="0" xfId="17" applyNumberFormat="1" applyFont="1" applyFill="1" applyAlignment="1">
      <alignment horizontal="center"/>
    </xf>
    <xf numFmtId="8" fontId="32" fillId="0" borderId="0" xfId="17" applyNumberFormat="1" applyFont="1" applyFill="1" applyAlignment="1">
      <alignment horizontal="center"/>
    </xf>
    <xf numFmtId="173" fontId="36" fillId="0" borderId="0" xfId="16" applyFont="1" applyAlignment="1">
      <alignment vertical="center"/>
    </xf>
    <xf numFmtId="173" fontId="35" fillId="0" borderId="0" xfId="32"/>
    <xf numFmtId="44" fontId="32" fillId="0" borderId="0" xfId="2" applyFont="1" applyFill="1"/>
    <xf numFmtId="0" fontId="32" fillId="0" borderId="0" xfId="17" applyNumberFormat="1" applyFont="1" applyFill="1"/>
    <xf numFmtId="8" fontId="32" fillId="0" borderId="0" xfId="17" applyNumberFormat="1" applyFont="1" applyFill="1" applyAlignment="1">
      <alignment horizontal="right"/>
    </xf>
    <xf numFmtId="173" fontId="8" fillId="0" borderId="0" xfId="17" applyFont="1" applyFill="1"/>
    <xf numFmtId="177" fontId="9" fillId="0" borderId="9" xfId="17" applyNumberFormat="1" applyFont="1" applyFill="1" applyBorder="1"/>
    <xf numFmtId="173" fontId="8" fillId="0" borderId="9" xfId="17" applyFont="1" applyFill="1" applyBorder="1"/>
    <xf numFmtId="173" fontId="8" fillId="0" borderId="9" xfId="0" quotePrefix="1" applyFont="1" applyFill="1" applyBorder="1" applyAlignment="1">
      <alignment horizontal="center"/>
    </xf>
    <xf numFmtId="173" fontId="9" fillId="0" borderId="9" xfId="0" applyFont="1" applyFill="1" applyBorder="1"/>
    <xf numFmtId="173" fontId="8" fillId="0" borderId="9" xfId="0" applyFont="1" applyFill="1" applyBorder="1" applyAlignment="1">
      <alignment horizontal="centerContinuous"/>
    </xf>
    <xf numFmtId="173" fontId="8" fillId="0" borderId="9" xfId="0" applyFont="1" applyFill="1" applyBorder="1" applyAlignment="1">
      <alignment horizontal="center"/>
    </xf>
    <xf numFmtId="0" fontId="7" fillId="0" borderId="0" xfId="33"/>
    <xf numFmtId="17" fontId="37" fillId="0" borderId="0" xfId="33" applyNumberFormat="1" applyFont="1" applyBorder="1"/>
    <xf numFmtId="0" fontId="7" fillId="10" borderId="0" xfId="33" applyFill="1"/>
    <xf numFmtId="173" fontId="7" fillId="0" borderId="0" xfId="34"/>
    <xf numFmtId="9" fontId="0" fillId="0" borderId="0" xfId="29" applyFont="1"/>
    <xf numFmtId="164" fontId="0" fillId="0" borderId="0" xfId="35" applyNumberFormat="1" applyFont="1"/>
    <xf numFmtId="165" fontId="0" fillId="0" borderId="0" xfId="0" applyNumberFormat="1"/>
    <xf numFmtId="173" fontId="9" fillId="0" borderId="9" xfId="0" applyFont="1" applyFill="1" applyBorder="1" applyAlignment="1">
      <alignment horizontal="center" wrapText="1"/>
    </xf>
    <xf numFmtId="173" fontId="9" fillId="0" borderId="9" xfId="0" applyFont="1" applyFill="1" applyBorder="1" applyAlignment="1">
      <alignment horizontal="center"/>
    </xf>
    <xf numFmtId="17" fontId="9" fillId="0" borderId="9" xfId="0" applyNumberFormat="1" applyFont="1" applyFill="1" applyBorder="1" applyAlignment="1">
      <alignment horizontal="centerContinuous"/>
    </xf>
    <xf numFmtId="17" fontId="9" fillId="0" borderId="9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center"/>
    </xf>
    <xf numFmtId="173" fontId="0" fillId="0" borderId="10" xfId="0" quotePrefix="1" applyFont="1" applyFill="1" applyBorder="1" applyAlignment="1">
      <alignment horizontal="center"/>
    </xf>
    <xf numFmtId="173" fontId="0" fillId="0" borderId="0" xfId="0" applyFont="1" applyFill="1" applyBorder="1"/>
    <xf numFmtId="173" fontId="9" fillId="0" borderId="10" xfId="0" applyFont="1" applyFill="1" applyBorder="1"/>
    <xf numFmtId="173" fontId="0" fillId="0" borderId="10" xfId="0" applyFont="1" applyFill="1" applyBorder="1"/>
    <xf numFmtId="0" fontId="9" fillId="0" borderId="1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167" fontId="9" fillId="0" borderId="7" xfId="0" applyNumberFormat="1" applyFont="1" applyFill="1" applyBorder="1" applyAlignment="1">
      <alignment horizontal="center"/>
    </xf>
    <xf numFmtId="8" fontId="9" fillId="0" borderId="7" xfId="0" applyNumberFormat="1" applyFont="1" applyFill="1" applyBorder="1" applyAlignment="1">
      <alignment horizontal="center"/>
    </xf>
    <xf numFmtId="167" fontId="9" fillId="0" borderId="11" xfId="0" applyNumberFormat="1" applyFont="1" applyFill="1" applyBorder="1" applyAlignment="1">
      <alignment horizontal="center"/>
    </xf>
    <xf numFmtId="173" fontId="9" fillId="0" borderId="0" xfId="0" applyFont="1" applyFill="1" applyBorder="1" applyAlignment="1">
      <alignment horizontal="center"/>
    </xf>
    <xf numFmtId="173" fontId="9" fillId="0" borderId="0" xfId="0" applyFont="1" applyFill="1" applyBorder="1" applyAlignment="1">
      <alignment horizontal="left"/>
    </xf>
    <xf numFmtId="173" fontId="9" fillId="0" borderId="0" xfId="0" applyFont="1" applyFill="1" applyBorder="1" applyAlignment="1">
      <alignment horizontal="right"/>
    </xf>
    <xf numFmtId="173" fontId="9" fillId="0" borderId="27" xfId="0" quotePrefix="1" applyFont="1" applyFill="1" applyBorder="1" applyAlignment="1">
      <alignment horizontal="centerContinuous"/>
    </xf>
    <xf numFmtId="173" fontId="9" fillId="0" borderId="27" xfId="0" applyFont="1" applyFill="1" applyBorder="1"/>
    <xf numFmtId="173" fontId="9" fillId="0" borderId="28" xfId="0" quotePrefix="1" applyFont="1" applyFill="1" applyBorder="1" applyAlignment="1">
      <alignment horizontal="centerContinuous"/>
    </xf>
    <xf numFmtId="173" fontId="9" fillId="0" borderId="28" xfId="0" quotePrefix="1" applyFont="1" applyFill="1" applyBorder="1" applyAlignment="1">
      <alignment horizontal="center"/>
    </xf>
    <xf numFmtId="173" fontId="25" fillId="9" borderId="0" xfId="0" applyFont="1" applyFill="1" applyAlignment="1">
      <alignment horizontal="center"/>
    </xf>
    <xf numFmtId="173" fontId="25" fillId="9" borderId="0" xfId="0" applyFont="1" applyFill="1"/>
    <xf numFmtId="10" fontId="25" fillId="9" borderId="0" xfId="12" applyNumberFormat="1" applyFont="1" applyFill="1" applyAlignment="1">
      <alignment horizontal="center"/>
    </xf>
    <xf numFmtId="9" fontId="25" fillId="9" borderId="0" xfId="12" applyFont="1" applyFill="1"/>
    <xf numFmtId="173" fontId="26" fillId="9" borderId="0" xfId="0" applyFont="1" applyFill="1" applyBorder="1" applyAlignment="1">
      <alignment horizontal="centerContinuous"/>
    </xf>
    <xf numFmtId="173" fontId="25" fillId="9" borderId="7" xfId="0" applyFont="1" applyFill="1" applyBorder="1"/>
    <xf numFmtId="173" fontId="27" fillId="9" borderId="0" xfId="0" applyFont="1" applyFill="1" applyBorder="1" applyAlignment="1">
      <alignment horizontal="center"/>
    </xf>
    <xf numFmtId="173" fontId="27" fillId="9" borderId="0" xfId="0" applyFont="1" applyFill="1" applyBorder="1" applyAlignment="1">
      <alignment horizontal="left" vertical="top"/>
    </xf>
    <xf numFmtId="178" fontId="25" fillId="9" borderId="0" xfId="0" applyNumberFormat="1" applyFont="1" applyFill="1"/>
    <xf numFmtId="177" fontId="25" fillId="9" borderId="0" xfId="0" applyNumberFormat="1" applyFont="1" applyFill="1"/>
    <xf numFmtId="171" fontId="25" fillId="9" borderId="0" xfId="2" applyNumberFormat="1" applyFont="1" applyFill="1"/>
    <xf numFmtId="173" fontId="25" fillId="9" borderId="0" xfId="0" applyFont="1" applyFill="1" applyAlignment="1">
      <alignment horizontal="right"/>
    </xf>
    <xf numFmtId="164" fontId="25" fillId="9" borderId="0" xfId="1" applyNumberFormat="1" applyFont="1" applyFill="1" applyAlignment="1">
      <alignment horizontal="right"/>
    </xf>
    <xf numFmtId="176" fontId="25" fillId="9" borderId="0" xfId="0" applyNumberFormat="1" applyFont="1" applyFill="1" applyBorder="1" applyAlignment="1">
      <alignment horizontal="right"/>
    </xf>
    <xf numFmtId="164" fontId="25" fillId="9" borderId="0" xfId="1" applyNumberFormat="1" applyFont="1" applyFill="1" applyBorder="1" applyAlignment="1">
      <alignment horizontal="right"/>
    </xf>
    <xf numFmtId="179" fontId="25" fillId="9" borderId="0" xfId="1" applyNumberFormat="1" applyFont="1" applyFill="1" applyBorder="1" applyAlignment="1">
      <alignment horizontal="left" vertical="top"/>
    </xf>
    <xf numFmtId="171" fontId="25" fillId="9" borderId="0" xfId="2" applyNumberFormat="1" applyFont="1" applyFill="1" applyBorder="1" applyAlignment="1">
      <alignment horizontal="left" vertical="top"/>
    </xf>
    <xf numFmtId="173" fontId="25" fillId="9" borderId="0" xfId="0" applyFont="1" applyFill="1" applyAlignment="1">
      <alignment horizontal="left" vertical="top"/>
    </xf>
    <xf numFmtId="176" fontId="25" fillId="9" borderId="0" xfId="0" applyNumberFormat="1" applyFont="1" applyFill="1" applyBorder="1" applyAlignment="1">
      <alignment horizontal="left" vertical="top"/>
    </xf>
    <xf numFmtId="182" fontId="25" fillId="9" borderId="0" xfId="1" applyNumberFormat="1" applyFont="1" applyFill="1" applyAlignment="1">
      <alignment horizontal="left" vertical="top"/>
    </xf>
    <xf numFmtId="10" fontId="25" fillId="9" borderId="0" xfId="12" applyNumberFormat="1" applyFont="1" applyFill="1" applyAlignment="1">
      <alignment horizontal="right"/>
    </xf>
    <xf numFmtId="164" fontId="25" fillId="9" borderId="0" xfId="1" applyNumberFormat="1" applyFont="1" applyFill="1" applyBorder="1" applyAlignment="1">
      <alignment horizontal="right" vertical="center"/>
    </xf>
    <xf numFmtId="179" fontId="25" fillId="9" borderId="0" xfId="1" applyNumberFormat="1" applyFont="1" applyFill="1" applyBorder="1" applyAlignment="1">
      <alignment horizontal="left" vertical="center"/>
    </xf>
    <xf numFmtId="179" fontId="25" fillId="9" borderId="0" xfId="1" applyNumberFormat="1" applyFont="1" applyFill="1" applyBorder="1" applyAlignment="1">
      <alignment horizontal="right" vertical="center"/>
    </xf>
    <xf numFmtId="183" fontId="25" fillId="9" borderId="0" xfId="2" applyNumberFormat="1" applyFont="1" applyFill="1"/>
    <xf numFmtId="179" fontId="25" fillId="9" borderId="0" xfId="0" applyNumberFormat="1" applyFont="1" applyFill="1"/>
    <xf numFmtId="173" fontId="0" fillId="0" borderId="0" xfId="0" applyAlignment="1">
      <alignment horizontal="left"/>
    </xf>
    <xf numFmtId="4" fontId="7" fillId="0" borderId="21" xfId="2" applyNumberFormat="1" applyFont="1" applyFill="1" applyBorder="1" applyAlignment="1">
      <alignment horizontal="center"/>
    </xf>
    <xf numFmtId="4" fontId="7" fillId="0" borderId="22" xfId="2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17" fontId="9" fillId="0" borderId="22" xfId="0" applyNumberFormat="1" applyFont="1" applyFill="1" applyBorder="1" applyAlignment="1">
      <alignment horizontal="center"/>
    </xf>
    <xf numFmtId="0" fontId="31" fillId="0" borderId="27" xfId="20" applyFont="1" applyFill="1" applyBorder="1" applyAlignment="1">
      <alignment horizontal="center"/>
    </xf>
    <xf numFmtId="173" fontId="8" fillId="0" borderId="29" xfId="0" applyFont="1" applyFill="1" applyBorder="1" applyAlignment="1">
      <alignment horizontal="center"/>
    </xf>
    <xf numFmtId="173" fontId="8" fillId="0" borderId="28" xfId="0" applyFont="1" applyFill="1" applyBorder="1" applyAlignment="1">
      <alignment horizontal="center"/>
    </xf>
    <xf numFmtId="173" fontId="8" fillId="0" borderId="27" xfId="0" applyFont="1" applyFill="1" applyBorder="1" applyAlignment="1">
      <alignment horizontal="center"/>
    </xf>
    <xf numFmtId="0" fontId="30" fillId="0" borderId="22" xfId="20" applyFont="1" applyFill="1" applyBorder="1" applyAlignment="1">
      <alignment horizontal="center"/>
    </xf>
    <xf numFmtId="173" fontId="16" fillId="0" borderId="25" xfId="0" applyFont="1" applyFill="1" applyBorder="1" applyAlignment="1">
      <alignment horizontal="centerContinuous"/>
    </xf>
    <xf numFmtId="173" fontId="16" fillId="0" borderId="26" xfId="0" applyFont="1" applyFill="1" applyBorder="1" applyAlignment="1">
      <alignment horizontal="centerContinuous"/>
    </xf>
    <xf numFmtId="8" fontId="0" fillId="0" borderId="6" xfId="0" applyNumberFormat="1" applyFont="1" applyFill="1" applyBorder="1" applyAlignment="1">
      <alignment horizontal="center"/>
    </xf>
    <xf numFmtId="173" fontId="9" fillId="0" borderId="6" xfId="0" quotePrefix="1" applyFont="1" applyFill="1" applyBorder="1" applyAlignment="1">
      <alignment horizontal="center"/>
    </xf>
    <xf numFmtId="8" fontId="9" fillId="0" borderId="6" xfId="0" applyNumberFormat="1" applyFont="1" applyFill="1" applyBorder="1" applyAlignment="1">
      <alignment horizontal="center"/>
    </xf>
    <xf numFmtId="8" fontId="9" fillId="0" borderId="12" xfId="0" applyNumberFormat="1" applyFont="1" applyFill="1" applyBorder="1" applyAlignment="1">
      <alignment horizontal="center"/>
    </xf>
    <xf numFmtId="173" fontId="32" fillId="0" borderId="0" xfId="0" applyFont="1" applyFill="1"/>
    <xf numFmtId="175" fontId="32" fillId="0" borderId="0" xfId="0" applyNumberFormat="1" applyFont="1" applyFill="1"/>
    <xf numFmtId="175" fontId="33" fillId="0" borderId="8" xfId="27" applyNumberFormat="1" applyFont="1" applyFill="1" applyBorder="1" applyAlignment="1">
      <alignment horizontal="centerContinuous" wrapText="1"/>
    </xf>
    <xf numFmtId="175" fontId="32" fillId="0" borderId="21" xfId="27" applyNumberFormat="1" applyFont="1" applyFill="1" applyBorder="1" applyAlignment="1">
      <alignment horizontal="left"/>
    </xf>
    <xf numFmtId="175" fontId="32" fillId="0" borderId="5" xfId="38" applyNumberFormat="1" applyFont="1" applyFill="1" applyBorder="1" applyAlignment="1">
      <alignment horizontal="center"/>
    </xf>
    <xf numFmtId="168" fontId="32" fillId="0" borderId="5" xfId="38" applyNumberFormat="1" applyFont="1" applyFill="1" applyBorder="1" applyAlignment="1">
      <alignment horizontal="center"/>
    </xf>
    <xf numFmtId="175" fontId="32" fillId="0" borderId="5" xfId="31" applyNumberFormat="1" applyFont="1" applyFill="1" applyBorder="1" applyAlignment="1">
      <alignment horizontal="center"/>
    </xf>
    <xf numFmtId="175" fontId="32" fillId="0" borderId="12" xfId="0" applyNumberFormat="1" applyFont="1" applyFill="1" applyBorder="1" applyAlignment="1">
      <alignment horizontal="center"/>
    </xf>
    <xf numFmtId="175" fontId="32" fillId="0" borderId="29" xfId="0" applyNumberFormat="1" applyFont="1" applyFill="1" applyBorder="1" applyAlignment="1">
      <alignment horizontal="center"/>
    </xf>
    <xf numFmtId="165" fontId="32" fillId="0" borderId="5" xfId="27" applyNumberFormat="1" applyFont="1" applyFill="1" applyBorder="1" applyAlignment="1">
      <alignment horizontal="center"/>
    </xf>
    <xf numFmtId="9" fontId="0" fillId="11" borderId="7" xfId="12" applyFont="1" applyFill="1" applyBorder="1" applyAlignment="1">
      <alignment horizontal="center"/>
    </xf>
    <xf numFmtId="9" fontId="0" fillId="11" borderId="11" xfId="12" applyFont="1" applyFill="1" applyBorder="1" applyAlignment="1">
      <alignment horizontal="center"/>
    </xf>
    <xf numFmtId="173" fontId="39" fillId="11" borderId="11" xfId="0" applyFont="1" applyFill="1" applyBorder="1"/>
    <xf numFmtId="39" fontId="0" fillId="11" borderId="12" xfId="0" applyNumberFormat="1" applyFill="1" applyBorder="1" applyAlignment="1">
      <alignment horizontal="center"/>
    </xf>
    <xf numFmtId="39" fontId="0" fillId="11" borderId="7" xfId="0" applyNumberFormat="1" applyFill="1" applyBorder="1" applyAlignment="1">
      <alignment horizontal="center"/>
    </xf>
    <xf numFmtId="39" fontId="0" fillId="11" borderId="11" xfId="0" applyNumberFormat="1" applyFill="1" applyBorder="1" applyAlignment="1">
      <alignment horizontal="center"/>
    </xf>
    <xf numFmtId="173" fontId="0" fillId="11" borderId="0" xfId="0" applyFill="1"/>
    <xf numFmtId="173" fontId="39" fillId="11" borderId="0" xfId="0" applyFont="1" applyFill="1"/>
    <xf numFmtId="173" fontId="0" fillId="11" borderId="22" xfId="0" applyFill="1" applyBorder="1" applyAlignment="1">
      <alignment wrapText="1"/>
    </xf>
    <xf numFmtId="173" fontId="39" fillId="11" borderId="26" xfId="0" applyFont="1" applyFill="1" applyBorder="1" applyAlignment="1">
      <alignment horizontal="center" wrapText="1"/>
    </xf>
    <xf numFmtId="173" fontId="39" fillId="11" borderId="25" xfId="0" applyFont="1" applyFill="1" applyBorder="1" applyAlignment="1">
      <alignment horizontal="center" wrapText="1"/>
    </xf>
    <xf numFmtId="173" fontId="39" fillId="11" borderId="27" xfId="0" applyFont="1" applyFill="1" applyBorder="1"/>
    <xf numFmtId="39" fontId="0" fillId="11" borderId="27" xfId="0" applyNumberFormat="1" applyFill="1" applyBorder="1" applyAlignment="1">
      <alignment horizontal="center"/>
    </xf>
    <xf numFmtId="39" fontId="0" fillId="11" borderId="28" xfId="0" applyNumberFormat="1" applyFill="1" applyBorder="1" applyAlignment="1">
      <alignment horizontal="center"/>
    </xf>
    <xf numFmtId="39" fontId="0" fillId="11" borderId="29" xfId="0" applyNumberFormat="1" applyFill="1" applyBorder="1" applyAlignment="1">
      <alignment horizontal="center"/>
    </xf>
    <xf numFmtId="173" fontId="39" fillId="11" borderId="27" xfId="0" applyFont="1" applyFill="1" applyBorder="1" applyAlignment="1">
      <alignment wrapText="1"/>
    </xf>
    <xf numFmtId="9" fontId="0" fillId="11" borderId="12" xfId="12" applyNumberFormat="1" applyFont="1" applyFill="1" applyBorder="1" applyAlignment="1">
      <alignment horizontal="center"/>
    </xf>
    <xf numFmtId="0" fontId="28" fillId="0" borderId="0" xfId="39" applyFont="1" applyAlignment="1">
      <alignment horizontal="right" vertical="center"/>
    </xf>
    <xf numFmtId="166" fontId="29" fillId="0" borderId="0" xfId="39" applyNumberFormat="1" applyFont="1" applyAlignment="1">
      <alignment horizontal="left" vertical="center"/>
    </xf>
    <xf numFmtId="0" fontId="13" fillId="12" borderId="9" xfId="39" applyFont="1" applyFill="1" applyBorder="1" applyAlignment="1">
      <alignment horizontal="centerContinuous" vertical="center"/>
    </xf>
    <xf numFmtId="0" fontId="13" fillId="12" borderId="9" xfId="39" applyFont="1" applyFill="1" applyBorder="1" applyAlignment="1">
      <alignment horizontal="centerContinuous"/>
    </xf>
    <xf numFmtId="0" fontId="10" fillId="12" borderId="27" xfId="39" applyFont="1" applyFill="1" applyBorder="1" applyAlignment="1">
      <alignment horizontal="centerContinuous" wrapText="1"/>
    </xf>
    <xf numFmtId="0" fontId="10" fillId="12" borderId="29" xfId="39" applyFont="1" applyFill="1" applyBorder="1" applyAlignment="1">
      <alignment horizontal="centerContinuous" wrapText="1"/>
    </xf>
    <xf numFmtId="0" fontId="40" fillId="0" borderId="0" xfId="39" applyFont="1"/>
    <xf numFmtId="0" fontId="13" fillId="0" borderId="12" xfId="39" applyFont="1" applyBorder="1" applyAlignment="1"/>
    <xf numFmtId="0" fontId="13" fillId="12" borderId="9" xfId="39" applyFont="1" applyFill="1" applyBorder="1" applyAlignment="1"/>
    <xf numFmtId="1" fontId="13" fillId="12" borderId="9" xfId="39" applyNumberFormat="1" applyFont="1" applyFill="1" applyBorder="1" applyAlignment="1">
      <alignment horizontal="center"/>
    </xf>
    <xf numFmtId="0" fontId="13" fillId="12" borderId="9" xfId="39" applyNumberFormat="1" applyFont="1" applyFill="1" applyBorder="1" applyAlignment="1">
      <alignment horizontal="center"/>
    </xf>
    <xf numFmtId="0" fontId="10" fillId="12" borderId="9" xfId="39" applyFont="1" applyFill="1" applyBorder="1" applyAlignment="1">
      <alignment horizontal="centerContinuous"/>
    </xf>
    <xf numFmtId="0" fontId="8" fillId="12" borderId="22" xfId="39" applyFont="1" applyFill="1" applyBorder="1" applyAlignment="1">
      <alignment horizontal="center" vertical="top"/>
    </xf>
    <xf numFmtId="0" fontId="8" fillId="5" borderId="27" xfId="39" applyFont="1" applyFill="1" applyBorder="1" applyAlignment="1"/>
    <xf numFmtId="0" fontId="9" fillId="5" borderId="27" xfId="39" applyFont="1" applyFill="1" applyBorder="1" applyAlignment="1"/>
    <xf numFmtId="0" fontId="9" fillId="5" borderId="28" xfId="39" applyFont="1" applyFill="1" applyBorder="1" applyAlignment="1"/>
    <xf numFmtId="0" fontId="9" fillId="5" borderId="29" xfId="39" applyFont="1" applyFill="1" applyBorder="1" applyAlignment="1"/>
    <xf numFmtId="0" fontId="8" fillId="12" borderId="5" xfId="39" applyFont="1" applyFill="1" applyBorder="1" applyAlignment="1">
      <alignment horizontal="center" vertical="top"/>
    </xf>
    <xf numFmtId="0" fontId="9" fillId="0" borderId="23" xfId="39" applyFont="1" applyBorder="1" applyAlignment="1"/>
    <xf numFmtId="164" fontId="13" fillId="0" borderId="9" xfId="40" applyNumberFormat="1" applyFont="1" applyBorder="1" applyAlignment="1">
      <alignment horizontal="center"/>
    </xf>
    <xf numFmtId="164" fontId="13" fillId="0" borderId="8" xfId="40" applyNumberFormat="1" applyFont="1" applyBorder="1" applyAlignment="1">
      <alignment horizontal="center"/>
    </xf>
    <xf numFmtId="0" fontId="9" fillId="5" borderId="10" xfId="39" applyFont="1" applyFill="1" applyBorder="1" applyAlignment="1"/>
    <xf numFmtId="0" fontId="9" fillId="5" borderId="6" xfId="39" applyFont="1" applyFill="1" applyBorder="1" applyAlignment="1"/>
    <xf numFmtId="0" fontId="9" fillId="12" borderId="5" xfId="39" applyFont="1" applyFill="1" applyBorder="1" applyAlignment="1">
      <alignment horizontal="center" vertical="top"/>
    </xf>
    <xf numFmtId="0" fontId="9" fillId="0" borderId="18" xfId="39" applyFont="1" applyBorder="1" applyAlignment="1"/>
    <xf numFmtId="0" fontId="8" fillId="0" borderId="19" xfId="39" applyFont="1" applyBorder="1" applyAlignment="1"/>
    <xf numFmtId="164" fontId="13" fillId="0" borderId="13" xfId="40" applyNumberFormat="1" applyFont="1" applyBorder="1" applyAlignment="1">
      <alignment horizontal="center"/>
    </xf>
    <xf numFmtId="0" fontId="9" fillId="0" borderId="11" xfId="39" applyFont="1" applyBorder="1" applyAlignment="1"/>
    <xf numFmtId="164" fontId="13" fillId="0" borderId="30" xfId="40" applyNumberFormat="1" applyFont="1" applyBorder="1" applyAlignment="1">
      <alignment horizontal="center"/>
    </xf>
    <xf numFmtId="169" fontId="13" fillId="0" borderId="8" xfId="40" applyNumberFormat="1" applyFont="1" applyBorder="1" applyAlignment="1">
      <alignment horizontal="center"/>
    </xf>
    <xf numFmtId="169" fontId="13" fillId="0" borderId="9" xfId="40" applyNumberFormat="1" applyFont="1" applyBorder="1" applyAlignment="1">
      <alignment horizontal="center"/>
    </xf>
    <xf numFmtId="169" fontId="13" fillId="0" borderId="13" xfId="40" applyNumberFormat="1" applyFont="1" applyBorder="1" applyAlignment="1">
      <alignment horizontal="center"/>
    </xf>
    <xf numFmtId="0" fontId="9" fillId="0" borderId="27" xfId="39" applyFont="1" applyBorder="1" applyAlignment="1"/>
    <xf numFmtId="164" fontId="13" fillId="0" borderId="5" xfId="40" applyNumberFormat="1" applyFont="1" applyBorder="1" applyAlignment="1">
      <alignment horizontal="center"/>
    </xf>
    <xf numFmtId="0" fontId="9" fillId="0" borderId="22" xfId="39" applyFont="1" applyBorder="1" applyAlignment="1"/>
    <xf numFmtId="164" fontId="13" fillId="0" borderId="21" xfId="40" applyNumberFormat="1" applyFont="1" applyBorder="1" applyAlignment="1">
      <alignment horizontal="center"/>
    </xf>
    <xf numFmtId="164" fontId="13" fillId="8" borderId="8" xfId="40" applyNumberFormat="1" applyFont="1" applyFill="1" applyBorder="1" applyAlignment="1">
      <alignment horizontal="center"/>
    </xf>
    <xf numFmtId="164" fontId="13" fillId="8" borderId="9" xfId="40" applyNumberFormat="1" applyFont="1" applyFill="1" applyBorder="1" applyAlignment="1">
      <alignment horizontal="center"/>
    </xf>
    <xf numFmtId="0" fontId="9" fillId="12" borderId="14" xfId="39" applyFont="1" applyFill="1" applyBorder="1" applyAlignment="1">
      <alignment horizontal="center" vertical="top"/>
    </xf>
    <xf numFmtId="0" fontId="9" fillId="0" borderId="31" xfId="39" applyFont="1" applyBorder="1" applyAlignment="1"/>
    <xf numFmtId="0" fontId="9" fillId="0" borderId="24" xfId="39" applyFont="1" applyBorder="1" applyAlignment="1"/>
    <xf numFmtId="0" fontId="9" fillId="8" borderId="24" xfId="39" applyFont="1" applyFill="1" applyBorder="1" applyAlignment="1"/>
    <xf numFmtId="0" fontId="9" fillId="12" borderId="5" xfId="39" applyFont="1" applyFill="1" applyBorder="1" applyAlignment="1">
      <alignment horizontal="right" vertical="top"/>
    </xf>
    <xf numFmtId="0" fontId="9" fillId="12" borderId="8" xfId="39" applyFont="1" applyFill="1" applyBorder="1" applyAlignment="1">
      <alignment horizontal="right" vertical="top"/>
    </xf>
    <xf numFmtId="0" fontId="9" fillId="8" borderId="23" xfId="39" applyFont="1" applyFill="1" applyBorder="1" applyAlignment="1"/>
    <xf numFmtId="164" fontId="13" fillId="8" borderId="5" xfId="40" applyNumberFormat="1" applyFont="1" applyFill="1" applyBorder="1" applyAlignment="1">
      <alignment horizontal="center"/>
    </xf>
    <xf numFmtId="0" fontId="9" fillId="0" borderId="25" xfId="39" applyFont="1" applyBorder="1" applyAlignment="1"/>
    <xf numFmtId="0" fontId="9" fillId="12" borderId="20" xfId="39" applyFont="1" applyFill="1" applyBorder="1" applyAlignment="1">
      <alignment horizontal="right"/>
    </xf>
    <xf numFmtId="164" fontId="13" fillId="12" borderId="17" xfId="40" applyNumberFormat="1" applyFont="1" applyFill="1" applyBorder="1" applyAlignment="1">
      <alignment horizontal="center"/>
    </xf>
    <xf numFmtId="164" fontId="13" fillId="0" borderId="26" xfId="40" applyNumberFormat="1" applyFont="1" applyFill="1" applyBorder="1" applyAlignment="1">
      <alignment horizontal="center"/>
    </xf>
    <xf numFmtId="0" fontId="9" fillId="0" borderId="6" xfId="39" applyFont="1" applyBorder="1" applyAlignment="1"/>
    <xf numFmtId="0" fontId="9" fillId="12" borderId="15" xfId="39" applyFont="1" applyFill="1" applyBorder="1" applyAlignment="1">
      <alignment horizontal="right"/>
    </xf>
    <xf numFmtId="164" fontId="13" fillId="12" borderId="16" xfId="40" applyNumberFormat="1" applyFont="1" applyFill="1" applyBorder="1" applyAlignment="1">
      <alignment horizontal="center"/>
    </xf>
    <xf numFmtId="164" fontId="13" fillId="0" borderId="0" xfId="40" applyNumberFormat="1" applyFont="1" applyFill="1" applyBorder="1" applyAlignment="1">
      <alignment horizontal="center"/>
    </xf>
    <xf numFmtId="0" fontId="9" fillId="0" borderId="0" xfId="39" applyFont="1" applyAlignment="1"/>
    <xf numFmtId="0" fontId="9" fillId="12" borderId="27" xfId="39" applyFont="1" applyFill="1" applyBorder="1" applyAlignment="1">
      <alignment horizontal="right"/>
    </xf>
    <xf numFmtId="164" fontId="13" fillId="12" borderId="9" xfId="40" applyNumberFormat="1" applyFont="1" applyFill="1" applyBorder="1" applyAlignment="1">
      <alignment horizontal="center"/>
    </xf>
    <xf numFmtId="0" fontId="9" fillId="0" borderId="0" xfId="39" applyFont="1" applyFill="1" applyAlignment="1"/>
    <xf numFmtId="164" fontId="9" fillId="0" borderId="0" xfId="39" applyNumberFormat="1" applyFont="1"/>
    <xf numFmtId="0" fontId="9" fillId="0" borderId="0" xfId="39" applyFont="1" applyBorder="1"/>
    <xf numFmtId="0" fontId="9" fillId="0" borderId="0" xfId="39" applyFont="1" applyFill="1" applyBorder="1"/>
    <xf numFmtId="164" fontId="9" fillId="0" borderId="0" xfId="39" applyNumberFormat="1" applyFont="1" applyFill="1" applyBorder="1"/>
    <xf numFmtId="9" fontId="0" fillId="0" borderId="0" xfId="41" applyFont="1"/>
    <xf numFmtId="0" fontId="9" fillId="8" borderId="27" xfId="39" applyFont="1" applyFill="1" applyBorder="1" applyAlignment="1"/>
    <xf numFmtId="173" fontId="9" fillId="0" borderId="0" xfId="0" applyFont="1" applyFill="1" applyBorder="1" applyAlignment="1">
      <alignment horizontal="center" wrapText="1"/>
    </xf>
    <xf numFmtId="173" fontId="9" fillId="0" borderId="0" xfId="0" quotePrefix="1" applyFont="1" applyFill="1" applyBorder="1" applyAlignment="1">
      <alignment horizontal="centerContinuous"/>
    </xf>
    <xf numFmtId="173" fontId="9" fillId="0" borderId="0" xfId="0" applyFont="1" applyFill="1" applyBorder="1" applyAlignment="1">
      <alignment horizontal="centerContinuous"/>
    </xf>
    <xf numFmtId="173" fontId="9" fillId="0" borderId="9" xfId="0" quotePrefix="1" applyFont="1" applyFill="1" applyBorder="1" applyAlignment="1">
      <alignment horizontal="center"/>
    </xf>
    <xf numFmtId="173" fontId="10" fillId="0" borderId="0" xfId="10" applyFont="1" applyAlignment="1">
      <alignment horizontal="center"/>
    </xf>
    <xf numFmtId="173" fontId="10" fillId="0" borderId="0" xfId="10" applyFont="1" applyFill="1" applyAlignment="1">
      <alignment horizontal="center"/>
    </xf>
    <xf numFmtId="0" fontId="33" fillId="0" borderId="27" xfId="28" applyFont="1" applyFill="1" applyBorder="1" applyAlignment="1">
      <alignment horizontal="center"/>
    </xf>
    <xf numFmtId="0" fontId="33" fillId="0" borderId="28" xfId="28" applyFont="1" applyFill="1" applyBorder="1" applyAlignment="1">
      <alignment horizontal="center"/>
    </xf>
    <xf numFmtId="0" fontId="33" fillId="0" borderId="29" xfId="28" applyFont="1" applyFill="1" applyBorder="1" applyAlignment="1">
      <alignment horizontal="center"/>
    </xf>
    <xf numFmtId="43" fontId="32" fillId="0" borderId="27" xfId="21" applyFont="1" applyFill="1" applyBorder="1" applyAlignment="1">
      <alignment horizontal="left"/>
    </xf>
    <xf numFmtId="43" fontId="32" fillId="0" borderId="29" xfId="21" applyFont="1" applyFill="1" applyBorder="1" applyAlignment="1">
      <alignment horizontal="left"/>
    </xf>
    <xf numFmtId="173" fontId="8" fillId="7" borderId="27" xfId="0" applyFont="1" applyFill="1" applyBorder="1" applyAlignment="1">
      <alignment horizontal="center"/>
    </xf>
    <xf numFmtId="173" fontId="8" fillId="7" borderId="28" xfId="0" applyFont="1" applyFill="1" applyBorder="1" applyAlignment="1">
      <alignment horizontal="center"/>
    </xf>
    <xf numFmtId="173" fontId="8" fillId="7" borderId="29" xfId="0" applyFont="1" applyFill="1" applyBorder="1" applyAlignment="1">
      <alignment horizontal="center"/>
    </xf>
    <xf numFmtId="173" fontId="0" fillId="0" borderId="0" xfId="8" applyFont="1" applyFill="1" applyAlignment="1">
      <alignment horizontal="left" wrapText="1"/>
    </xf>
    <xf numFmtId="173" fontId="8" fillId="0" borderId="0" xfId="17" applyFont="1" applyFill="1" applyAlignment="1">
      <alignment horizontal="center"/>
    </xf>
    <xf numFmtId="173" fontId="10" fillId="0" borderId="0" xfId="8" applyFont="1" applyFill="1" applyAlignment="1">
      <alignment horizontal="center"/>
    </xf>
  </cellXfs>
  <cellStyles count="42">
    <cellStyle name="_x0013_" xfId="19"/>
    <cellStyle name="Comma" xfId="1" builtinId="3"/>
    <cellStyle name="Comma 10" xfId="35"/>
    <cellStyle name="Comma 2" xfId="40"/>
    <cellStyle name="Comma 2 2" xfId="21"/>
    <cellStyle name="Currency" xfId="2" builtinId="4"/>
    <cellStyle name="Currency 2" xfId="23"/>
    <cellStyle name="Currency No Comma" xfId="3"/>
    <cellStyle name="Hyperlink 2" xfId="32"/>
    <cellStyle name="Hyperlink 3" xfId="37"/>
    <cellStyle name="Input" xfId="4" builtinId="20" customBuiltin="1"/>
    <cellStyle name="MCP" xfId="5"/>
    <cellStyle name="noninput" xfId="6"/>
    <cellStyle name="Normal" xfId="0" builtinId="0" customBuiltin="1"/>
    <cellStyle name="Normal 176" xfId="18"/>
    <cellStyle name="Normal 176 2" xfId="22"/>
    <cellStyle name="Normal 2" xfId="16"/>
    <cellStyle name="Normal 2 2" xfId="25"/>
    <cellStyle name="Normal 3" xfId="26"/>
    <cellStyle name="Normal 3 2" xfId="36"/>
    <cellStyle name="Normal 4" xfId="39"/>
    <cellStyle name="Normal 5" xfId="24"/>
    <cellStyle name="Normal 5 2" xfId="34"/>
    <cellStyle name="Normal_CG27 Official Base Case 03-31-05" xfId="20"/>
    <cellStyle name="Normal_on off peak hours_1" xfId="33"/>
    <cellStyle name="Normal_Or AC 2003 - AC Study - Fuel Indexed Avoided Costs" xfId="7"/>
    <cellStyle name="Normal_OR AC Sch 37 - AC  Study (Gold) _2009 06 19" xfId="8"/>
    <cellStyle name="Normal_Thermal Attributes" xfId="28"/>
    <cellStyle name="Normal_T-INF-10-15-04-TEMPLATE" xfId="9"/>
    <cellStyle name="Normal_UT AC Sch 37 - L&amp;R  Study (Gold) _2009 06 19" xfId="10"/>
    <cellStyle name="Normal_WY AC 2009 - AC Study (Wind Study)_2009 08 11" xfId="17"/>
    <cellStyle name="Normal_xAC_Demand (Avoided Cost)" xfId="27"/>
    <cellStyle name="Password" xfId="11"/>
    <cellStyle name="Percent" xfId="12" builtinId="5"/>
    <cellStyle name="Percent 2" xfId="29"/>
    <cellStyle name="Percent 3" xfId="30"/>
    <cellStyle name="Percent 3 2" xfId="38"/>
    <cellStyle name="Percent 3 2 2 2" xfId="31"/>
    <cellStyle name="Percent 3 3" xfId="41"/>
    <cellStyle name="Unprot" xfId="13"/>
    <cellStyle name="Unprot$" xfId="14"/>
    <cellStyle name="Unprotect" xfId="15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7%20Filing%20Package\18-035-T02%20RMP%20Wkpr%20-%20QF%20Pricing%20Detail-Thermal%2005-15-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7%20Filing%20Package\18-035-T02%20RMP%20Wkpr%20-%20QF%20Pricing%20Detail-Solar%20T%2005-15-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7%20Filing%20Package\18-035-T02%20RMP%20Wkpr%20-%20QF%20Pricing%20Detail-Solar%20F%2005-15-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7%20Filing%20Package\18-035-T02%20RMP%20Wkpr%20-%20QF%20Pricing%20Detail-Wind%2005-15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</sheetNames>
    <sheetDataSet>
      <sheetData sheetId="0"/>
      <sheetData sheetId="1">
        <row r="4">
          <cell r="N4">
            <v>5.5836284214501042E-3</v>
          </cell>
        </row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R21">
            <v>2018</v>
          </cell>
          <cell r="S21">
            <v>18.007599816994091</v>
          </cell>
          <cell r="T21">
            <v>22.856030061421965</v>
          </cell>
          <cell r="U21">
            <v>16.392156522164584</v>
          </cell>
          <cell r="V21">
            <v>14.164116799408138</v>
          </cell>
        </row>
        <row r="22">
          <cell r="R22">
            <v>2019</v>
          </cell>
          <cell r="S22">
            <v>18.961955489850141</v>
          </cell>
          <cell r="T22">
            <v>23.245255224692389</v>
          </cell>
          <cell r="U22">
            <v>16.601915528497145</v>
          </cell>
          <cell r="V22">
            <v>14.787197054368596</v>
          </cell>
        </row>
        <row r="23">
          <cell r="R23">
            <v>2020</v>
          </cell>
          <cell r="S23">
            <v>16.67605181105159</v>
          </cell>
          <cell r="T23">
            <v>24.208403945888822</v>
          </cell>
          <cell r="U23">
            <v>14.395174259327771</v>
          </cell>
          <cell r="V23">
            <v>16.916256839403271</v>
          </cell>
        </row>
        <row r="24">
          <cell r="R24">
            <v>2021</v>
          </cell>
          <cell r="S24">
            <v>18.441478080671128</v>
          </cell>
          <cell r="T24">
            <v>23.645646617206534</v>
          </cell>
          <cell r="U24">
            <v>15.806060032759522</v>
          </cell>
          <cell r="V24">
            <v>17.382197493600117</v>
          </cell>
        </row>
        <row r="25">
          <cell r="R25">
            <v>2022</v>
          </cell>
          <cell r="S25">
            <v>19.436719375000248</v>
          </cell>
          <cell r="T25">
            <v>25.354984564153586</v>
          </cell>
          <cell r="U25">
            <v>16.835264808576341</v>
          </cell>
          <cell r="V25">
            <v>18.259035655182224</v>
          </cell>
        </row>
        <row r="26">
          <cell r="R26">
            <v>2023</v>
          </cell>
          <cell r="S26">
            <v>19.352960312773689</v>
          </cell>
          <cell r="T26">
            <v>29.042871005750182</v>
          </cell>
          <cell r="U26">
            <v>17.099254392938725</v>
          </cell>
          <cell r="V26">
            <v>20.948382861450689</v>
          </cell>
        </row>
        <row r="27">
          <cell r="R27">
            <v>2024</v>
          </cell>
          <cell r="S27">
            <v>21.185443499998247</v>
          </cell>
          <cell r="T27">
            <v>31.648809864253337</v>
          </cell>
          <cell r="U27">
            <v>19.138156886985804</v>
          </cell>
          <cell r="V27">
            <v>23.808133452496424</v>
          </cell>
        </row>
        <row r="28">
          <cell r="R28">
            <v>2025</v>
          </cell>
          <cell r="S28">
            <v>24.779470684845972</v>
          </cell>
          <cell r="T28">
            <v>35.310704105784907</v>
          </cell>
          <cell r="U28">
            <v>22.75221804844799</v>
          </cell>
          <cell r="V28">
            <v>27.847494472456823</v>
          </cell>
        </row>
        <row r="29">
          <cell r="R29">
            <v>2026</v>
          </cell>
          <cell r="S29">
            <v>27.355451746617042</v>
          </cell>
          <cell r="T29">
            <v>34.670001787972382</v>
          </cell>
          <cell r="U29">
            <v>25.128662491202654</v>
          </cell>
          <cell r="V29">
            <v>27.673620112330596</v>
          </cell>
        </row>
        <row r="30">
          <cell r="R30">
            <v>2027</v>
          </cell>
          <cell r="S30">
            <v>28.231281856802557</v>
          </cell>
          <cell r="T30">
            <v>35.573647058322187</v>
          </cell>
          <cell r="U30">
            <v>26.080257843366986</v>
          </cell>
          <cell r="V30">
            <v>28.722443685653815</v>
          </cell>
        </row>
        <row r="31">
          <cell r="R31">
            <v>2028</v>
          </cell>
          <cell r="S31">
            <v>32.413778778243071</v>
          </cell>
          <cell r="T31">
            <v>42.493035676721071</v>
          </cell>
          <cell r="U31">
            <v>30.26876592460647</v>
          </cell>
          <cell r="V31">
            <v>35.066983830148786</v>
          </cell>
        </row>
        <row r="32">
          <cell r="R32">
            <v>2029</v>
          </cell>
          <cell r="S32">
            <v>36.31412220565052</v>
          </cell>
          <cell r="T32">
            <v>49.469119309383153</v>
          </cell>
          <cell r="U32">
            <v>33.934802232290423</v>
          </cell>
          <cell r="V32">
            <v>40.886750341404671</v>
          </cell>
        </row>
        <row r="33">
          <cell r="R33">
            <v>2030</v>
          </cell>
          <cell r="S33">
            <v>41.176747398086206</v>
          </cell>
          <cell r="T33">
            <v>56.372029441007612</v>
          </cell>
          <cell r="U33">
            <v>38.687907507578508</v>
          </cell>
          <cell r="V33">
            <v>46.428608748878538</v>
          </cell>
        </row>
        <row r="34">
          <cell r="R34">
            <v>2031</v>
          </cell>
          <cell r="S34">
            <v>41.538495504547306</v>
          </cell>
          <cell r="T34">
            <v>56.880145269421803</v>
          </cell>
          <cell r="U34">
            <v>39.154344858300298</v>
          </cell>
          <cell r="V34">
            <v>47.106833870451105</v>
          </cell>
        </row>
        <row r="35">
          <cell r="R35">
            <v>2032</v>
          </cell>
          <cell r="S35">
            <v>45.062268051793758</v>
          </cell>
          <cell r="T35">
            <v>60.569548026917637</v>
          </cell>
          <cell r="U35">
            <v>42.354613468634795</v>
          </cell>
          <cell r="V35">
            <v>51.072887731292809</v>
          </cell>
        </row>
        <row r="36">
          <cell r="R36">
            <v>2033</v>
          </cell>
          <cell r="S36">
            <v>45.861595710826521</v>
          </cell>
          <cell r="T36">
            <v>61.303101734559327</v>
          </cell>
          <cell r="U36">
            <v>43.448332681571976</v>
          </cell>
          <cell r="V36">
            <v>52.214857047747564</v>
          </cell>
        </row>
        <row r="37">
          <cell r="R37">
            <v>2034</v>
          </cell>
          <cell r="S37">
            <v>45.660216539154717</v>
          </cell>
          <cell r="T37">
            <v>61.868165159680316</v>
          </cell>
          <cell r="U37">
            <v>43.157397169474613</v>
          </cell>
          <cell r="V37">
            <v>52.861478880597851</v>
          </cell>
        </row>
        <row r="38">
          <cell r="R38">
            <v>2035</v>
          </cell>
          <cell r="S38">
            <v>49.549472534693443</v>
          </cell>
          <cell r="T38">
            <v>65.154267851936311</v>
          </cell>
          <cell r="U38">
            <v>46.954079299428045</v>
          </cell>
          <cell r="V38">
            <v>55.471503250427304</v>
          </cell>
        </row>
        <row r="39">
          <cell r="R39">
            <v>2036</v>
          </cell>
          <cell r="S39">
            <v>51.090197765495468</v>
          </cell>
          <cell r="T39">
            <v>67.655200752933382</v>
          </cell>
          <cell r="U39">
            <v>48.323438160743279</v>
          </cell>
          <cell r="V39">
            <v>57.273951142732905</v>
          </cell>
        </row>
        <row r="40">
          <cell r="R40">
            <v>2037</v>
          </cell>
          <cell r="S40">
            <v>51.98175967742683</v>
          </cell>
          <cell r="T40">
            <v>68.768282902987764</v>
          </cell>
          <cell r="U40">
            <v>49.481590622034275</v>
          </cell>
          <cell r="V40">
            <v>58.696150506626402</v>
          </cell>
        </row>
      </sheetData>
      <sheetData sheetId="2"/>
      <sheetData sheetId="3">
        <row r="9">
          <cell r="K9" t="str">
            <v>Yes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</sheetNames>
    <sheetDataSet>
      <sheetData sheetId="0"/>
      <sheetData sheetId="1"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R21">
            <v>2018</v>
          </cell>
          <cell r="S21">
            <v>16.864109894924042</v>
          </cell>
          <cell r="T21">
            <v>18.256951425544102</v>
          </cell>
          <cell r="U21">
            <v>15.902057229699942</v>
          </cell>
          <cell r="V21">
            <v>11.27521778702029</v>
          </cell>
        </row>
        <row r="22">
          <cell r="R22">
            <v>2019</v>
          </cell>
          <cell r="S22">
            <v>16.572646813767474</v>
          </cell>
          <cell r="T22">
            <v>18.247756203461293</v>
          </cell>
          <cell r="U22">
            <v>14.784038365918125</v>
          </cell>
          <cell r="V22">
            <v>11.456020610761634</v>
          </cell>
        </row>
        <row r="23">
          <cell r="R23">
            <v>2020</v>
          </cell>
          <cell r="S23">
            <v>12.114792449714599</v>
          </cell>
          <cell r="T23">
            <v>19.456290739263771</v>
          </cell>
          <cell r="U23">
            <v>10.313737775674349</v>
          </cell>
          <cell r="V23">
            <v>13.620564566371232</v>
          </cell>
        </row>
        <row r="24">
          <cell r="R24">
            <v>2021</v>
          </cell>
          <cell r="S24">
            <v>13.815220250800351</v>
          </cell>
          <cell r="T24">
            <v>19.045694678118</v>
          </cell>
          <cell r="U24">
            <v>11.83922753639761</v>
          </cell>
          <cell r="V24">
            <v>13.92332838533839</v>
          </cell>
        </row>
        <row r="25">
          <cell r="R25">
            <v>2022</v>
          </cell>
          <cell r="S25">
            <v>14.594095459099403</v>
          </cell>
          <cell r="T25">
            <v>20.385733294100241</v>
          </cell>
          <cell r="U25">
            <v>12.701116552496067</v>
          </cell>
          <cell r="V25">
            <v>14.550977702775564</v>
          </cell>
        </row>
        <row r="26">
          <cell r="R26">
            <v>2023</v>
          </cell>
          <cell r="S26">
            <v>15.222829216070052</v>
          </cell>
          <cell r="T26">
            <v>24.064843683906979</v>
          </cell>
          <cell r="U26">
            <v>13.351871252582509</v>
          </cell>
          <cell r="V26">
            <v>17.672327982148847</v>
          </cell>
        </row>
        <row r="27">
          <cell r="R27">
            <v>2024</v>
          </cell>
          <cell r="S27">
            <v>16.13105434756071</v>
          </cell>
          <cell r="T27">
            <v>25.998037390190351</v>
          </cell>
          <cell r="U27">
            <v>14.559798281201196</v>
          </cell>
          <cell r="V27">
            <v>19.367270935193272</v>
          </cell>
        </row>
        <row r="28">
          <cell r="R28">
            <v>2025</v>
          </cell>
          <cell r="S28">
            <v>18.801666479932862</v>
          </cell>
          <cell r="T28">
            <v>32.419003044204672</v>
          </cell>
          <cell r="U28">
            <v>17.19335156094651</v>
          </cell>
          <cell r="V28">
            <v>25.30228634946581</v>
          </cell>
        </row>
        <row r="29">
          <cell r="R29">
            <v>2026</v>
          </cell>
          <cell r="S29">
            <v>19.403643855592126</v>
          </cell>
          <cell r="T29">
            <v>28.994837794433746</v>
          </cell>
          <cell r="U29">
            <v>17.605430455051831</v>
          </cell>
          <cell r="V29">
            <v>23.301462637962963</v>
          </cell>
        </row>
        <row r="30">
          <cell r="R30">
            <v>2027</v>
          </cell>
          <cell r="S30">
            <v>19.960299973004798</v>
          </cell>
          <cell r="T30">
            <v>29.95916289613297</v>
          </cell>
          <cell r="U30">
            <v>18.414172458649553</v>
          </cell>
          <cell r="V30">
            <v>24.357572085568773</v>
          </cell>
        </row>
        <row r="31">
          <cell r="R31">
            <v>2028</v>
          </cell>
          <cell r="S31">
            <v>25.745786262770803</v>
          </cell>
          <cell r="T31">
            <v>35.519668833502642</v>
          </cell>
          <cell r="U31">
            <v>24.332966251542221</v>
          </cell>
          <cell r="V31">
            <v>30.010415554289573</v>
          </cell>
        </row>
        <row r="32">
          <cell r="R32">
            <v>2029</v>
          </cell>
          <cell r="S32">
            <v>27.630827285164575</v>
          </cell>
          <cell r="T32">
            <v>39.941809162122212</v>
          </cell>
          <cell r="U32">
            <v>26.316024521423859</v>
          </cell>
          <cell r="V32">
            <v>33.418418461082588</v>
          </cell>
        </row>
        <row r="33">
          <cell r="R33">
            <v>2030</v>
          </cell>
          <cell r="S33">
            <v>45.150984424168556</v>
          </cell>
          <cell r="T33">
            <v>60.039846745993614</v>
          </cell>
          <cell r="U33">
            <v>42.305221397764235</v>
          </cell>
          <cell r="V33">
            <v>49.18169695716481</v>
          </cell>
        </row>
        <row r="34">
          <cell r="R34">
            <v>2031</v>
          </cell>
          <cell r="S34">
            <v>47.109300143296437</v>
          </cell>
          <cell r="T34">
            <v>61.031391150608272</v>
          </cell>
          <cell r="U34">
            <v>44.35420173962325</v>
          </cell>
          <cell r="V34">
            <v>50.350833502350028</v>
          </cell>
        </row>
        <row r="35">
          <cell r="R35">
            <v>2032</v>
          </cell>
          <cell r="S35">
            <v>48.299198669932736</v>
          </cell>
          <cell r="T35">
            <v>62.359380911679018</v>
          </cell>
          <cell r="U35">
            <v>45.30846280490934</v>
          </cell>
          <cell r="V35">
            <v>52.209295446936892</v>
          </cell>
        </row>
        <row r="36">
          <cell r="R36">
            <v>2033</v>
          </cell>
          <cell r="S36">
            <v>45.084069739591307</v>
          </cell>
          <cell r="T36">
            <v>58.522425054641815</v>
          </cell>
          <cell r="U36">
            <v>42.712941354831464</v>
          </cell>
          <cell r="V36">
            <v>49.324636761871602</v>
          </cell>
        </row>
        <row r="37">
          <cell r="R37">
            <v>2034</v>
          </cell>
          <cell r="S37">
            <v>47.191776500750898</v>
          </cell>
          <cell r="T37">
            <v>60.354197142599105</v>
          </cell>
          <cell r="U37">
            <v>44.414047434330783</v>
          </cell>
          <cell r="V37">
            <v>51.020487629753596</v>
          </cell>
        </row>
        <row r="38">
          <cell r="R38">
            <v>2035</v>
          </cell>
          <cell r="S38">
            <v>50.423694952115397</v>
          </cell>
          <cell r="T38">
            <v>64.64972905216699</v>
          </cell>
          <cell r="U38">
            <v>47.307512731548115</v>
          </cell>
          <cell r="V38">
            <v>54.495677386027126</v>
          </cell>
        </row>
        <row r="39">
          <cell r="R39">
            <v>2036</v>
          </cell>
          <cell r="S39">
            <v>53.065886215082209</v>
          </cell>
          <cell r="T39">
            <v>70.004412720396274</v>
          </cell>
          <cell r="U39">
            <v>49.772887864455633</v>
          </cell>
          <cell r="V39">
            <v>58.975418006857801</v>
          </cell>
        </row>
        <row r="40">
          <cell r="R40">
            <v>2037</v>
          </cell>
          <cell r="S40">
            <v>54.375475499345335</v>
          </cell>
          <cell r="T40">
            <v>71.135494159241162</v>
          </cell>
          <cell r="U40">
            <v>51.527433156686193</v>
          </cell>
          <cell r="V40">
            <v>60.225114042146096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</sheetNames>
    <sheetDataSet>
      <sheetData sheetId="0"/>
      <sheetData sheetId="1"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R21">
            <v>2018</v>
          </cell>
          <cell r="S21">
            <v>15.263021449671172</v>
          </cell>
          <cell r="T21">
            <v>17.577548698935015</v>
          </cell>
          <cell r="U21">
            <v>14.565197667532175</v>
          </cell>
          <cell r="V21">
            <v>11.099048464509407</v>
          </cell>
        </row>
        <row r="22">
          <cell r="R22">
            <v>2019</v>
          </cell>
          <cell r="S22">
            <v>15.248273525482844</v>
          </cell>
          <cell r="T22">
            <v>17.314513560970298</v>
          </cell>
          <cell r="U22">
            <v>13.851334244367189</v>
          </cell>
          <cell r="V22">
            <v>10.955774273039768</v>
          </cell>
        </row>
        <row r="23">
          <cell r="R23">
            <v>2020</v>
          </cell>
          <cell r="S23">
            <v>11.83912315314444</v>
          </cell>
          <cell r="T23">
            <v>18.234152042937936</v>
          </cell>
          <cell r="U23">
            <v>10.181459451517849</v>
          </cell>
          <cell r="V23">
            <v>12.849651872842283</v>
          </cell>
        </row>
        <row r="24">
          <cell r="R24">
            <v>2021</v>
          </cell>
          <cell r="S24">
            <v>13.445629272348221</v>
          </cell>
          <cell r="T24">
            <v>18.361433851693214</v>
          </cell>
          <cell r="U24">
            <v>11.744170322850991</v>
          </cell>
          <cell r="V24">
            <v>13.570169216147185</v>
          </cell>
        </row>
        <row r="25">
          <cell r="R25">
            <v>2022</v>
          </cell>
          <cell r="S25">
            <v>14.209337206397384</v>
          </cell>
          <cell r="T25">
            <v>19.595202703393408</v>
          </cell>
          <cell r="U25">
            <v>12.55251971020841</v>
          </cell>
          <cell r="V25">
            <v>14.205398001040217</v>
          </cell>
        </row>
        <row r="26">
          <cell r="R26">
            <v>2023</v>
          </cell>
          <cell r="S26">
            <v>14.832104279445106</v>
          </cell>
          <cell r="T26">
            <v>22.734225615520163</v>
          </cell>
          <cell r="U26">
            <v>13.305959892830298</v>
          </cell>
          <cell r="V26">
            <v>16.825461519628426</v>
          </cell>
        </row>
        <row r="27">
          <cell r="R27">
            <v>2024</v>
          </cell>
          <cell r="S27">
            <v>15.711485834308109</v>
          </cell>
          <cell r="T27">
            <v>24.546424349142704</v>
          </cell>
          <cell r="U27">
            <v>14.311407141611431</v>
          </cell>
          <cell r="V27">
            <v>18.337830091378194</v>
          </cell>
        </row>
        <row r="28">
          <cell r="R28">
            <v>2025</v>
          </cell>
          <cell r="S28">
            <v>18.10622429699589</v>
          </cell>
          <cell r="T28">
            <v>31.855700290523618</v>
          </cell>
          <cell r="U28">
            <v>16.70306229407328</v>
          </cell>
          <cell r="V28">
            <v>25.202925323174846</v>
          </cell>
        </row>
        <row r="29">
          <cell r="R29">
            <v>2026</v>
          </cell>
          <cell r="S29">
            <v>18.619852712411308</v>
          </cell>
          <cell r="T29">
            <v>27.204567634343103</v>
          </cell>
          <cell r="U29">
            <v>17.052026480380455</v>
          </cell>
          <cell r="V29">
            <v>21.897803824643258</v>
          </cell>
        </row>
        <row r="30">
          <cell r="R30">
            <v>2027</v>
          </cell>
          <cell r="S30">
            <v>19.009044939671501</v>
          </cell>
          <cell r="T30">
            <v>28.193420385589011</v>
          </cell>
          <cell r="U30">
            <v>17.77607315489756</v>
          </cell>
          <cell r="V30">
            <v>22.966786322439582</v>
          </cell>
        </row>
        <row r="31">
          <cell r="R31">
            <v>2028</v>
          </cell>
          <cell r="S31">
            <v>24.653466637785865</v>
          </cell>
          <cell r="T31">
            <v>33.340969101961832</v>
          </cell>
          <cell r="U31">
            <v>23.769120797318447</v>
          </cell>
          <cell r="V31">
            <v>28.451588493456917</v>
          </cell>
        </row>
        <row r="32">
          <cell r="R32">
            <v>2029</v>
          </cell>
          <cell r="S32">
            <v>25.286168959630949</v>
          </cell>
          <cell r="T32">
            <v>37.331548254944849</v>
          </cell>
          <cell r="U32">
            <v>24.228551488274658</v>
          </cell>
          <cell r="V32">
            <v>31.57011507059503</v>
          </cell>
        </row>
        <row r="33">
          <cell r="R33">
            <v>2030</v>
          </cell>
          <cell r="S33">
            <v>39.402721861792855</v>
          </cell>
          <cell r="T33">
            <v>51.864381110693706</v>
          </cell>
          <cell r="U33">
            <v>37.037678415639206</v>
          </cell>
          <cell r="V33">
            <v>42.678778501709388</v>
          </cell>
        </row>
        <row r="34">
          <cell r="R34">
            <v>2031</v>
          </cell>
          <cell r="S34">
            <v>41.028803252271388</v>
          </cell>
          <cell r="T34">
            <v>52.625163302922942</v>
          </cell>
          <cell r="U34">
            <v>38.681416009949054</v>
          </cell>
          <cell r="V34">
            <v>43.590235447832448</v>
          </cell>
        </row>
        <row r="35">
          <cell r="R35">
            <v>2032</v>
          </cell>
          <cell r="S35">
            <v>41.99647196693023</v>
          </cell>
          <cell r="T35">
            <v>53.794100674919036</v>
          </cell>
          <cell r="U35">
            <v>39.483152238439942</v>
          </cell>
          <cell r="V35">
            <v>45.225225767848123</v>
          </cell>
        </row>
        <row r="36">
          <cell r="R36">
            <v>2033</v>
          </cell>
          <cell r="S36">
            <v>38.710977399059395</v>
          </cell>
          <cell r="T36">
            <v>49.783725659905237</v>
          </cell>
          <cell r="U36">
            <v>36.774896937955511</v>
          </cell>
          <cell r="V36">
            <v>42.12157391059467</v>
          </cell>
        </row>
        <row r="37">
          <cell r="R37">
            <v>2034</v>
          </cell>
          <cell r="S37">
            <v>40.371168624013023</v>
          </cell>
          <cell r="T37">
            <v>51.215140317954059</v>
          </cell>
          <cell r="U37">
            <v>38.136472499359364</v>
          </cell>
          <cell r="V37">
            <v>43.427677902475807</v>
          </cell>
        </row>
        <row r="38">
          <cell r="R38">
            <v>2035</v>
          </cell>
          <cell r="S38">
            <v>42.860859804223324</v>
          </cell>
          <cell r="T38">
            <v>54.647398845949702</v>
          </cell>
          <cell r="U38">
            <v>40.375313949969573</v>
          </cell>
          <cell r="V38">
            <v>46.192630442538139</v>
          </cell>
        </row>
        <row r="39">
          <cell r="R39">
            <v>2036</v>
          </cell>
          <cell r="S39">
            <v>45.605993853307432</v>
          </cell>
          <cell r="T39">
            <v>59.638549449264872</v>
          </cell>
          <cell r="U39">
            <v>43.002887219658831</v>
          </cell>
          <cell r="V39">
            <v>50.41008960690111</v>
          </cell>
        </row>
        <row r="40">
          <cell r="R40">
            <v>2037</v>
          </cell>
          <cell r="S40">
            <v>46.67061339149798</v>
          </cell>
          <cell r="T40">
            <v>60.68632785210184</v>
          </cell>
          <cell r="U40">
            <v>44.324772578844417</v>
          </cell>
          <cell r="V40">
            <v>51.481884385190796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</sheetNames>
    <sheetDataSet>
      <sheetData sheetId="0"/>
      <sheetData sheetId="1"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R21">
            <v>2018</v>
          </cell>
          <cell r="S21">
            <v>16.059782033784135</v>
          </cell>
          <cell r="T21">
            <v>19.58076519678222</v>
          </cell>
          <cell r="U21">
            <v>14.093564756299964</v>
          </cell>
          <cell r="V21">
            <v>12.047583786893998</v>
          </cell>
        </row>
        <row r="22">
          <cell r="R22">
            <v>2019</v>
          </cell>
          <cell r="S22">
            <v>17.276154162052521</v>
          </cell>
          <cell r="T22">
            <v>20.578517796479225</v>
          </cell>
          <cell r="U22">
            <v>14.518523430093826</v>
          </cell>
          <cell r="V22">
            <v>13.067429324182044</v>
          </cell>
        </row>
        <row r="23">
          <cell r="R23">
            <v>2020</v>
          </cell>
          <cell r="S23">
            <v>13.197028248383395</v>
          </cell>
          <cell r="T23">
            <v>16.774784528168912</v>
          </cell>
          <cell r="U23">
            <v>11.344000688897182</v>
          </cell>
          <cell r="V23">
            <v>11.733245004840663</v>
          </cell>
        </row>
        <row r="24">
          <cell r="R24">
            <v>2021</v>
          </cell>
          <cell r="S24">
            <v>10.869431022115112</v>
          </cell>
          <cell r="T24">
            <v>13.043357503079868</v>
          </cell>
          <cell r="U24">
            <v>9.1965676662191349</v>
          </cell>
          <cell r="V24">
            <v>9.5218174112847844</v>
          </cell>
        </row>
        <row r="25">
          <cell r="R25">
            <v>2022</v>
          </cell>
          <cell r="S25">
            <v>14.862834472849483</v>
          </cell>
          <cell r="T25">
            <v>18.821979505704839</v>
          </cell>
          <cell r="U25">
            <v>12.722556937307997</v>
          </cell>
          <cell r="V25">
            <v>13.471853284959929</v>
          </cell>
        </row>
        <row r="26">
          <cell r="R26">
            <v>2023</v>
          </cell>
          <cell r="S26">
            <v>10.793620735221815</v>
          </cell>
          <cell r="T26">
            <v>13.769944189922573</v>
          </cell>
          <cell r="U26">
            <v>9.4796122620735783</v>
          </cell>
          <cell r="V26">
            <v>9.881296033393518</v>
          </cell>
        </row>
        <row r="27">
          <cell r="R27">
            <v>2024</v>
          </cell>
          <cell r="S27">
            <v>12.774633699891551</v>
          </cell>
          <cell r="T27">
            <v>16.734396967046287</v>
          </cell>
          <cell r="U27">
            <v>11.436567278346711</v>
          </cell>
          <cell r="V27">
            <v>12.660018730009975</v>
          </cell>
        </row>
        <row r="28">
          <cell r="R28">
            <v>2025</v>
          </cell>
          <cell r="S28">
            <v>11.463764053764994</v>
          </cell>
          <cell r="T28">
            <v>15.270454796951443</v>
          </cell>
          <cell r="U28">
            <v>10.486929980890004</v>
          </cell>
          <cell r="V28">
            <v>12.053305785552626</v>
          </cell>
        </row>
        <row r="29">
          <cell r="R29">
            <v>2026</v>
          </cell>
          <cell r="S29">
            <v>13.309787968893751</v>
          </cell>
          <cell r="T29">
            <v>17.344722928821337</v>
          </cell>
          <cell r="U29">
            <v>12.192826827578845</v>
          </cell>
          <cell r="V29">
            <v>13.838387261910142</v>
          </cell>
        </row>
        <row r="30">
          <cell r="R30">
            <v>2027</v>
          </cell>
          <cell r="S30">
            <v>13.188399770807608</v>
          </cell>
          <cell r="T30">
            <v>17.364227585286343</v>
          </cell>
          <cell r="U30">
            <v>12.112613171435299</v>
          </cell>
          <cell r="V30">
            <v>13.984250587296469</v>
          </cell>
        </row>
        <row r="31">
          <cell r="R31">
            <v>2028</v>
          </cell>
          <cell r="S31">
            <v>8.2134891625139268</v>
          </cell>
          <cell r="T31">
            <v>10.683838477867022</v>
          </cell>
          <cell r="U31">
            <v>7.6575322614623618</v>
          </cell>
          <cell r="V31">
            <v>8.7278078963524912</v>
          </cell>
        </row>
        <row r="32">
          <cell r="R32">
            <v>2029</v>
          </cell>
          <cell r="S32">
            <v>6.2532710318762543</v>
          </cell>
          <cell r="T32">
            <v>8.0132088322990711</v>
          </cell>
          <cell r="U32">
            <v>5.7791773030384741</v>
          </cell>
          <cell r="V32">
            <v>6.5697523533920466</v>
          </cell>
        </row>
        <row r="33">
          <cell r="R33">
            <v>2030</v>
          </cell>
          <cell r="S33">
            <v>14.876459950175356</v>
          </cell>
          <cell r="T33">
            <v>19.270816240201729</v>
          </cell>
          <cell r="U33">
            <v>13.786254053271469</v>
          </cell>
          <cell r="V33">
            <v>15.907754220408552</v>
          </cell>
        </row>
        <row r="34">
          <cell r="R34">
            <v>2031</v>
          </cell>
          <cell r="S34">
            <v>56.545833722914679</v>
          </cell>
          <cell r="T34">
            <v>71.73772747442537</v>
          </cell>
          <cell r="U34">
            <v>52.739105637040169</v>
          </cell>
          <cell r="V34">
            <v>59.267646757406219</v>
          </cell>
        </row>
        <row r="35">
          <cell r="R35">
            <v>2032</v>
          </cell>
          <cell r="S35">
            <v>57.385890272736098</v>
          </cell>
          <cell r="T35">
            <v>72.831003725260544</v>
          </cell>
          <cell r="U35">
            <v>53.637041845495396</v>
          </cell>
          <cell r="V35">
            <v>60.930727037034764</v>
          </cell>
        </row>
        <row r="36">
          <cell r="R36">
            <v>2033</v>
          </cell>
          <cell r="S36">
            <v>59.938752206153019</v>
          </cell>
          <cell r="T36">
            <v>76.20211656170116</v>
          </cell>
          <cell r="U36">
            <v>56.484552068969499</v>
          </cell>
          <cell r="V36">
            <v>64.324254325276598</v>
          </cell>
        </row>
        <row r="37">
          <cell r="R37">
            <v>2034</v>
          </cell>
          <cell r="S37">
            <v>61.102408280730273</v>
          </cell>
          <cell r="T37">
            <v>77.073032628630671</v>
          </cell>
          <cell r="U37">
            <v>57.636247488984445</v>
          </cell>
          <cell r="V37">
            <v>65.271575613958859</v>
          </cell>
        </row>
        <row r="38">
          <cell r="R38">
            <v>2035</v>
          </cell>
          <cell r="S38">
            <v>60.856775531697984</v>
          </cell>
          <cell r="T38">
            <v>77.262503490954259</v>
          </cell>
          <cell r="U38">
            <v>57.048958174955771</v>
          </cell>
          <cell r="V38">
            <v>65.224697250707322</v>
          </cell>
        </row>
        <row r="39">
          <cell r="R39">
            <v>2036</v>
          </cell>
          <cell r="S39">
            <v>61.939442389411319</v>
          </cell>
          <cell r="T39">
            <v>80.346404465218058</v>
          </cell>
          <cell r="U39">
            <v>58.135425662682536</v>
          </cell>
          <cell r="V39">
            <v>67.749198280202577</v>
          </cell>
        </row>
        <row r="40">
          <cell r="R40">
            <v>2037</v>
          </cell>
          <cell r="S40">
            <v>63.198576118369729</v>
          </cell>
          <cell r="T40">
            <v>81.781712693809013</v>
          </cell>
          <cell r="U40">
            <v>59.786748060160072</v>
          </cell>
          <cell r="V40">
            <v>69.353036219370807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tabSelected="1" zoomScale="50" zoomScaleNormal="50" zoomScaleSheetLayoutView="50" workbookViewId="0">
      <selection sqref="A1:X1"/>
    </sheetView>
  </sheetViews>
  <sheetFormatPr defaultColWidth="9.1640625" defaultRowHeight="15" x14ac:dyDescent="0.25"/>
  <cols>
    <col min="1" max="1" width="9.1640625" style="311"/>
    <col min="2" max="2" width="38.33203125" style="311" customWidth="1"/>
    <col min="3" max="16384" width="9.1640625" style="311"/>
  </cols>
  <sheetData>
    <row r="1" spans="1:24" s="15" customFormat="1" ht="15.75" x14ac:dyDescent="0.25">
      <c r="A1" s="373" t="s">
        <v>16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</row>
    <row r="2" spans="1:24" s="15" customFormat="1" ht="15.75" x14ac:dyDescent="0.25">
      <c r="A2" s="374" t="s">
        <v>219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</row>
    <row r="3" spans="1:24" s="15" customFormat="1" ht="15.75" x14ac:dyDescent="0.25">
      <c r="A3" s="374" t="s">
        <v>203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</row>
    <row r="4" spans="1:24" customFormat="1" ht="12.75" x14ac:dyDescent="0.2"/>
    <row r="5" spans="1:24" ht="31.5" x14ac:dyDescent="0.25">
      <c r="A5" s="305"/>
      <c r="B5" s="306"/>
      <c r="C5" s="307" t="s">
        <v>39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9" t="s">
        <v>52</v>
      </c>
      <c r="X5" s="310"/>
    </row>
    <row r="6" spans="1:24" ht="15.75" x14ac:dyDescent="0.25">
      <c r="A6" s="312"/>
      <c r="B6" s="313" t="s">
        <v>40</v>
      </c>
      <c r="C6" s="314">
        <v>2017</v>
      </c>
      <c r="D6" s="315">
        <v>2018</v>
      </c>
      <c r="E6" s="315">
        <v>2019</v>
      </c>
      <c r="F6" s="315">
        <v>2020</v>
      </c>
      <c r="G6" s="315">
        <v>2021</v>
      </c>
      <c r="H6" s="315">
        <v>2022</v>
      </c>
      <c r="I6" s="315">
        <v>2023</v>
      </c>
      <c r="J6" s="315">
        <v>2024</v>
      </c>
      <c r="K6" s="315">
        <v>2025</v>
      </c>
      <c r="L6" s="315">
        <v>2026</v>
      </c>
      <c r="M6" s="315">
        <v>2027</v>
      </c>
      <c r="N6" s="315">
        <v>2028</v>
      </c>
      <c r="O6" s="315">
        <v>2029</v>
      </c>
      <c r="P6" s="315">
        <v>2030</v>
      </c>
      <c r="Q6" s="315">
        <v>2031</v>
      </c>
      <c r="R6" s="315">
        <v>2032</v>
      </c>
      <c r="S6" s="315">
        <v>2033</v>
      </c>
      <c r="T6" s="315">
        <v>2034</v>
      </c>
      <c r="U6" s="315">
        <v>2035</v>
      </c>
      <c r="V6" s="315">
        <v>2036</v>
      </c>
      <c r="W6" s="316" t="s">
        <v>53</v>
      </c>
      <c r="X6" s="316" t="s">
        <v>54</v>
      </c>
    </row>
    <row r="7" spans="1:24" hidden="1" x14ac:dyDescent="0.25">
      <c r="A7" s="317" t="s">
        <v>41</v>
      </c>
      <c r="B7" s="318" t="s">
        <v>42</v>
      </c>
      <c r="C7" s="319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1"/>
      <c r="W7" s="319"/>
      <c r="X7" s="321"/>
    </row>
    <row r="8" spans="1:24" ht="15.75" hidden="1" x14ac:dyDescent="0.25">
      <c r="A8" s="322"/>
      <c r="B8" s="323" t="s">
        <v>117</v>
      </c>
      <c r="C8" s="324">
        <v>0</v>
      </c>
      <c r="D8" s="324">
        <v>0</v>
      </c>
      <c r="E8" s="324">
        <v>0</v>
      </c>
      <c r="F8" s="324">
        <v>0</v>
      </c>
      <c r="G8" s="324">
        <v>0</v>
      </c>
      <c r="H8" s="324">
        <v>0</v>
      </c>
      <c r="I8" s="324">
        <v>0</v>
      </c>
      <c r="J8" s="324">
        <v>0</v>
      </c>
      <c r="K8" s="324">
        <v>0</v>
      </c>
      <c r="L8" s="324">
        <v>-82.3</v>
      </c>
      <c r="M8" s="324">
        <v>0</v>
      </c>
      <c r="N8" s="324">
        <v>0</v>
      </c>
      <c r="O8" s="324">
        <v>0</v>
      </c>
      <c r="P8" s="324">
        <v>0</v>
      </c>
      <c r="Q8" s="324">
        <v>0</v>
      </c>
      <c r="R8" s="324">
        <v>0</v>
      </c>
      <c r="S8" s="324">
        <v>0</v>
      </c>
      <c r="T8" s="324">
        <v>0</v>
      </c>
      <c r="U8" s="324">
        <v>0</v>
      </c>
      <c r="V8" s="324">
        <v>0</v>
      </c>
      <c r="W8" s="324">
        <v>-82.3</v>
      </c>
      <c r="X8" s="324">
        <v>-82.3</v>
      </c>
    </row>
    <row r="9" spans="1:24" ht="15.75" hidden="1" x14ac:dyDescent="0.25">
      <c r="A9" s="322"/>
      <c r="B9" s="323" t="s">
        <v>118</v>
      </c>
      <c r="C9" s="324">
        <v>0</v>
      </c>
      <c r="D9" s="324">
        <v>0</v>
      </c>
      <c r="E9" s="324">
        <v>0</v>
      </c>
      <c r="F9" s="324">
        <v>0</v>
      </c>
      <c r="G9" s="324">
        <v>0</v>
      </c>
      <c r="H9" s="324">
        <v>0</v>
      </c>
      <c r="I9" s="324">
        <v>0</v>
      </c>
      <c r="J9" s="324">
        <v>0</v>
      </c>
      <c r="K9" s="324">
        <v>0</v>
      </c>
      <c r="L9" s="324">
        <v>0</v>
      </c>
      <c r="M9" s="324">
        <v>0</v>
      </c>
      <c r="N9" s="324">
        <v>0</v>
      </c>
      <c r="O9" s="324">
        <v>0</v>
      </c>
      <c r="P9" s="324">
        <v>0</v>
      </c>
      <c r="Q9" s="324">
        <v>0</v>
      </c>
      <c r="R9" s="324">
        <v>0</v>
      </c>
      <c r="S9" s="324">
        <v>0</v>
      </c>
      <c r="T9" s="324">
        <v>0</v>
      </c>
      <c r="U9" s="324">
        <v>-81.540000000000006</v>
      </c>
      <c r="V9" s="324">
        <v>0</v>
      </c>
      <c r="W9" s="324">
        <v>0</v>
      </c>
      <c r="X9" s="324">
        <v>-81.540000000000006</v>
      </c>
    </row>
    <row r="10" spans="1:24" ht="15.75" hidden="1" x14ac:dyDescent="0.25">
      <c r="A10" s="322"/>
      <c r="B10" s="323" t="s">
        <v>82</v>
      </c>
      <c r="C10" s="324">
        <v>0</v>
      </c>
      <c r="D10" s="324">
        <v>0</v>
      </c>
      <c r="E10" s="324">
        <v>0</v>
      </c>
      <c r="F10" s="324">
        <v>0</v>
      </c>
      <c r="G10" s="324">
        <v>0</v>
      </c>
      <c r="H10" s="324">
        <v>0</v>
      </c>
      <c r="I10" s="324">
        <v>0</v>
      </c>
      <c r="J10" s="324">
        <v>0</v>
      </c>
      <c r="K10" s="324">
        <v>0</v>
      </c>
      <c r="L10" s="324">
        <v>0</v>
      </c>
      <c r="M10" s="324">
        <v>0</v>
      </c>
      <c r="N10" s="324">
        <v>0</v>
      </c>
      <c r="O10" s="324">
        <v>0</v>
      </c>
      <c r="P10" s="324">
        <v>0</v>
      </c>
      <c r="Q10" s="324">
        <v>-43.86</v>
      </c>
      <c r="R10" s="324">
        <v>0</v>
      </c>
      <c r="S10" s="324">
        <v>0</v>
      </c>
      <c r="T10" s="324">
        <v>0</v>
      </c>
      <c r="U10" s="324">
        <v>0</v>
      </c>
      <c r="V10" s="324">
        <v>0</v>
      </c>
      <c r="W10" s="324">
        <v>0</v>
      </c>
      <c r="X10" s="324">
        <v>-43.86</v>
      </c>
    </row>
    <row r="11" spans="1:24" ht="15.75" hidden="1" x14ac:dyDescent="0.25">
      <c r="A11" s="322"/>
      <c r="B11" s="323" t="s">
        <v>83</v>
      </c>
      <c r="C11" s="324">
        <v>0</v>
      </c>
      <c r="D11" s="324">
        <v>0</v>
      </c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  <c r="K11" s="324">
        <v>0</v>
      </c>
      <c r="L11" s="324">
        <v>0</v>
      </c>
      <c r="M11" s="324">
        <v>0</v>
      </c>
      <c r="N11" s="324">
        <v>0</v>
      </c>
      <c r="O11" s="324">
        <v>0</v>
      </c>
      <c r="P11" s="324">
        <v>0</v>
      </c>
      <c r="Q11" s="324">
        <v>-32.68</v>
      </c>
      <c r="R11" s="324">
        <v>0</v>
      </c>
      <c r="S11" s="324">
        <v>0</v>
      </c>
      <c r="T11" s="324">
        <v>0</v>
      </c>
      <c r="U11" s="324">
        <v>0</v>
      </c>
      <c r="V11" s="324">
        <v>0</v>
      </c>
      <c r="W11" s="324">
        <v>0</v>
      </c>
      <c r="X11" s="324">
        <v>-32.68</v>
      </c>
    </row>
    <row r="12" spans="1:24" ht="15.75" hidden="1" x14ac:dyDescent="0.25">
      <c r="A12" s="322"/>
      <c r="B12" s="323" t="s">
        <v>84</v>
      </c>
      <c r="C12" s="324">
        <v>0</v>
      </c>
      <c r="D12" s="324">
        <v>0</v>
      </c>
      <c r="E12" s="324">
        <v>0</v>
      </c>
      <c r="F12" s="324">
        <v>0</v>
      </c>
      <c r="G12" s="324">
        <v>-387</v>
      </c>
      <c r="H12" s="324">
        <v>0</v>
      </c>
      <c r="I12" s="324">
        <v>0</v>
      </c>
      <c r="J12" s="324">
        <v>0</v>
      </c>
      <c r="K12" s="324">
        <v>0</v>
      </c>
      <c r="L12" s="324">
        <v>0</v>
      </c>
      <c r="M12" s="324">
        <v>0</v>
      </c>
      <c r="N12" s="324">
        <v>0</v>
      </c>
      <c r="O12" s="324">
        <v>0</v>
      </c>
      <c r="P12" s="324">
        <v>0</v>
      </c>
      <c r="Q12" s="324">
        <v>0</v>
      </c>
      <c r="R12" s="324">
        <v>0</v>
      </c>
      <c r="S12" s="324">
        <v>0</v>
      </c>
      <c r="T12" s="324">
        <v>0</v>
      </c>
      <c r="U12" s="324">
        <v>0</v>
      </c>
      <c r="V12" s="324">
        <v>0</v>
      </c>
      <c r="W12" s="324">
        <v>-387</v>
      </c>
      <c r="X12" s="324">
        <v>-387</v>
      </c>
    </row>
    <row r="13" spans="1:24" ht="15.75" hidden="1" x14ac:dyDescent="0.25">
      <c r="A13" s="322"/>
      <c r="B13" s="323" t="s">
        <v>85</v>
      </c>
      <c r="C13" s="324">
        <v>0</v>
      </c>
      <c r="D13" s="324">
        <v>0</v>
      </c>
      <c r="E13" s="324">
        <v>0</v>
      </c>
      <c r="F13" s="324">
        <v>0</v>
      </c>
      <c r="G13" s="324">
        <v>0</v>
      </c>
      <c r="H13" s="324">
        <v>0</v>
      </c>
      <c r="I13" s="324">
        <v>0</v>
      </c>
      <c r="J13" s="324">
        <v>0</v>
      </c>
      <c r="K13" s="324">
        <v>0</v>
      </c>
      <c r="L13" s="324">
        <v>0</v>
      </c>
      <c r="M13" s="324">
        <v>0</v>
      </c>
      <c r="N13" s="324">
        <v>-106</v>
      </c>
      <c r="O13" s="324">
        <v>0</v>
      </c>
      <c r="P13" s="324">
        <v>0</v>
      </c>
      <c r="Q13" s="324">
        <v>0</v>
      </c>
      <c r="R13" s="324">
        <v>0</v>
      </c>
      <c r="S13" s="324">
        <v>0</v>
      </c>
      <c r="T13" s="324">
        <v>0</v>
      </c>
      <c r="U13" s="324">
        <v>0</v>
      </c>
      <c r="V13" s="324">
        <v>0</v>
      </c>
      <c r="W13" s="324">
        <v>0</v>
      </c>
      <c r="X13" s="324">
        <v>-106</v>
      </c>
    </row>
    <row r="14" spans="1:24" ht="15.75" hidden="1" x14ac:dyDescent="0.25">
      <c r="A14" s="322"/>
      <c r="B14" s="323" t="s">
        <v>86</v>
      </c>
      <c r="C14" s="324">
        <v>0</v>
      </c>
      <c r="D14" s="324">
        <v>0</v>
      </c>
      <c r="E14" s="324">
        <v>0</v>
      </c>
      <c r="F14" s="324">
        <v>0</v>
      </c>
      <c r="G14" s="324">
        <v>0</v>
      </c>
      <c r="H14" s="324">
        <v>0</v>
      </c>
      <c r="I14" s="324">
        <v>0</v>
      </c>
      <c r="J14" s="324">
        <v>0</v>
      </c>
      <c r="K14" s="324">
        <v>0</v>
      </c>
      <c r="L14" s="324">
        <v>0</v>
      </c>
      <c r="M14" s="324">
        <v>0</v>
      </c>
      <c r="N14" s="324">
        <v>-106</v>
      </c>
      <c r="O14" s="324">
        <v>0</v>
      </c>
      <c r="P14" s="324">
        <v>0</v>
      </c>
      <c r="Q14" s="324">
        <v>0</v>
      </c>
      <c r="R14" s="324">
        <v>0</v>
      </c>
      <c r="S14" s="324">
        <v>0</v>
      </c>
      <c r="T14" s="324">
        <v>0</v>
      </c>
      <c r="U14" s="324">
        <v>0</v>
      </c>
      <c r="V14" s="324">
        <v>0</v>
      </c>
      <c r="W14" s="324">
        <v>0</v>
      </c>
      <c r="X14" s="324">
        <v>-106</v>
      </c>
    </row>
    <row r="15" spans="1:24" ht="15.75" hidden="1" x14ac:dyDescent="0.25">
      <c r="A15" s="322"/>
      <c r="B15" s="323" t="s">
        <v>87</v>
      </c>
      <c r="C15" s="324">
        <v>0</v>
      </c>
      <c r="D15" s="324">
        <v>0</v>
      </c>
      <c r="E15" s="324">
        <v>0</v>
      </c>
      <c r="F15" s="324">
        <v>0</v>
      </c>
      <c r="G15" s="324">
        <v>0</v>
      </c>
      <c r="H15" s="324">
        <v>0</v>
      </c>
      <c r="I15" s="324">
        <v>0</v>
      </c>
      <c r="J15" s="324">
        <v>0</v>
      </c>
      <c r="K15" s="324">
        <v>0</v>
      </c>
      <c r="L15" s="324">
        <v>0</v>
      </c>
      <c r="M15" s="324">
        <v>0</v>
      </c>
      <c r="N15" s="324">
        <v>-220</v>
      </c>
      <c r="O15" s="324">
        <v>0</v>
      </c>
      <c r="P15" s="324">
        <v>0</v>
      </c>
      <c r="Q15" s="324">
        <v>0</v>
      </c>
      <c r="R15" s="324">
        <v>0</v>
      </c>
      <c r="S15" s="324">
        <v>0</v>
      </c>
      <c r="T15" s="324">
        <v>0</v>
      </c>
      <c r="U15" s="324">
        <v>0</v>
      </c>
      <c r="V15" s="324">
        <v>0</v>
      </c>
      <c r="W15" s="324">
        <v>0</v>
      </c>
      <c r="X15" s="324">
        <v>-220</v>
      </c>
    </row>
    <row r="16" spans="1:24" ht="15.75" hidden="1" x14ac:dyDescent="0.25">
      <c r="A16" s="322"/>
      <c r="B16" s="323" t="s">
        <v>88</v>
      </c>
      <c r="C16" s="324">
        <v>0</v>
      </c>
      <c r="D16" s="324">
        <v>0</v>
      </c>
      <c r="E16" s="324">
        <v>0</v>
      </c>
      <c r="F16" s="324">
        <v>0</v>
      </c>
      <c r="G16" s="324">
        <v>0</v>
      </c>
      <c r="H16" s="324">
        <v>0</v>
      </c>
      <c r="I16" s="324">
        <v>0</v>
      </c>
      <c r="J16" s="324">
        <v>0</v>
      </c>
      <c r="K16" s="324">
        <v>0</v>
      </c>
      <c r="L16" s="324">
        <v>0</v>
      </c>
      <c r="M16" s="324">
        <v>0</v>
      </c>
      <c r="N16" s="324">
        <v>-330</v>
      </c>
      <c r="O16" s="324">
        <v>0</v>
      </c>
      <c r="P16" s="324">
        <v>0</v>
      </c>
      <c r="Q16" s="324">
        <v>0</v>
      </c>
      <c r="R16" s="324">
        <v>0</v>
      </c>
      <c r="S16" s="324">
        <v>0</v>
      </c>
      <c r="T16" s="324">
        <v>0</v>
      </c>
      <c r="U16" s="324">
        <v>0</v>
      </c>
      <c r="V16" s="324">
        <v>0</v>
      </c>
      <c r="W16" s="324">
        <v>0</v>
      </c>
      <c r="X16" s="324">
        <v>-330</v>
      </c>
    </row>
    <row r="17" spans="1:24" ht="15.75" hidden="1" x14ac:dyDescent="0.25">
      <c r="A17" s="322"/>
      <c r="B17" s="323" t="s">
        <v>89</v>
      </c>
      <c r="C17" s="324">
        <v>0</v>
      </c>
      <c r="D17" s="324">
        <v>0</v>
      </c>
      <c r="E17" s="324">
        <v>0</v>
      </c>
      <c r="F17" s="324">
        <v>0</v>
      </c>
      <c r="G17" s="324">
        <v>0</v>
      </c>
      <c r="H17" s="324">
        <v>0</v>
      </c>
      <c r="I17" s="324">
        <v>0</v>
      </c>
      <c r="J17" s="324">
        <v>0</v>
      </c>
      <c r="K17" s="324">
        <v>0</v>
      </c>
      <c r="L17" s="324">
        <v>0</v>
      </c>
      <c r="M17" s="324">
        <v>0</v>
      </c>
      <c r="N17" s="324">
        <v>0</v>
      </c>
      <c r="O17" s="324">
        <v>0</v>
      </c>
      <c r="P17" s="324">
        <v>-156</v>
      </c>
      <c r="Q17" s="324">
        <v>0</v>
      </c>
      <c r="R17" s="324">
        <v>0</v>
      </c>
      <c r="S17" s="324">
        <v>0</v>
      </c>
      <c r="T17" s="324">
        <v>0</v>
      </c>
      <c r="U17" s="324">
        <v>0</v>
      </c>
      <c r="V17" s="324">
        <v>0</v>
      </c>
      <c r="W17" s="324">
        <v>0</v>
      </c>
      <c r="X17" s="324">
        <v>-156</v>
      </c>
    </row>
    <row r="18" spans="1:24" ht="15.75" hidden="1" x14ac:dyDescent="0.25">
      <c r="A18" s="322"/>
      <c r="B18" s="323" t="s">
        <v>90</v>
      </c>
      <c r="C18" s="324">
        <v>0</v>
      </c>
      <c r="D18" s="324">
        <v>0</v>
      </c>
      <c r="E18" s="324">
        <v>0</v>
      </c>
      <c r="F18" s="324">
        <v>0</v>
      </c>
      <c r="G18" s="324">
        <v>0</v>
      </c>
      <c r="H18" s="324">
        <v>0</v>
      </c>
      <c r="I18" s="324">
        <v>0</v>
      </c>
      <c r="J18" s="324">
        <v>0</v>
      </c>
      <c r="K18" s="324">
        <v>0</v>
      </c>
      <c r="L18" s="324">
        <v>0</v>
      </c>
      <c r="M18" s="324">
        <v>0</v>
      </c>
      <c r="N18" s="324">
        <v>0</v>
      </c>
      <c r="O18" s="324">
        <v>0</v>
      </c>
      <c r="P18" s="324">
        <v>-201</v>
      </c>
      <c r="Q18" s="324">
        <v>0</v>
      </c>
      <c r="R18" s="324">
        <v>0</v>
      </c>
      <c r="S18" s="324">
        <v>0</v>
      </c>
      <c r="T18" s="324">
        <v>0</v>
      </c>
      <c r="U18" s="324">
        <v>0</v>
      </c>
      <c r="V18" s="324">
        <v>0</v>
      </c>
      <c r="W18" s="324">
        <v>0</v>
      </c>
      <c r="X18" s="324">
        <v>-201</v>
      </c>
    </row>
    <row r="19" spans="1:24" ht="15.75" hidden="1" x14ac:dyDescent="0.25">
      <c r="A19" s="322"/>
      <c r="B19" s="323" t="s">
        <v>91</v>
      </c>
      <c r="C19" s="324">
        <v>0</v>
      </c>
      <c r="D19" s="324">
        <v>0</v>
      </c>
      <c r="E19" s="324">
        <v>-280</v>
      </c>
      <c r="F19" s="324">
        <v>0</v>
      </c>
      <c r="G19" s="324">
        <v>0</v>
      </c>
      <c r="H19" s="324">
        <v>0</v>
      </c>
      <c r="I19" s="324">
        <v>0</v>
      </c>
      <c r="J19" s="324">
        <v>0</v>
      </c>
      <c r="K19" s="324">
        <v>0</v>
      </c>
      <c r="L19" s="324">
        <v>0</v>
      </c>
      <c r="M19" s="324">
        <v>0</v>
      </c>
      <c r="N19" s="324">
        <v>0</v>
      </c>
      <c r="O19" s="324">
        <v>0</v>
      </c>
      <c r="P19" s="324">
        <v>0</v>
      </c>
      <c r="Q19" s="324">
        <v>0</v>
      </c>
      <c r="R19" s="324">
        <v>0</v>
      </c>
      <c r="S19" s="324">
        <v>0</v>
      </c>
      <c r="T19" s="324">
        <v>0</v>
      </c>
      <c r="U19" s="324">
        <v>0</v>
      </c>
      <c r="V19" s="324">
        <v>0</v>
      </c>
      <c r="W19" s="324">
        <v>-280</v>
      </c>
      <c r="X19" s="324">
        <v>-280</v>
      </c>
    </row>
    <row r="20" spans="1:24" ht="15.75" hidden="1" x14ac:dyDescent="0.25">
      <c r="A20" s="322"/>
      <c r="B20" s="323" t="s">
        <v>92</v>
      </c>
      <c r="C20" s="325">
        <v>0</v>
      </c>
      <c r="D20" s="325">
        <v>0</v>
      </c>
      <c r="E20" s="325">
        <v>0</v>
      </c>
      <c r="F20" s="325">
        <v>0</v>
      </c>
      <c r="G20" s="325">
        <v>0</v>
      </c>
      <c r="H20" s="325">
        <v>0</v>
      </c>
      <c r="I20" s="325">
        <v>0</v>
      </c>
      <c r="J20" s="325">
        <v>0</v>
      </c>
      <c r="K20" s="325">
        <v>0</v>
      </c>
      <c r="L20" s="325">
        <v>0</v>
      </c>
      <c r="M20" s="325">
        <v>0</v>
      </c>
      <c r="N20" s="325">
        <v>0</v>
      </c>
      <c r="O20" s="325">
        <v>0</v>
      </c>
      <c r="P20" s="325">
        <v>0</v>
      </c>
      <c r="Q20" s="325">
        <v>0</v>
      </c>
      <c r="R20" s="325">
        <v>0</v>
      </c>
      <c r="S20" s="325">
        <v>-357.5</v>
      </c>
      <c r="T20" s="325">
        <v>0</v>
      </c>
      <c r="U20" s="325">
        <v>0</v>
      </c>
      <c r="V20" s="325">
        <v>0</v>
      </c>
      <c r="W20" s="324">
        <v>0</v>
      </c>
      <c r="X20" s="324">
        <v>-357.5</v>
      </c>
    </row>
    <row r="21" spans="1:24" x14ac:dyDescent="0.25">
      <c r="A21" s="317" t="s">
        <v>41</v>
      </c>
      <c r="B21" s="318" t="s">
        <v>43</v>
      </c>
      <c r="C21" s="319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1"/>
      <c r="W21" s="326"/>
      <c r="X21" s="327"/>
    </row>
    <row r="22" spans="1:24" ht="15.75" x14ac:dyDescent="0.25">
      <c r="A22" s="328"/>
      <c r="B22" s="329" t="s">
        <v>119</v>
      </c>
      <c r="C22" s="325">
        <v>0</v>
      </c>
      <c r="D22" s="325">
        <v>0</v>
      </c>
      <c r="E22" s="325">
        <v>0</v>
      </c>
      <c r="F22" s="325">
        <v>0</v>
      </c>
      <c r="G22" s="325">
        <v>0</v>
      </c>
      <c r="H22" s="325">
        <v>0</v>
      </c>
      <c r="I22" s="325">
        <v>0</v>
      </c>
      <c r="J22" s="325">
        <v>0</v>
      </c>
      <c r="K22" s="325">
        <v>0</v>
      </c>
      <c r="L22" s="325">
        <v>0</v>
      </c>
      <c r="M22" s="325">
        <v>0</v>
      </c>
      <c r="N22" s="325">
        <v>0</v>
      </c>
      <c r="O22" s="325">
        <v>0</v>
      </c>
      <c r="P22" s="325">
        <v>120.7</v>
      </c>
      <c r="Q22" s="325">
        <v>0</v>
      </c>
      <c r="R22" s="325">
        <v>0</v>
      </c>
      <c r="S22" s="325">
        <v>0</v>
      </c>
      <c r="T22" s="325">
        <v>0</v>
      </c>
      <c r="U22" s="325">
        <v>0</v>
      </c>
      <c r="V22" s="325">
        <v>0</v>
      </c>
      <c r="W22" s="324">
        <v>0</v>
      </c>
      <c r="X22" s="324">
        <v>120.7</v>
      </c>
    </row>
    <row r="23" spans="1:24" ht="15.75" x14ac:dyDescent="0.25">
      <c r="A23" s="328"/>
      <c r="B23" s="329" t="s">
        <v>120</v>
      </c>
      <c r="C23" s="325">
        <v>0</v>
      </c>
      <c r="D23" s="325">
        <v>0</v>
      </c>
      <c r="E23" s="325">
        <v>0</v>
      </c>
      <c r="F23" s="325">
        <v>0</v>
      </c>
      <c r="G23" s="325">
        <v>0</v>
      </c>
      <c r="H23" s="325">
        <v>0</v>
      </c>
      <c r="I23" s="325">
        <v>0</v>
      </c>
      <c r="J23" s="325">
        <v>0</v>
      </c>
      <c r="K23" s="325">
        <v>0</v>
      </c>
      <c r="L23" s="325">
        <v>0</v>
      </c>
      <c r="M23" s="325">
        <v>0</v>
      </c>
      <c r="N23" s="325">
        <v>0</v>
      </c>
      <c r="O23" s="325">
        <v>0</v>
      </c>
      <c r="P23" s="325">
        <v>0</v>
      </c>
      <c r="Q23" s="325">
        <v>0</v>
      </c>
      <c r="R23" s="325">
        <v>0</v>
      </c>
      <c r="S23" s="325">
        <v>800</v>
      </c>
      <c r="T23" s="325">
        <v>0</v>
      </c>
      <c r="U23" s="325">
        <v>0</v>
      </c>
      <c r="V23" s="325">
        <v>0</v>
      </c>
      <c r="W23" s="324">
        <v>0</v>
      </c>
      <c r="X23" s="324">
        <v>800</v>
      </c>
    </row>
    <row r="24" spans="1:24" ht="15.75" x14ac:dyDescent="0.25">
      <c r="A24" s="328"/>
      <c r="B24" s="329" t="s">
        <v>204</v>
      </c>
      <c r="C24" s="325">
        <v>0</v>
      </c>
      <c r="D24" s="325">
        <v>0</v>
      </c>
      <c r="E24" s="325">
        <v>0</v>
      </c>
      <c r="F24" s="325">
        <v>0</v>
      </c>
      <c r="G24" s="325">
        <v>0</v>
      </c>
      <c r="H24" s="325">
        <v>0</v>
      </c>
      <c r="I24" s="325">
        <v>0</v>
      </c>
      <c r="J24" s="325">
        <v>0</v>
      </c>
      <c r="K24" s="325">
        <v>0</v>
      </c>
      <c r="L24" s="325">
        <v>0</v>
      </c>
      <c r="M24" s="325">
        <v>0</v>
      </c>
      <c r="N24" s="325">
        <v>0</v>
      </c>
      <c r="O24" s="325">
        <v>0</v>
      </c>
      <c r="P24" s="325">
        <v>0</v>
      </c>
      <c r="Q24" s="325">
        <v>0</v>
      </c>
      <c r="R24" s="325">
        <v>0</v>
      </c>
      <c r="S24" s="325">
        <v>0</v>
      </c>
      <c r="T24" s="325">
        <v>0</v>
      </c>
      <c r="U24" s="325">
        <v>0</v>
      </c>
      <c r="V24" s="325">
        <v>149.11000000000001</v>
      </c>
      <c r="W24" s="324">
        <v>0</v>
      </c>
      <c r="X24" s="324">
        <v>149.11000000000001</v>
      </c>
    </row>
    <row r="25" spans="1:24" ht="15.75" x14ac:dyDescent="0.25">
      <c r="A25" s="328"/>
      <c r="B25" s="329" t="s">
        <v>205</v>
      </c>
      <c r="C25" s="325">
        <v>0</v>
      </c>
      <c r="D25" s="325">
        <v>0</v>
      </c>
      <c r="E25" s="325">
        <v>0</v>
      </c>
      <c r="F25" s="325">
        <v>0</v>
      </c>
      <c r="G25" s="325">
        <v>399.5</v>
      </c>
      <c r="H25" s="325">
        <v>0</v>
      </c>
      <c r="I25" s="325">
        <v>0</v>
      </c>
      <c r="J25" s="325">
        <v>0</v>
      </c>
      <c r="K25" s="325">
        <v>0</v>
      </c>
      <c r="L25" s="325">
        <v>0</v>
      </c>
      <c r="M25" s="325">
        <v>0</v>
      </c>
      <c r="N25" s="325">
        <v>0</v>
      </c>
      <c r="O25" s="325">
        <v>0</v>
      </c>
      <c r="P25" s="325">
        <v>0</v>
      </c>
      <c r="Q25" s="325">
        <v>0</v>
      </c>
      <c r="R25" s="325">
        <v>0</v>
      </c>
      <c r="S25" s="325">
        <v>0</v>
      </c>
      <c r="T25" s="325">
        <v>0</v>
      </c>
      <c r="U25" s="325">
        <v>0</v>
      </c>
      <c r="V25" s="325">
        <v>0</v>
      </c>
      <c r="W25" s="324">
        <v>399.5</v>
      </c>
      <c r="X25" s="324">
        <v>399.5</v>
      </c>
    </row>
    <row r="26" spans="1:24" ht="15.75" x14ac:dyDescent="0.25">
      <c r="A26" s="328"/>
      <c r="B26" s="329" t="s">
        <v>206</v>
      </c>
      <c r="C26" s="325">
        <v>0</v>
      </c>
      <c r="D26" s="325">
        <v>0</v>
      </c>
      <c r="E26" s="325">
        <v>0</v>
      </c>
      <c r="F26" s="325">
        <v>249.8</v>
      </c>
      <c r="G26" s="325">
        <v>0</v>
      </c>
      <c r="H26" s="325">
        <v>0</v>
      </c>
      <c r="I26" s="325">
        <v>0</v>
      </c>
      <c r="J26" s="325">
        <v>0</v>
      </c>
      <c r="K26" s="325">
        <v>0</v>
      </c>
      <c r="L26" s="325">
        <v>0</v>
      </c>
      <c r="M26" s="325">
        <v>0</v>
      </c>
      <c r="N26" s="325">
        <v>0</v>
      </c>
      <c r="O26" s="325">
        <v>0</v>
      </c>
      <c r="P26" s="325">
        <v>0</v>
      </c>
      <c r="Q26" s="325">
        <v>0</v>
      </c>
      <c r="R26" s="325">
        <v>0</v>
      </c>
      <c r="S26" s="325">
        <v>0</v>
      </c>
      <c r="T26" s="325">
        <v>0</v>
      </c>
      <c r="U26" s="325">
        <v>0</v>
      </c>
      <c r="V26" s="325">
        <v>0</v>
      </c>
      <c r="W26" s="324">
        <v>249.8</v>
      </c>
      <c r="X26" s="324">
        <v>249.8</v>
      </c>
    </row>
    <row r="27" spans="1:24" ht="15.75" x14ac:dyDescent="0.25">
      <c r="A27" s="328"/>
      <c r="B27" s="329" t="s">
        <v>207</v>
      </c>
      <c r="C27" s="325">
        <v>0</v>
      </c>
      <c r="D27" s="325">
        <v>0</v>
      </c>
      <c r="E27" s="325">
        <v>0</v>
      </c>
      <c r="F27" s="325">
        <v>500</v>
      </c>
      <c r="G27" s="325">
        <v>0</v>
      </c>
      <c r="H27" s="325">
        <v>0</v>
      </c>
      <c r="I27" s="325">
        <v>0</v>
      </c>
      <c r="J27" s="325">
        <v>0</v>
      </c>
      <c r="K27" s="325">
        <v>0</v>
      </c>
      <c r="L27" s="325">
        <v>0</v>
      </c>
      <c r="M27" s="325">
        <v>0</v>
      </c>
      <c r="N27" s="325">
        <v>0</v>
      </c>
      <c r="O27" s="325">
        <v>0</v>
      </c>
      <c r="P27" s="325">
        <v>0</v>
      </c>
      <c r="Q27" s="325">
        <v>0</v>
      </c>
      <c r="R27" s="325">
        <v>0</v>
      </c>
      <c r="S27" s="325">
        <v>0</v>
      </c>
      <c r="T27" s="325">
        <v>0</v>
      </c>
      <c r="U27" s="325">
        <v>0</v>
      </c>
      <c r="V27" s="325">
        <v>0</v>
      </c>
      <c r="W27" s="324">
        <v>500</v>
      </c>
      <c r="X27" s="324">
        <v>500</v>
      </c>
    </row>
    <row r="28" spans="1:24" ht="16.5" thickBot="1" x14ac:dyDescent="0.3">
      <c r="A28" s="328"/>
      <c r="B28" s="329" t="s">
        <v>208</v>
      </c>
      <c r="C28" s="325">
        <v>0</v>
      </c>
      <c r="D28" s="325">
        <v>0</v>
      </c>
      <c r="E28" s="325">
        <v>0</v>
      </c>
      <c r="F28" s="325">
        <v>161.30000000000001</v>
      </c>
      <c r="G28" s="325">
        <v>0</v>
      </c>
      <c r="H28" s="325">
        <v>0</v>
      </c>
      <c r="I28" s="325">
        <v>0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325">
        <v>0</v>
      </c>
      <c r="S28" s="325">
        <v>0</v>
      </c>
      <c r="T28" s="325">
        <v>0</v>
      </c>
      <c r="U28" s="325">
        <v>0</v>
      </c>
      <c r="V28" s="325">
        <v>0</v>
      </c>
      <c r="W28" s="324">
        <v>161.30000000000001</v>
      </c>
      <c r="X28" s="324">
        <v>161.30000000000001</v>
      </c>
    </row>
    <row r="29" spans="1:24" ht="16.5" thickBot="1" x14ac:dyDescent="0.3">
      <c r="A29" s="328"/>
      <c r="B29" s="330" t="s">
        <v>121</v>
      </c>
      <c r="C29" s="331">
        <v>0</v>
      </c>
      <c r="D29" s="331">
        <v>0</v>
      </c>
      <c r="E29" s="331">
        <v>0</v>
      </c>
      <c r="F29" s="331">
        <v>911.09999999999991</v>
      </c>
      <c r="G29" s="331">
        <v>399.5</v>
      </c>
      <c r="H29" s="331">
        <v>0</v>
      </c>
      <c r="I29" s="331">
        <v>0</v>
      </c>
      <c r="J29" s="331">
        <v>0</v>
      </c>
      <c r="K29" s="331">
        <v>0</v>
      </c>
      <c r="L29" s="331">
        <v>0</v>
      </c>
      <c r="M29" s="331">
        <v>0</v>
      </c>
      <c r="N29" s="331">
        <v>0</v>
      </c>
      <c r="O29" s="331">
        <v>0</v>
      </c>
      <c r="P29" s="331">
        <v>120.7</v>
      </c>
      <c r="Q29" s="331">
        <v>0</v>
      </c>
      <c r="R29" s="331">
        <v>0</v>
      </c>
      <c r="S29" s="331">
        <v>800</v>
      </c>
      <c r="T29" s="331">
        <v>0</v>
      </c>
      <c r="U29" s="331">
        <v>0</v>
      </c>
      <c r="V29" s="331">
        <v>149.11000000000001</v>
      </c>
      <c r="W29" s="331">
        <v>1310.5999999999999</v>
      </c>
      <c r="X29" s="331">
        <v>2380.4100000000003</v>
      </c>
    </row>
    <row r="30" spans="1:24" ht="16.5" thickBot="1" x14ac:dyDescent="0.3">
      <c r="A30" s="328"/>
      <c r="B30" s="332" t="s">
        <v>122</v>
      </c>
      <c r="C30" s="333">
        <v>0</v>
      </c>
      <c r="D30" s="333">
        <v>0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799.10199999999998</v>
      </c>
      <c r="T30" s="333">
        <v>0</v>
      </c>
      <c r="U30" s="333">
        <v>5.8979999999999997</v>
      </c>
      <c r="V30" s="333">
        <v>0</v>
      </c>
      <c r="W30" s="325">
        <v>0</v>
      </c>
      <c r="X30" s="325">
        <v>805</v>
      </c>
    </row>
    <row r="31" spans="1:24" ht="16.5" thickBot="1" x14ac:dyDescent="0.3">
      <c r="A31" s="328"/>
      <c r="B31" s="330" t="s">
        <v>209</v>
      </c>
      <c r="C31" s="331">
        <v>0</v>
      </c>
      <c r="D31" s="331">
        <v>0</v>
      </c>
      <c r="E31" s="331">
        <v>0</v>
      </c>
      <c r="F31" s="331">
        <v>0</v>
      </c>
      <c r="G31" s="331">
        <v>0</v>
      </c>
      <c r="H31" s="331">
        <v>0</v>
      </c>
      <c r="I31" s="331">
        <v>0</v>
      </c>
      <c r="J31" s="331">
        <v>0</v>
      </c>
      <c r="K31" s="331">
        <v>0</v>
      </c>
      <c r="L31" s="331">
        <v>0</v>
      </c>
      <c r="M31" s="331">
        <v>0</v>
      </c>
      <c r="N31" s="331">
        <v>0</v>
      </c>
      <c r="O31" s="331">
        <v>0</v>
      </c>
      <c r="P31" s="331">
        <v>0</v>
      </c>
      <c r="Q31" s="331">
        <v>0</v>
      </c>
      <c r="R31" s="331">
        <v>0</v>
      </c>
      <c r="S31" s="331">
        <v>799.10199999999998</v>
      </c>
      <c r="T31" s="331">
        <v>0</v>
      </c>
      <c r="U31" s="331">
        <v>5.8979999999999997</v>
      </c>
      <c r="V31" s="331">
        <v>0</v>
      </c>
      <c r="W31" s="331">
        <v>0</v>
      </c>
      <c r="X31" s="331">
        <v>805</v>
      </c>
    </row>
    <row r="32" spans="1:24" ht="15.75" x14ac:dyDescent="0.25">
      <c r="A32" s="328"/>
      <c r="B32" s="332" t="s">
        <v>123</v>
      </c>
      <c r="C32" s="334">
        <v>0</v>
      </c>
      <c r="D32" s="334">
        <v>0</v>
      </c>
      <c r="E32" s="334">
        <v>0</v>
      </c>
      <c r="F32" s="334">
        <v>0</v>
      </c>
      <c r="G32" s="334">
        <v>0</v>
      </c>
      <c r="H32" s="334">
        <v>0</v>
      </c>
      <c r="I32" s="334">
        <v>0</v>
      </c>
      <c r="J32" s="334">
        <v>0</v>
      </c>
      <c r="K32" s="334">
        <v>0</v>
      </c>
      <c r="L32" s="334">
        <v>0</v>
      </c>
      <c r="M32" s="334">
        <v>0</v>
      </c>
      <c r="N32" s="334">
        <v>0</v>
      </c>
      <c r="O32" s="334">
        <v>0</v>
      </c>
      <c r="P32" s="334">
        <v>0</v>
      </c>
      <c r="Q32" s="334">
        <v>0</v>
      </c>
      <c r="R32" s="334">
        <v>0</v>
      </c>
      <c r="S32" s="334">
        <v>0</v>
      </c>
      <c r="T32" s="334">
        <v>0</v>
      </c>
      <c r="U32" s="334">
        <v>3.35</v>
      </c>
      <c r="V32" s="334">
        <v>1.34</v>
      </c>
      <c r="W32" s="335">
        <v>0</v>
      </c>
      <c r="X32" s="335">
        <v>4.6900000000000004</v>
      </c>
    </row>
    <row r="33" spans="1:24" ht="15.75" x14ac:dyDescent="0.25">
      <c r="A33" s="328"/>
      <c r="B33" s="332" t="s">
        <v>103</v>
      </c>
      <c r="C33" s="334">
        <v>0</v>
      </c>
      <c r="D33" s="334">
        <v>0</v>
      </c>
      <c r="E33" s="334">
        <v>0</v>
      </c>
      <c r="F33" s="334">
        <v>0</v>
      </c>
      <c r="G33" s="334">
        <v>0</v>
      </c>
      <c r="H33" s="334">
        <v>0</v>
      </c>
      <c r="I33" s="334">
        <v>0</v>
      </c>
      <c r="J33" s="334">
        <v>0</v>
      </c>
      <c r="K33" s="334">
        <v>0</v>
      </c>
      <c r="L33" s="334">
        <v>0</v>
      </c>
      <c r="M33" s="334">
        <v>0</v>
      </c>
      <c r="N33" s="334">
        <v>0</v>
      </c>
      <c r="O33" s="334">
        <v>0</v>
      </c>
      <c r="P33" s="334">
        <v>0</v>
      </c>
      <c r="Q33" s="334">
        <v>0</v>
      </c>
      <c r="R33" s="334">
        <v>0</v>
      </c>
      <c r="S33" s="334">
        <v>0</v>
      </c>
      <c r="T33" s="334">
        <v>0</v>
      </c>
      <c r="U33" s="334">
        <v>1.93</v>
      </c>
      <c r="V33" s="334">
        <v>0</v>
      </c>
      <c r="W33" s="335">
        <v>0</v>
      </c>
      <c r="X33" s="335">
        <v>1.93</v>
      </c>
    </row>
    <row r="34" spans="1:24" ht="15.75" x14ac:dyDescent="0.25">
      <c r="A34" s="328"/>
      <c r="B34" s="332" t="s">
        <v>104</v>
      </c>
      <c r="C34" s="334">
        <v>0</v>
      </c>
      <c r="D34" s="334">
        <v>0</v>
      </c>
      <c r="E34" s="334">
        <v>0</v>
      </c>
      <c r="F34" s="334">
        <v>0</v>
      </c>
      <c r="G34" s="334">
        <v>0</v>
      </c>
      <c r="H34" s="334">
        <v>0</v>
      </c>
      <c r="I34" s="334">
        <v>0</v>
      </c>
      <c r="J34" s="334">
        <v>0</v>
      </c>
      <c r="K34" s="334">
        <v>0</v>
      </c>
      <c r="L34" s="334">
        <v>0</v>
      </c>
      <c r="M34" s="334">
        <v>0</v>
      </c>
      <c r="N34" s="334">
        <v>0</v>
      </c>
      <c r="O34" s="334">
        <v>0</v>
      </c>
      <c r="P34" s="334">
        <v>0</v>
      </c>
      <c r="Q34" s="334">
        <v>0</v>
      </c>
      <c r="R34" s="334">
        <v>0</v>
      </c>
      <c r="S34" s="334">
        <v>18.23</v>
      </c>
      <c r="T34" s="334">
        <v>0</v>
      </c>
      <c r="U34" s="334">
        <v>3.05</v>
      </c>
      <c r="V34" s="334">
        <v>0</v>
      </c>
      <c r="W34" s="335">
        <v>0</v>
      </c>
      <c r="X34" s="335">
        <v>21.28</v>
      </c>
    </row>
    <row r="35" spans="1:24" ht="15.75" x14ac:dyDescent="0.25">
      <c r="A35" s="328"/>
      <c r="B35" s="332" t="s">
        <v>124</v>
      </c>
      <c r="C35" s="335">
        <v>0</v>
      </c>
      <c r="D35" s="335">
        <v>0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335">
        <v>68.37</v>
      </c>
      <c r="P35" s="335">
        <v>0</v>
      </c>
      <c r="Q35" s="335">
        <v>0</v>
      </c>
      <c r="R35" s="335">
        <v>0</v>
      </c>
      <c r="S35" s="335">
        <v>0</v>
      </c>
      <c r="T35" s="335">
        <v>0</v>
      </c>
      <c r="U35" s="335">
        <v>0</v>
      </c>
      <c r="V35" s="335">
        <v>0</v>
      </c>
      <c r="W35" s="335">
        <v>0</v>
      </c>
      <c r="X35" s="335">
        <v>68.37</v>
      </c>
    </row>
    <row r="36" spans="1:24" ht="15.75" x14ac:dyDescent="0.25">
      <c r="A36" s="328"/>
      <c r="B36" s="332" t="s">
        <v>105</v>
      </c>
      <c r="C36" s="334">
        <v>0</v>
      </c>
      <c r="D36" s="334">
        <v>0</v>
      </c>
      <c r="E36" s="334">
        <v>0</v>
      </c>
      <c r="F36" s="334">
        <v>0</v>
      </c>
      <c r="G36" s="334">
        <v>0</v>
      </c>
      <c r="H36" s="334">
        <v>0</v>
      </c>
      <c r="I36" s="334">
        <v>0</v>
      </c>
      <c r="J36" s="334">
        <v>0</v>
      </c>
      <c r="K36" s="334">
        <v>0</v>
      </c>
      <c r="L36" s="334">
        <v>0</v>
      </c>
      <c r="M36" s="334">
        <v>0</v>
      </c>
      <c r="N36" s="334">
        <v>0</v>
      </c>
      <c r="O36" s="334">
        <v>0</v>
      </c>
      <c r="P36" s="334">
        <v>0</v>
      </c>
      <c r="Q36" s="334">
        <v>0</v>
      </c>
      <c r="R36" s="334">
        <v>0</v>
      </c>
      <c r="S36" s="334">
        <v>0</v>
      </c>
      <c r="T36" s="334">
        <v>43.17</v>
      </c>
      <c r="U36" s="334">
        <v>40.54</v>
      </c>
      <c r="V36" s="334">
        <v>2.2200000000000002</v>
      </c>
      <c r="W36" s="335">
        <v>0</v>
      </c>
      <c r="X36" s="335">
        <v>85.93</v>
      </c>
    </row>
    <row r="37" spans="1:24" ht="15.75" x14ac:dyDescent="0.25">
      <c r="A37" s="328"/>
      <c r="B37" s="332" t="s">
        <v>106</v>
      </c>
      <c r="C37" s="334">
        <v>0</v>
      </c>
      <c r="D37" s="334">
        <v>0</v>
      </c>
      <c r="E37" s="334">
        <v>0</v>
      </c>
      <c r="F37" s="334">
        <v>0</v>
      </c>
      <c r="G37" s="334">
        <v>0</v>
      </c>
      <c r="H37" s="334">
        <v>0</v>
      </c>
      <c r="I37" s="334">
        <v>0</v>
      </c>
      <c r="J37" s="334">
        <v>0</v>
      </c>
      <c r="K37" s="334">
        <v>0</v>
      </c>
      <c r="L37" s="334">
        <v>0</v>
      </c>
      <c r="M37" s="334">
        <v>0</v>
      </c>
      <c r="N37" s="334">
        <v>0</v>
      </c>
      <c r="O37" s="334">
        <v>0</v>
      </c>
      <c r="P37" s="334">
        <v>0</v>
      </c>
      <c r="Q37" s="334">
        <v>0</v>
      </c>
      <c r="R37" s="334">
        <v>0</v>
      </c>
      <c r="S37" s="334">
        <v>3.05</v>
      </c>
      <c r="T37" s="334">
        <v>0</v>
      </c>
      <c r="U37" s="334">
        <v>0</v>
      </c>
      <c r="V37" s="334">
        <v>3.25</v>
      </c>
      <c r="W37" s="335">
        <v>0</v>
      </c>
      <c r="X37" s="335">
        <v>6.3</v>
      </c>
    </row>
    <row r="38" spans="1:24" ht="15.75" x14ac:dyDescent="0.25">
      <c r="A38" s="328"/>
      <c r="B38" s="332" t="s">
        <v>125</v>
      </c>
      <c r="C38" s="334">
        <v>0</v>
      </c>
      <c r="D38" s="334">
        <v>0</v>
      </c>
      <c r="E38" s="334">
        <v>0</v>
      </c>
      <c r="F38" s="334">
        <v>0</v>
      </c>
      <c r="G38" s="334">
        <v>0</v>
      </c>
      <c r="H38" s="334">
        <v>0</v>
      </c>
      <c r="I38" s="334">
        <v>0</v>
      </c>
      <c r="J38" s="334">
        <v>0</v>
      </c>
      <c r="K38" s="334">
        <v>0</v>
      </c>
      <c r="L38" s="334">
        <v>0</v>
      </c>
      <c r="M38" s="334">
        <v>0</v>
      </c>
      <c r="N38" s="334">
        <v>0</v>
      </c>
      <c r="O38" s="334">
        <v>0</v>
      </c>
      <c r="P38" s="334">
        <v>0</v>
      </c>
      <c r="Q38" s="334">
        <v>0</v>
      </c>
      <c r="R38" s="334">
        <v>0</v>
      </c>
      <c r="S38" s="334">
        <v>0</v>
      </c>
      <c r="T38" s="334">
        <v>4.78</v>
      </c>
      <c r="U38" s="334">
        <v>0</v>
      </c>
      <c r="V38" s="334">
        <v>2.87</v>
      </c>
      <c r="W38" s="335">
        <v>0</v>
      </c>
      <c r="X38" s="335">
        <v>7.65</v>
      </c>
    </row>
    <row r="39" spans="1:24" ht="15.75" x14ac:dyDescent="0.25">
      <c r="A39" s="328"/>
      <c r="B39" s="332" t="s">
        <v>107</v>
      </c>
      <c r="C39" s="334">
        <v>0</v>
      </c>
      <c r="D39" s="334">
        <v>0</v>
      </c>
      <c r="E39" s="334">
        <v>0</v>
      </c>
      <c r="F39" s="334">
        <v>0</v>
      </c>
      <c r="G39" s="334">
        <v>0</v>
      </c>
      <c r="H39" s="334">
        <v>0</v>
      </c>
      <c r="I39" s="334">
        <v>0</v>
      </c>
      <c r="J39" s="334">
        <v>0</v>
      </c>
      <c r="K39" s="334">
        <v>0</v>
      </c>
      <c r="L39" s="334">
        <v>0</v>
      </c>
      <c r="M39" s="334">
        <v>0</v>
      </c>
      <c r="N39" s="334">
        <v>0</v>
      </c>
      <c r="O39" s="334">
        <v>0</v>
      </c>
      <c r="P39" s="334">
        <v>0</v>
      </c>
      <c r="Q39" s="334">
        <v>0</v>
      </c>
      <c r="R39" s="334">
        <v>0</v>
      </c>
      <c r="S39" s="334">
        <v>3.11</v>
      </c>
      <c r="T39" s="334">
        <v>0</v>
      </c>
      <c r="U39" s="334">
        <v>40.71</v>
      </c>
      <c r="V39" s="334">
        <v>1.95</v>
      </c>
      <c r="W39" s="335">
        <v>0</v>
      </c>
      <c r="X39" s="335">
        <v>45.77</v>
      </c>
    </row>
    <row r="40" spans="1:24" ht="16.5" thickBot="1" x14ac:dyDescent="0.3">
      <c r="A40" s="328"/>
      <c r="B40" s="332" t="s">
        <v>108</v>
      </c>
      <c r="C40" s="334">
        <v>0</v>
      </c>
      <c r="D40" s="334">
        <v>0</v>
      </c>
      <c r="E40" s="334">
        <v>0</v>
      </c>
      <c r="F40" s="334">
        <v>0</v>
      </c>
      <c r="G40" s="334">
        <v>0</v>
      </c>
      <c r="H40" s="334">
        <v>0</v>
      </c>
      <c r="I40" s="334">
        <v>0</v>
      </c>
      <c r="J40" s="334">
        <v>0</v>
      </c>
      <c r="K40" s="334">
        <v>0</v>
      </c>
      <c r="L40" s="334">
        <v>0</v>
      </c>
      <c r="M40" s="334">
        <v>0</v>
      </c>
      <c r="N40" s="334">
        <v>0</v>
      </c>
      <c r="O40" s="334">
        <v>0</v>
      </c>
      <c r="P40" s="334">
        <v>0</v>
      </c>
      <c r="Q40" s="334">
        <v>0</v>
      </c>
      <c r="R40" s="334">
        <v>0</v>
      </c>
      <c r="S40" s="334">
        <v>1.88</v>
      </c>
      <c r="T40" s="334">
        <v>0</v>
      </c>
      <c r="U40" s="334">
        <v>0</v>
      </c>
      <c r="V40" s="334">
        <v>0</v>
      </c>
      <c r="W40" s="335">
        <v>0</v>
      </c>
      <c r="X40" s="335">
        <v>1.88</v>
      </c>
    </row>
    <row r="41" spans="1:24" ht="16.5" thickBot="1" x14ac:dyDescent="0.3">
      <c r="A41" s="328"/>
      <c r="B41" s="330" t="s">
        <v>44</v>
      </c>
      <c r="C41" s="336">
        <v>0</v>
      </c>
      <c r="D41" s="336">
        <v>0</v>
      </c>
      <c r="E41" s="336">
        <v>0</v>
      </c>
      <c r="F41" s="336">
        <v>0</v>
      </c>
      <c r="G41" s="336">
        <v>0</v>
      </c>
      <c r="H41" s="336">
        <v>0</v>
      </c>
      <c r="I41" s="336">
        <v>0</v>
      </c>
      <c r="J41" s="336">
        <v>0</v>
      </c>
      <c r="K41" s="336">
        <v>0</v>
      </c>
      <c r="L41" s="336">
        <v>0</v>
      </c>
      <c r="M41" s="336">
        <v>0</v>
      </c>
      <c r="N41" s="336">
        <v>0</v>
      </c>
      <c r="O41" s="336">
        <v>68.37</v>
      </c>
      <c r="P41" s="336">
        <v>0</v>
      </c>
      <c r="Q41" s="336">
        <v>0</v>
      </c>
      <c r="R41" s="336">
        <v>0</v>
      </c>
      <c r="S41" s="336">
        <v>26.27</v>
      </c>
      <c r="T41" s="336">
        <v>47.95</v>
      </c>
      <c r="U41" s="336">
        <v>89.58</v>
      </c>
      <c r="V41" s="336">
        <v>11.629999999999999</v>
      </c>
      <c r="W41" s="336">
        <v>0</v>
      </c>
      <c r="X41" s="336">
        <v>243.8</v>
      </c>
    </row>
    <row r="42" spans="1:24" ht="15.75" x14ac:dyDescent="0.25">
      <c r="A42" s="328"/>
      <c r="B42" s="337" t="s">
        <v>93</v>
      </c>
      <c r="C42" s="325">
        <v>3</v>
      </c>
      <c r="D42" s="325">
        <v>6</v>
      </c>
      <c r="E42" s="325">
        <v>6</v>
      </c>
      <c r="F42" s="325">
        <v>5</v>
      </c>
      <c r="G42" s="325">
        <v>3.7200000000000006</v>
      </c>
      <c r="H42" s="325">
        <v>4.18</v>
      </c>
      <c r="I42" s="325">
        <v>4.82</v>
      </c>
      <c r="J42" s="325">
        <v>5.1300000000000008</v>
      </c>
      <c r="K42" s="325">
        <v>4.9399999999999995</v>
      </c>
      <c r="L42" s="325">
        <v>4.7</v>
      </c>
      <c r="M42" s="325">
        <v>4.3900000000000006</v>
      </c>
      <c r="N42" s="325">
        <v>4.0999999999999996</v>
      </c>
      <c r="O42" s="325">
        <v>4.0600000000000005</v>
      </c>
      <c r="P42" s="325">
        <v>3.87</v>
      </c>
      <c r="Q42" s="325">
        <v>4.3499999999999996</v>
      </c>
      <c r="R42" s="325">
        <v>3.66</v>
      </c>
      <c r="S42" s="325">
        <v>3.21</v>
      </c>
      <c r="T42" s="325">
        <v>2.6100000000000003</v>
      </c>
      <c r="U42" s="325">
        <v>2.3800000000000003</v>
      </c>
      <c r="V42" s="325">
        <v>2.41</v>
      </c>
      <c r="W42" s="325">
        <v>47.49</v>
      </c>
      <c r="X42" s="325">
        <v>82.529999999999987</v>
      </c>
    </row>
    <row r="43" spans="1:24" ht="15.75" x14ac:dyDescent="0.25">
      <c r="A43" s="328"/>
      <c r="B43" s="337" t="s">
        <v>94</v>
      </c>
      <c r="C43" s="325">
        <v>78</v>
      </c>
      <c r="D43" s="325">
        <v>51</v>
      </c>
      <c r="E43" s="325">
        <v>58</v>
      </c>
      <c r="F43" s="325">
        <v>56</v>
      </c>
      <c r="G43" s="325">
        <v>54.2</v>
      </c>
      <c r="H43" s="325">
        <v>50.2</v>
      </c>
      <c r="I43" s="325">
        <v>47.900000000000006</v>
      </c>
      <c r="J43" s="325">
        <v>47.1</v>
      </c>
      <c r="K43" s="325">
        <v>54.300000000000004</v>
      </c>
      <c r="L43" s="325">
        <v>51.900000000000006</v>
      </c>
      <c r="M43" s="325">
        <v>48.800000000000004</v>
      </c>
      <c r="N43" s="325">
        <v>51.9</v>
      </c>
      <c r="O43" s="325">
        <v>47.800000000000004</v>
      </c>
      <c r="P43" s="325">
        <v>53.1</v>
      </c>
      <c r="Q43" s="325">
        <v>52.4</v>
      </c>
      <c r="R43" s="325">
        <v>43.300000000000011</v>
      </c>
      <c r="S43" s="325">
        <v>42.1</v>
      </c>
      <c r="T43" s="325">
        <v>35.4</v>
      </c>
      <c r="U43" s="325">
        <v>32.6</v>
      </c>
      <c r="V43" s="325">
        <v>33.300000000000004</v>
      </c>
      <c r="W43" s="325">
        <v>548.6</v>
      </c>
      <c r="X43" s="325">
        <v>989.29999999999984</v>
      </c>
    </row>
    <row r="44" spans="1:24" ht="16.5" thickBot="1" x14ac:dyDescent="0.3">
      <c r="A44" s="328"/>
      <c r="B44" s="337" t="s">
        <v>95</v>
      </c>
      <c r="C44" s="325">
        <v>7</v>
      </c>
      <c r="D44" s="325">
        <v>10</v>
      </c>
      <c r="E44" s="325">
        <v>10</v>
      </c>
      <c r="F44" s="325">
        <v>10</v>
      </c>
      <c r="G44" s="325">
        <v>9.1999999999999993</v>
      </c>
      <c r="H44" s="325">
        <v>11.43</v>
      </c>
      <c r="I44" s="325">
        <v>11.8</v>
      </c>
      <c r="J44" s="325">
        <v>11.98</v>
      </c>
      <c r="K44" s="325">
        <v>11.920000000000002</v>
      </c>
      <c r="L44" s="325">
        <v>13.01</v>
      </c>
      <c r="M44" s="325">
        <v>11.72</v>
      </c>
      <c r="N44" s="325">
        <v>10.67</v>
      </c>
      <c r="O44" s="325">
        <v>10.129999999999999</v>
      </c>
      <c r="P44" s="325">
        <v>9.1</v>
      </c>
      <c r="Q44" s="325">
        <v>8.5500000000000007</v>
      </c>
      <c r="R44" s="325">
        <v>7.02</v>
      </c>
      <c r="S44" s="325">
        <v>6.05</v>
      </c>
      <c r="T44" s="325">
        <v>6.5</v>
      </c>
      <c r="U44" s="325">
        <v>6.64</v>
      </c>
      <c r="V44" s="325">
        <v>6.68</v>
      </c>
      <c r="W44" s="338">
        <v>106.34000000000002</v>
      </c>
      <c r="X44" s="338">
        <v>189.40000000000003</v>
      </c>
    </row>
    <row r="45" spans="1:24" ht="16.5" thickBot="1" x14ac:dyDescent="0.3">
      <c r="A45" s="328"/>
      <c r="B45" s="330" t="s">
        <v>45</v>
      </c>
      <c r="C45" s="331">
        <v>88</v>
      </c>
      <c r="D45" s="331">
        <v>67</v>
      </c>
      <c r="E45" s="331">
        <v>74</v>
      </c>
      <c r="F45" s="331">
        <v>71</v>
      </c>
      <c r="G45" s="331">
        <v>67.12</v>
      </c>
      <c r="H45" s="331">
        <v>65.81</v>
      </c>
      <c r="I45" s="331">
        <v>64.52000000000001</v>
      </c>
      <c r="J45" s="331">
        <v>64.210000000000008</v>
      </c>
      <c r="K45" s="331">
        <v>71.16</v>
      </c>
      <c r="L45" s="331">
        <v>69.610000000000014</v>
      </c>
      <c r="M45" s="331">
        <v>64.910000000000011</v>
      </c>
      <c r="N45" s="331">
        <v>66.67</v>
      </c>
      <c r="O45" s="331">
        <v>61.990000000000009</v>
      </c>
      <c r="P45" s="331">
        <v>66.069999999999993</v>
      </c>
      <c r="Q45" s="331">
        <v>65.3</v>
      </c>
      <c r="R45" s="331">
        <v>53.980000000000004</v>
      </c>
      <c r="S45" s="331">
        <v>51.36</v>
      </c>
      <c r="T45" s="331">
        <v>44.51</v>
      </c>
      <c r="U45" s="331">
        <v>41.620000000000005</v>
      </c>
      <c r="V45" s="331">
        <v>42.390000000000008</v>
      </c>
      <c r="W45" s="331">
        <v>702.43000000000006</v>
      </c>
      <c r="X45" s="331">
        <v>1261.2299999999998</v>
      </c>
    </row>
    <row r="46" spans="1:24" ht="15.75" x14ac:dyDescent="0.25">
      <c r="A46" s="328"/>
      <c r="B46" s="339" t="s">
        <v>210</v>
      </c>
      <c r="C46" s="334">
        <v>0</v>
      </c>
      <c r="D46" s="334">
        <v>0</v>
      </c>
      <c r="E46" s="334">
        <v>1</v>
      </c>
      <c r="F46" s="334">
        <v>0</v>
      </c>
      <c r="G46" s="334">
        <v>0</v>
      </c>
      <c r="H46" s="334">
        <v>0</v>
      </c>
      <c r="I46" s="334">
        <v>0</v>
      </c>
      <c r="J46" s="334">
        <v>0</v>
      </c>
      <c r="K46" s="334">
        <v>0</v>
      </c>
      <c r="L46" s="334">
        <v>0</v>
      </c>
      <c r="M46" s="334">
        <v>0</v>
      </c>
      <c r="N46" s="334">
        <v>0</v>
      </c>
      <c r="O46" s="334">
        <v>0</v>
      </c>
      <c r="P46" s="334">
        <v>0</v>
      </c>
      <c r="Q46" s="334">
        <v>0</v>
      </c>
      <c r="R46" s="334">
        <v>0</v>
      </c>
      <c r="S46" s="334">
        <v>0</v>
      </c>
      <c r="T46" s="334">
        <v>0</v>
      </c>
      <c r="U46" s="334">
        <v>0</v>
      </c>
      <c r="V46" s="325">
        <v>0</v>
      </c>
      <c r="W46" s="324">
        <v>1</v>
      </c>
      <c r="X46" s="324">
        <v>1</v>
      </c>
    </row>
    <row r="47" spans="1:24" ht="15.75" x14ac:dyDescent="0.25">
      <c r="A47" s="328"/>
      <c r="B47" s="339" t="s">
        <v>126</v>
      </c>
      <c r="C47" s="325">
        <v>0</v>
      </c>
      <c r="D47" s="325">
        <v>0</v>
      </c>
      <c r="E47" s="325">
        <v>0</v>
      </c>
      <c r="F47" s="325">
        <v>0</v>
      </c>
      <c r="G47" s="325">
        <v>0</v>
      </c>
      <c r="H47" s="325">
        <v>0</v>
      </c>
      <c r="I47" s="325">
        <v>0</v>
      </c>
      <c r="J47" s="325">
        <v>0</v>
      </c>
      <c r="K47" s="325">
        <v>0</v>
      </c>
      <c r="L47" s="325">
        <v>0</v>
      </c>
      <c r="M47" s="325">
        <v>0</v>
      </c>
      <c r="N47" s="325">
        <v>142.31</v>
      </c>
      <c r="O47" s="325">
        <v>300</v>
      </c>
      <c r="P47" s="325">
        <v>300</v>
      </c>
      <c r="Q47" s="325">
        <v>300</v>
      </c>
      <c r="R47" s="325">
        <v>300</v>
      </c>
      <c r="S47" s="325">
        <v>300</v>
      </c>
      <c r="T47" s="325">
        <v>289.36200000000002</v>
      </c>
      <c r="U47" s="325">
        <v>300</v>
      </c>
      <c r="V47" s="325">
        <v>300</v>
      </c>
      <c r="W47" s="340">
        <v>0</v>
      </c>
      <c r="X47" s="324">
        <v>126.5836</v>
      </c>
    </row>
    <row r="48" spans="1:24" ht="15.75" x14ac:dyDescent="0.25">
      <c r="A48" s="328"/>
      <c r="B48" s="368" t="s">
        <v>211</v>
      </c>
      <c r="C48" s="342">
        <v>0</v>
      </c>
      <c r="D48" s="342">
        <v>0</v>
      </c>
      <c r="E48" s="342">
        <v>0</v>
      </c>
      <c r="F48" s="342">
        <v>0</v>
      </c>
      <c r="G48" s="342">
        <v>0</v>
      </c>
      <c r="H48" s="342">
        <v>0</v>
      </c>
      <c r="I48" s="342">
        <v>0</v>
      </c>
      <c r="J48" s="342">
        <v>0</v>
      </c>
      <c r="K48" s="342">
        <v>0</v>
      </c>
      <c r="L48" s="342">
        <v>0</v>
      </c>
      <c r="M48" s="342">
        <v>0</v>
      </c>
      <c r="N48" s="342">
        <v>0</v>
      </c>
      <c r="O48" s="342">
        <v>0</v>
      </c>
      <c r="P48" s="342">
        <v>0</v>
      </c>
      <c r="Q48" s="342">
        <v>0</v>
      </c>
      <c r="R48" s="342">
        <v>0</v>
      </c>
      <c r="S48" s="342">
        <v>0</v>
      </c>
      <c r="T48" s="342">
        <v>0</v>
      </c>
      <c r="U48" s="342">
        <v>300</v>
      </c>
      <c r="V48" s="342">
        <v>300</v>
      </c>
      <c r="W48" s="342">
        <v>0</v>
      </c>
      <c r="X48" s="342">
        <v>30</v>
      </c>
    </row>
    <row r="49" spans="1:24" hidden="1" x14ac:dyDescent="0.25">
      <c r="A49" s="317" t="s">
        <v>46</v>
      </c>
      <c r="B49" s="318" t="s">
        <v>42</v>
      </c>
      <c r="C49" s="319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1"/>
      <c r="W49" s="319"/>
      <c r="X49" s="327"/>
    </row>
    <row r="50" spans="1:24" ht="15.75" hidden="1" x14ac:dyDescent="0.25">
      <c r="A50" s="322"/>
      <c r="B50" s="323" t="s">
        <v>127</v>
      </c>
      <c r="C50" s="324">
        <v>0</v>
      </c>
      <c r="D50" s="324">
        <v>0</v>
      </c>
      <c r="E50" s="324">
        <v>0</v>
      </c>
      <c r="F50" s="324">
        <v>0</v>
      </c>
      <c r="G50" s="324">
        <v>0</v>
      </c>
      <c r="H50" s="324">
        <v>0</v>
      </c>
      <c r="I50" s="324">
        <v>0</v>
      </c>
      <c r="J50" s="324">
        <v>0</v>
      </c>
      <c r="K50" s="324">
        <v>0</v>
      </c>
      <c r="L50" s="324">
        <v>0</v>
      </c>
      <c r="M50" s="324">
        <v>0</v>
      </c>
      <c r="N50" s="324">
        <v>0</v>
      </c>
      <c r="O50" s="324">
        <v>-354</v>
      </c>
      <c r="P50" s="324">
        <v>0</v>
      </c>
      <c r="Q50" s="324">
        <v>0</v>
      </c>
      <c r="R50" s="324">
        <v>0</v>
      </c>
      <c r="S50" s="324">
        <v>0</v>
      </c>
      <c r="T50" s="324">
        <v>0</v>
      </c>
      <c r="U50" s="324">
        <v>0</v>
      </c>
      <c r="V50" s="324">
        <v>0</v>
      </c>
      <c r="W50" s="324">
        <v>0</v>
      </c>
      <c r="X50" s="324">
        <v>-354</v>
      </c>
    </row>
    <row r="51" spans="1:24" ht="15.75" hidden="1" x14ac:dyDescent="0.25">
      <c r="A51" s="322"/>
      <c r="B51" s="323" t="s">
        <v>128</v>
      </c>
      <c r="C51" s="324">
        <v>0</v>
      </c>
      <c r="D51" s="324">
        <v>0</v>
      </c>
      <c r="E51" s="324">
        <v>0</v>
      </c>
      <c r="F51" s="324">
        <v>0</v>
      </c>
      <c r="G51" s="324">
        <v>0</v>
      </c>
      <c r="H51" s="324">
        <v>0</v>
      </c>
      <c r="I51" s="324">
        <v>0</v>
      </c>
      <c r="J51" s="324">
        <v>0</v>
      </c>
      <c r="K51" s="324">
        <v>0</v>
      </c>
      <c r="L51" s="324">
        <v>0</v>
      </c>
      <c r="M51" s="324">
        <v>0</v>
      </c>
      <c r="N51" s="324">
        <v>0</v>
      </c>
      <c r="O51" s="324">
        <v>0</v>
      </c>
      <c r="P51" s="324">
        <v>0</v>
      </c>
      <c r="Q51" s="324">
        <v>0</v>
      </c>
      <c r="R51" s="324">
        <v>0</v>
      </c>
      <c r="S51" s="324">
        <v>-359.3</v>
      </c>
      <c r="T51" s="324">
        <v>0</v>
      </c>
      <c r="U51" s="324">
        <v>0</v>
      </c>
      <c r="V51" s="324">
        <v>0</v>
      </c>
      <c r="W51" s="324">
        <v>0</v>
      </c>
      <c r="X51" s="324">
        <v>-359.3</v>
      </c>
    </row>
    <row r="52" spans="1:24" x14ac:dyDescent="0.25">
      <c r="A52" s="317" t="s">
        <v>46</v>
      </c>
      <c r="B52" s="318" t="s">
        <v>43</v>
      </c>
      <c r="C52" s="319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1"/>
      <c r="W52" s="326"/>
      <c r="X52" s="327"/>
    </row>
    <row r="53" spans="1:24" ht="15.75" x14ac:dyDescent="0.25">
      <c r="A53" s="343"/>
      <c r="B53" s="337" t="s">
        <v>212</v>
      </c>
      <c r="C53" s="325">
        <v>0</v>
      </c>
      <c r="D53" s="325">
        <v>0</v>
      </c>
      <c r="E53" s="325">
        <v>0</v>
      </c>
      <c r="F53" s="325">
        <v>0</v>
      </c>
      <c r="G53" s="325">
        <v>0</v>
      </c>
      <c r="H53" s="325">
        <v>0</v>
      </c>
      <c r="I53" s="325">
        <v>0</v>
      </c>
      <c r="J53" s="325">
        <v>0</v>
      </c>
      <c r="K53" s="325">
        <v>0</v>
      </c>
      <c r="L53" s="325">
        <v>0</v>
      </c>
      <c r="M53" s="325">
        <v>0</v>
      </c>
      <c r="N53" s="325">
        <v>0</v>
      </c>
      <c r="O53" s="325">
        <v>0</v>
      </c>
      <c r="P53" s="325">
        <v>0</v>
      </c>
      <c r="Q53" s="325">
        <v>0</v>
      </c>
      <c r="R53" s="325">
        <v>0</v>
      </c>
      <c r="S53" s="325">
        <v>0</v>
      </c>
      <c r="T53" s="325">
        <v>0</v>
      </c>
      <c r="U53" s="325">
        <v>135.51499999999999</v>
      </c>
      <c r="V53" s="325">
        <v>0</v>
      </c>
      <c r="W53" s="324">
        <v>0</v>
      </c>
      <c r="X53" s="324">
        <v>135.51499999999999</v>
      </c>
    </row>
    <row r="54" spans="1:24" ht="15.75" x14ac:dyDescent="0.25">
      <c r="A54" s="343"/>
      <c r="B54" s="337" t="s">
        <v>213</v>
      </c>
      <c r="C54" s="325">
        <v>0</v>
      </c>
      <c r="D54" s="325">
        <v>0</v>
      </c>
      <c r="E54" s="325">
        <v>0</v>
      </c>
      <c r="F54" s="325">
        <v>0</v>
      </c>
      <c r="G54" s="325">
        <v>0</v>
      </c>
      <c r="H54" s="325">
        <v>0</v>
      </c>
      <c r="I54" s="325">
        <v>0</v>
      </c>
      <c r="J54" s="325">
        <v>0</v>
      </c>
      <c r="K54" s="325">
        <v>0</v>
      </c>
      <c r="L54" s="325">
        <v>0</v>
      </c>
      <c r="M54" s="325">
        <v>0</v>
      </c>
      <c r="N54" s="325">
        <v>0</v>
      </c>
      <c r="O54" s="325">
        <v>0</v>
      </c>
      <c r="P54" s="325">
        <v>0</v>
      </c>
      <c r="Q54" s="325">
        <v>0</v>
      </c>
      <c r="R54" s="325">
        <v>0</v>
      </c>
      <c r="S54" s="325">
        <v>0</v>
      </c>
      <c r="T54" s="325">
        <v>0</v>
      </c>
      <c r="U54" s="325">
        <v>124.554</v>
      </c>
      <c r="V54" s="325">
        <v>0</v>
      </c>
      <c r="W54" s="324">
        <v>0</v>
      </c>
      <c r="X54" s="324">
        <v>124.554</v>
      </c>
    </row>
    <row r="55" spans="1:24" ht="16.5" thickBot="1" x14ac:dyDescent="0.3">
      <c r="A55" s="343"/>
      <c r="B55" s="337" t="s">
        <v>214</v>
      </c>
      <c r="C55" s="325">
        <v>0</v>
      </c>
      <c r="D55" s="325">
        <v>0</v>
      </c>
      <c r="E55" s="325">
        <v>0</v>
      </c>
      <c r="F55" s="325">
        <v>0</v>
      </c>
      <c r="G55" s="325">
        <v>0</v>
      </c>
      <c r="H55" s="325">
        <v>0</v>
      </c>
      <c r="I55" s="325">
        <v>0</v>
      </c>
      <c r="J55" s="325">
        <v>0</v>
      </c>
      <c r="K55" s="325">
        <v>0</v>
      </c>
      <c r="L55" s="325">
        <v>0</v>
      </c>
      <c r="M55" s="325">
        <v>0</v>
      </c>
      <c r="N55" s="325">
        <v>0</v>
      </c>
      <c r="O55" s="325">
        <v>0</v>
      </c>
      <c r="P55" s="325">
        <v>0</v>
      </c>
      <c r="Q55" s="325">
        <v>0</v>
      </c>
      <c r="R55" s="325">
        <v>0</v>
      </c>
      <c r="S55" s="325">
        <v>0</v>
      </c>
      <c r="T55" s="325">
        <v>0</v>
      </c>
      <c r="U55" s="325">
        <v>72.546999999999997</v>
      </c>
      <c r="V55" s="325">
        <v>0</v>
      </c>
      <c r="W55" s="324">
        <v>0</v>
      </c>
      <c r="X55" s="324">
        <v>72.546999999999997</v>
      </c>
    </row>
    <row r="56" spans="1:24" ht="16.5" thickBot="1" x14ac:dyDescent="0.3">
      <c r="A56" s="343"/>
      <c r="B56" s="330" t="s">
        <v>121</v>
      </c>
      <c r="C56" s="331">
        <v>0</v>
      </c>
      <c r="D56" s="331">
        <v>0</v>
      </c>
      <c r="E56" s="331">
        <v>0</v>
      </c>
      <c r="F56" s="331">
        <v>0</v>
      </c>
      <c r="G56" s="331">
        <v>0</v>
      </c>
      <c r="H56" s="331">
        <v>0</v>
      </c>
      <c r="I56" s="331">
        <v>0</v>
      </c>
      <c r="J56" s="331">
        <v>0</v>
      </c>
      <c r="K56" s="331">
        <v>0</v>
      </c>
      <c r="L56" s="331">
        <v>0</v>
      </c>
      <c r="M56" s="331">
        <v>0</v>
      </c>
      <c r="N56" s="331">
        <v>0</v>
      </c>
      <c r="O56" s="331">
        <v>0</v>
      </c>
      <c r="P56" s="331">
        <v>0</v>
      </c>
      <c r="Q56" s="331">
        <v>0</v>
      </c>
      <c r="R56" s="331">
        <v>0</v>
      </c>
      <c r="S56" s="331">
        <v>0</v>
      </c>
      <c r="T56" s="331">
        <v>0</v>
      </c>
      <c r="U56" s="331">
        <v>332.61599999999999</v>
      </c>
      <c r="V56" s="331">
        <v>0</v>
      </c>
      <c r="W56" s="331">
        <v>0</v>
      </c>
      <c r="X56" s="331">
        <v>332.61599999999999</v>
      </c>
    </row>
    <row r="57" spans="1:24" ht="15.75" x14ac:dyDescent="0.25">
      <c r="A57" s="343"/>
      <c r="B57" s="344" t="s">
        <v>215</v>
      </c>
      <c r="C57" s="325">
        <v>0</v>
      </c>
      <c r="D57" s="325">
        <v>0</v>
      </c>
      <c r="E57" s="325">
        <v>0</v>
      </c>
      <c r="F57" s="325">
        <v>0</v>
      </c>
      <c r="G57" s="325">
        <v>0</v>
      </c>
      <c r="H57" s="325">
        <v>0</v>
      </c>
      <c r="I57" s="325">
        <v>0</v>
      </c>
      <c r="J57" s="325">
        <v>0</v>
      </c>
      <c r="K57" s="325">
        <v>0</v>
      </c>
      <c r="L57" s="325">
        <v>0</v>
      </c>
      <c r="M57" s="325">
        <v>0</v>
      </c>
      <c r="N57" s="325">
        <v>0</v>
      </c>
      <c r="O57" s="325">
        <v>0</v>
      </c>
      <c r="P57" s="325">
        <v>21.262</v>
      </c>
      <c r="Q57" s="325">
        <v>94.608999999999995</v>
      </c>
      <c r="R57" s="325">
        <v>120.258</v>
      </c>
      <c r="S57" s="325">
        <v>168.87100000000001</v>
      </c>
      <c r="T57" s="325">
        <v>0</v>
      </c>
      <c r="U57" s="325">
        <v>0</v>
      </c>
      <c r="V57" s="325">
        <v>0</v>
      </c>
      <c r="W57" s="325">
        <v>0</v>
      </c>
      <c r="X57" s="325">
        <v>405</v>
      </c>
    </row>
    <row r="58" spans="1:24" ht="16.5" thickBot="1" x14ac:dyDescent="0.3">
      <c r="A58" s="343"/>
      <c r="B58" s="345" t="s">
        <v>129</v>
      </c>
      <c r="C58" s="325">
        <v>0</v>
      </c>
      <c r="D58" s="325">
        <v>0</v>
      </c>
      <c r="E58" s="325">
        <v>0</v>
      </c>
      <c r="F58" s="325">
        <v>0</v>
      </c>
      <c r="G58" s="325">
        <v>0</v>
      </c>
      <c r="H58" s="325">
        <v>0</v>
      </c>
      <c r="I58" s="325">
        <v>0</v>
      </c>
      <c r="J58" s="325">
        <v>0</v>
      </c>
      <c r="K58" s="325">
        <v>0</v>
      </c>
      <c r="L58" s="325">
        <v>0</v>
      </c>
      <c r="M58" s="325">
        <v>0</v>
      </c>
      <c r="N58" s="325">
        <v>0</v>
      </c>
      <c r="O58" s="325">
        <v>0</v>
      </c>
      <c r="P58" s="325">
        <v>629.58600000000001</v>
      </c>
      <c r="Q58" s="325">
        <v>0</v>
      </c>
      <c r="R58" s="325">
        <v>12.037000000000001</v>
      </c>
      <c r="S58" s="325">
        <v>8.3729999999999993</v>
      </c>
      <c r="T58" s="325">
        <v>0</v>
      </c>
      <c r="U58" s="325">
        <v>0</v>
      </c>
      <c r="V58" s="325">
        <v>0</v>
      </c>
      <c r="W58" s="324">
        <v>0</v>
      </c>
      <c r="X58" s="324">
        <v>649.99600000000009</v>
      </c>
    </row>
    <row r="59" spans="1:24" ht="16.5" thickBot="1" x14ac:dyDescent="0.3">
      <c r="A59" s="343"/>
      <c r="B59" s="330" t="s">
        <v>209</v>
      </c>
      <c r="C59" s="331">
        <v>0</v>
      </c>
      <c r="D59" s="331">
        <v>0</v>
      </c>
      <c r="E59" s="331">
        <v>0</v>
      </c>
      <c r="F59" s="331">
        <v>0</v>
      </c>
      <c r="G59" s="331">
        <v>0</v>
      </c>
      <c r="H59" s="331">
        <v>0</v>
      </c>
      <c r="I59" s="331">
        <v>0</v>
      </c>
      <c r="J59" s="331">
        <v>0</v>
      </c>
      <c r="K59" s="331">
        <v>0</v>
      </c>
      <c r="L59" s="331">
        <v>0</v>
      </c>
      <c r="M59" s="331">
        <v>0</v>
      </c>
      <c r="N59" s="331">
        <v>0</v>
      </c>
      <c r="O59" s="331">
        <v>0</v>
      </c>
      <c r="P59" s="331">
        <v>650.84799999999996</v>
      </c>
      <c r="Q59" s="331">
        <v>94.608999999999995</v>
      </c>
      <c r="R59" s="331">
        <v>132.29499999999999</v>
      </c>
      <c r="S59" s="331">
        <v>177.244</v>
      </c>
      <c r="T59" s="331">
        <v>0</v>
      </c>
      <c r="U59" s="331">
        <v>0</v>
      </c>
      <c r="V59" s="331">
        <v>0</v>
      </c>
      <c r="W59" s="331">
        <v>0</v>
      </c>
      <c r="X59" s="331">
        <v>1054.9960000000001</v>
      </c>
    </row>
    <row r="60" spans="1:24" ht="15.75" x14ac:dyDescent="0.25">
      <c r="A60" s="343"/>
      <c r="B60" s="345" t="s">
        <v>130</v>
      </c>
      <c r="C60" s="334">
        <v>0</v>
      </c>
      <c r="D60" s="334">
        <v>0</v>
      </c>
      <c r="E60" s="334">
        <v>0</v>
      </c>
      <c r="F60" s="334">
        <v>0</v>
      </c>
      <c r="G60" s="334">
        <v>0</v>
      </c>
      <c r="H60" s="334">
        <v>0</v>
      </c>
      <c r="I60" s="334">
        <v>0</v>
      </c>
      <c r="J60" s="334">
        <v>0</v>
      </c>
      <c r="K60" s="334">
        <v>0</v>
      </c>
      <c r="L60" s="334">
        <v>0</v>
      </c>
      <c r="M60" s="334">
        <v>0</v>
      </c>
      <c r="N60" s="334">
        <v>0</v>
      </c>
      <c r="O60" s="334">
        <v>0</v>
      </c>
      <c r="P60" s="334">
        <v>0</v>
      </c>
      <c r="Q60" s="334">
        <v>0</v>
      </c>
      <c r="R60" s="334">
        <v>0</v>
      </c>
      <c r="S60" s="334">
        <v>2.41</v>
      </c>
      <c r="T60" s="334">
        <v>0</v>
      </c>
      <c r="U60" s="334">
        <v>0</v>
      </c>
      <c r="V60" s="334">
        <v>0</v>
      </c>
      <c r="W60" s="335">
        <v>0</v>
      </c>
      <c r="X60" s="335">
        <v>2.41</v>
      </c>
    </row>
    <row r="61" spans="1:24" ht="15.75" x14ac:dyDescent="0.25">
      <c r="A61" s="328"/>
      <c r="B61" s="337" t="s">
        <v>109</v>
      </c>
      <c r="C61" s="334">
        <v>0</v>
      </c>
      <c r="D61" s="334">
        <v>0</v>
      </c>
      <c r="E61" s="334">
        <v>0</v>
      </c>
      <c r="F61" s="334">
        <v>0</v>
      </c>
      <c r="G61" s="334">
        <v>0</v>
      </c>
      <c r="H61" s="334">
        <v>0</v>
      </c>
      <c r="I61" s="334">
        <v>0</v>
      </c>
      <c r="J61" s="334">
        <v>0</v>
      </c>
      <c r="K61" s="334">
        <v>0</v>
      </c>
      <c r="L61" s="334">
        <v>0</v>
      </c>
      <c r="M61" s="334">
        <v>0</v>
      </c>
      <c r="N61" s="334">
        <v>0</v>
      </c>
      <c r="O61" s="334">
        <v>0</v>
      </c>
      <c r="P61" s="334">
        <v>0</v>
      </c>
      <c r="Q61" s="334">
        <v>0</v>
      </c>
      <c r="R61" s="334">
        <v>0</v>
      </c>
      <c r="S61" s="334">
        <v>3.69</v>
      </c>
      <c r="T61" s="334">
        <v>0</v>
      </c>
      <c r="U61" s="334">
        <v>0</v>
      </c>
      <c r="V61" s="334">
        <v>0</v>
      </c>
      <c r="W61" s="335">
        <v>0</v>
      </c>
      <c r="X61" s="335">
        <v>3.69</v>
      </c>
    </row>
    <row r="62" spans="1:24" ht="15.75" x14ac:dyDescent="0.25">
      <c r="A62" s="328"/>
      <c r="B62" s="337" t="s">
        <v>96</v>
      </c>
      <c r="C62" s="334">
        <v>0</v>
      </c>
      <c r="D62" s="334">
        <v>0</v>
      </c>
      <c r="E62" s="334">
        <v>0</v>
      </c>
      <c r="F62" s="334">
        <v>0</v>
      </c>
      <c r="G62" s="334">
        <v>0</v>
      </c>
      <c r="H62" s="334">
        <v>0</v>
      </c>
      <c r="I62" s="334">
        <v>0</v>
      </c>
      <c r="J62" s="334">
        <v>0</v>
      </c>
      <c r="K62" s="334">
        <v>0</v>
      </c>
      <c r="L62" s="334">
        <v>0</v>
      </c>
      <c r="M62" s="334">
        <v>0</v>
      </c>
      <c r="N62" s="334">
        <v>0</v>
      </c>
      <c r="O62" s="334">
        <v>0</v>
      </c>
      <c r="P62" s="334">
        <v>0</v>
      </c>
      <c r="Q62" s="334">
        <v>0</v>
      </c>
      <c r="R62" s="334">
        <v>0</v>
      </c>
      <c r="S62" s="334">
        <v>12.829999999999998</v>
      </c>
      <c r="T62" s="334">
        <v>0</v>
      </c>
      <c r="U62" s="334">
        <v>0</v>
      </c>
      <c r="V62" s="334">
        <v>0</v>
      </c>
      <c r="W62" s="335">
        <v>0</v>
      </c>
      <c r="X62" s="335">
        <v>12.829999999999998</v>
      </c>
    </row>
    <row r="63" spans="1:24" ht="16.5" thickBot="1" x14ac:dyDescent="0.3">
      <c r="A63" s="328"/>
      <c r="B63" s="337" t="s">
        <v>110</v>
      </c>
      <c r="C63" s="334">
        <v>0</v>
      </c>
      <c r="D63" s="334">
        <v>0</v>
      </c>
      <c r="E63" s="334">
        <v>0</v>
      </c>
      <c r="F63" s="334">
        <v>0</v>
      </c>
      <c r="G63" s="334">
        <v>0</v>
      </c>
      <c r="H63" s="334">
        <v>0</v>
      </c>
      <c r="I63" s="334">
        <v>0</v>
      </c>
      <c r="J63" s="334">
        <v>0</v>
      </c>
      <c r="K63" s="334">
        <v>0</v>
      </c>
      <c r="L63" s="334">
        <v>0</v>
      </c>
      <c r="M63" s="334">
        <v>0</v>
      </c>
      <c r="N63" s="334">
        <v>0</v>
      </c>
      <c r="O63" s="334">
        <v>0</v>
      </c>
      <c r="P63" s="334">
        <v>0</v>
      </c>
      <c r="Q63" s="334">
        <v>0</v>
      </c>
      <c r="R63" s="334">
        <v>0</v>
      </c>
      <c r="S63" s="334">
        <v>4.8099999999999996</v>
      </c>
      <c r="T63" s="334">
        <v>0</v>
      </c>
      <c r="U63" s="334">
        <v>0</v>
      </c>
      <c r="V63" s="334">
        <v>0</v>
      </c>
      <c r="W63" s="335">
        <v>0</v>
      </c>
      <c r="X63" s="335">
        <v>4.8099999999999996</v>
      </c>
    </row>
    <row r="64" spans="1:24" ht="16.5" thickBot="1" x14ac:dyDescent="0.3">
      <c r="A64" s="328"/>
      <c r="B64" s="330" t="s">
        <v>47</v>
      </c>
      <c r="C64" s="336">
        <v>0</v>
      </c>
      <c r="D64" s="336">
        <v>0</v>
      </c>
      <c r="E64" s="336">
        <v>0</v>
      </c>
      <c r="F64" s="336">
        <v>0</v>
      </c>
      <c r="G64" s="336">
        <v>0</v>
      </c>
      <c r="H64" s="336">
        <v>0</v>
      </c>
      <c r="I64" s="336">
        <v>0</v>
      </c>
      <c r="J64" s="336">
        <v>0</v>
      </c>
      <c r="K64" s="336">
        <v>0</v>
      </c>
      <c r="L64" s="336">
        <v>0</v>
      </c>
      <c r="M64" s="336">
        <v>0</v>
      </c>
      <c r="N64" s="336">
        <v>0</v>
      </c>
      <c r="O64" s="336">
        <v>0</v>
      </c>
      <c r="P64" s="336">
        <v>0</v>
      </c>
      <c r="Q64" s="336">
        <v>0</v>
      </c>
      <c r="R64" s="336">
        <v>0</v>
      </c>
      <c r="S64" s="336">
        <v>23.74</v>
      </c>
      <c r="T64" s="336">
        <v>0</v>
      </c>
      <c r="U64" s="336">
        <v>0</v>
      </c>
      <c r="V64" s="336">
        <v>0</v>
      </c>
      <c r="W64" s="336">
        <v>0</v>
      </c>
      <c r="X64" s="336">
        <v>23.74</v>
      </c>
    </row>
    <row r="65" spans="1:24" ht="15.75" x14ac:dyDescent="0.25">
      <c r="A65" s="343"/>
      <c r="B65" s="337" t="s">
        <v>97</v>
      </c>
      <c r="C65" s="325">
        <v>1</v>
      </c>
      <c r="D65" s="325">
        <v>1</v>
      </c>
      <c r="E65" s="325">
        <v>1</v>
      </c>
      <c r="F65" s="325">
        <v>2</v>
      </c>
      <c r="G65" s="325">
        <v>1.0100000000000002</v>
      </c>
      <c r="H65" s="325">
        <v>1.19</v>
      </c>
      <c r="I65" s="325">
        <v>1.1400000000000001</v>
      </c>
      <c r="J65" s="325">
        <v>1.07</v>
      </c>
      <c r="K65" s="325">
        <v>1.03</v>
      </c>
      <c r="L65" s="325">
        <v>0.94</v>
      </c>
      <c r="M65" s="325">
        <v>0.92999999999999994</v>
      </c>
      <c r="N65" s="325">
        <v>0.84000000000000008</v>
      </c>
      <c r="O65" s="325">
        <v>0.78</v>
      </c>
      <c r="P65" s="325">
        <v>0.74</v>
      </c>
      <c r="Q65" s="325">
        <v>0.81</v>
      </c>
      <c r="R65" s="325">
        <v>0.63</v>
      </c>
      <c r="S65" s="325">
        <v>0.52</v>
      </c>
      <c r="T65" s="325">
        <v>0.4</v>
      </c>
      <c r="U65" s="325">
        <v>0.31</v>
      </c>
      <c r="V65" s="325">
        <v>0.32</v>
      </c>
      <c r="W65" s="325">
        <v>11.379999999999999</v>
      </c>
      <c r="X65" s="325">
        <v>17.659999999999997</v>
      </c>
    </row>
    <row r="66" spans="1:24" ht="15.75" x14ac:dyDescent="0.25">
      <c r="A66" s="328"/>
      <c r="B66" s="337" t="s">
        <v>98</v>
      </c>
      <c r="C66" s="325">
        <v>51</v>
      </c>
      <c r="D66" s="325">
        <v>44</v>
      </c>
      <c r="E66" s="325">
        <v>40</v>
      </c>
      <c r="F66" s="325">
        <v>41</v>
      </c>
      <c r="G66" s="325">
        <v>28.700000000000003</v>
      </c>
      <c r="H66" s="325">
        <v>24.4</v>
      </c>
      <c r="I66" s="325">
        <v>23.1</v>
      </c>
      <c r="J66" s="325">
        <v>22.500000000000004</v>
      </c>
      <c r="K66" s="325">
        <v>19.700000000000003</v>
      </c>
      <c r="L66" s="325">
        <v>18.400000000000002</v>
      </c>
      <c r="M66" s="325">
        <v>18.200000000000003</v>
      </c>
      <c r="N66" s="325">
        <v>17.000000000000004</v>
      </c>
      <c r="O66" s="325">
        <v>16.399999999999999</v>
      </c>
      <c r="P66" s="325">
        <v>16.400000000000002</v>
      </c>
      <c r="Q66" s="325">
        <v>16.100000000000001</v>
      </c>
      <c r="R66" s="325">
        <v>16.600000000000001</v>
      </c>
      <c r="S66" s="325">
        <v>15.4</v>
      </c>
      <c r="T66" s="325">
        <v>15.3</v>
      </c>
      <c r="U66" s="325">
        <v>16.3</v>
      </c>
      <c r="V66" s="325">
        <v>16.3</v>
      </c>
      <c r="W66" s="325">
        <v>312.79999999999995</v>
      </c>
      <c r="X66" s="325">
        <v>476.79999999999995</v>
      </c>
    </row>
    <row r="67" spans="1:24" ht="16.5" thickBot="1" x14ac:dyDescent="0.3">
      <c r="A67" s="328"/>
      <c r="B67" s="337" t="s">
        <v>99</v>
      </c>
      <c r="C67" s="325">
        <v>10</v>
      </c>
      <c r="D67" s="325">
        <v>7</v>
      </c>
      <c r="E67" s="325">
        <v>11</v>
      </c>
      <c r="F67" s="325">
        <v>8</v>
      </c>
      <c r="G67" s="325">
        <v>8.08</v>
      </c>
      <c r="H67" s="325">
        <v>7.5500000000000007</v>
      </c>
      <c r="I67" s="325">
        <v>7.44</v>
      </c>
      <c r="J67" s="325">
        <v>7.1100000000000012</v>
      </c>
      <c r="K67" s="325">
        <v>7.8500000000000005</v>
      </c>
      <c r="L67" s="325">
        <v>7.1099999999999994</v>
      </c>
      <c r="M67" s="325">
        <v>6.2399999999999984</v>
      </c>
      <c r="N67" s="325">
        <v>5.82</v>
      </c>
      <c r="O67" s="325">
        <v>5.18</v>
      </c>
      <c r="P67" s="325">
        <v>4.7200000000000006</v>
      </c>
      <c r="Q67" s="325">
        <v>4.41</v>
      </c>
      <c r="R67" s="325">
        <v>3.75</v>
      </c>
      <c r="S67" s="325">
        <v>3.2</v>
      </c>
      <c r="T67" s="325">
        <v>2.62</v>
      </c>
      <c r="U67" s="325">
        <v>2.3099999999999996</v>
      </c>
      <c r="V67" s="325">
        <v>1.85</v>
      </c>
      <c r="W67" s="338">
        <v>81.139999999999986</v>
      </c>
      <c r="X67" s="338">
        <v>121.24</v>
      </c>
    </row>
    <row r="68" spans="1:24" ht="16.5" thickBot="1" x14ac:dyDescent="0.3">
      <c r="A68" s="328"/>
      <c r="B68" s="330" t="s">
        <v>48</v>
      </c>
      <c r="C68" s="331">
        <v>62</v>
      </c>
      <c r="D68" s="331">
        <v>52</v>
      </c>
      <c r="E68" s="331">
        <v>52</v>
      </c>
      <c r="F68" s="331">
        <v>51</v>
      </c>
      <c r="G68" s="331">
        <v>37.790000000000006</v>
      </c>
      <c r="H68" s="331">
        <v>33.14</v>
      </c>
      <c r="I68" s="331">
        <v>31.680000000000003</v>
      </c>
      <c r="J68" s="331">
        <v>30.680000000000007</v>
      </c>
      <c r="K68" s="331">
        <v>28.580000000000005</v>
      </c>
      <c r="L68" s="331">
        <v>26.450000000000003</v>
      </c>
      <c r="M68" s="331">
        <v>25.37</v>
      </c>
      <c r="N68" s="331">
        <v>23.660000000000004</v>
      </c>
      <c r="O68" s="331">
        <v>22.36</v>
      </c>
      <c r="P68" s="331">
        <v>21.86</v>
      </c>
      <c r="Q68" s="331">
        <v>21.32</v>
      </c>
      <c r="R68" s="331">
        <v>20.98</v>
      </c>
      <c r="S68" s="331">
        <v>19.12</v>
      </c>
      <c r="T68" s="331">
        <v>18.32</v>
      </c>
      <c r="U68" s="331">
        <v>18.919999999999998</v>
      </c>
      <c r="V68" s="331">
        <v>18.470000000000002</v>
      </c>
      <c r="W68" s="331">
        <v>405.32</v>
      </c>
      <c r="X68" s="331">
        <v>615.70000000000016</v>
      </c>
    </row>
    <row r="69" spans="1:24" ht="15.75" x14ac:dyDescent="0.25">
      <c r="A69" s="343"/>
      <c r="B69" s="345" t="s">
        <v>131</v>
      </c>
      <c r="C69" s="325">
        <v>0</v>
      </c>
      <c r="D69" s="325">
        <v>0</v>
      </c>
      <c r="E69" s="325">
        <v>0</v>
      </c>
      <c r="F69" s="325">
        <v>0</v>
      </c>
      <c r="G69" s="325">
        <v>0</v>
      </c>
      <c r="H69" s="325">
        <v>0</v>
      </c>
      <c r="I69" s="325">
        <v>0</v>
      </c>
      <c r="J69" s="325">
        <v>0</v>
      </c>
      <c r="K69" s="325">
        <v>0</v>
      </c>
      <c r="L69" s="325">
        <v>0</v>
      </c>
      <c r="M69" s="325">
        <v>0</v>
      </c>
      <c r="N69" s="325">
        <v>229.69300000000001</v>
      </c>
      <c r="O69" s="325">
        <v>400</v>
      </c>
      <c r="P69" s="325">
        <v>400</v>
      </c>
      <c r="Q69" s="325">
        <v>400</v>
      </c>
      <c r="R69" s="325">
        <v>400</v>
      </c>
      <c r="S69" s="325">
        <v>400</v>
      </c>
      <c r="T69" s="325">
        <v>400</v>
      </c>
      <c r="U69" s="325">
        <v>400</v>
      </c>
      <c r="V69" s="325">
        <v>369.322</v>
      </c>
      <c r="W69" s="324">
        <v>0</v>
      </c>
      <c r="X69" s="324">
        <v>169.95075000000003</v>
      </c>
    </row>
    <row r="70" spans="1:24" ht="15.75" x14ac:dyDescent="0.25">
      <c r="A70" s="343"/>
      <c r="B70" s="345" t="s">
        <v>132</v>
      </c>
      <c r="C70" s="325">
        <v>311.42099999999999</v>
      </c>
      <c r="D70" s="325">
        <v>315.11700000000002</v>
      </c>
      <c r="E70" s="325">
        <v>400</v>
      </c>
      <c r="F70" s="325">
        <v>391.81099999999998</v>
      </c>
      <c r="G70" s="325">
        <v>395.24400000000003</v>
      </c>
      <c r="H70" s="325">
        <v>400</v>
      </c>
      <c r="I70" s="325">
        <v>386.71100000000001</v>
      </c>
      <c r="J70" s="325">
        <v>370.44</v>
      </c>
      <c r="K70" s="325">
        <v>400</v>
      </c>
      <c r="L70" s="325">
        <v>399.30799999999999</v>
      </c>
      <c r="M70" s="325">
        <v>399.99200000000002</v>
      </c>
      <c r="N70" s="325">
        <v>400</v>
      </c>
      <c r="O70" s="325">
        <v>400</v>
      </c>
      <c r="P70" s="325">
        <v>400</v>
      </c>
      <c r="Q70" s="325">
        <v>400</v>
      </c>
      <c r="R70" s="325">
        <v>400</v>
      </c>
      <c r="S70" s="325">
        <v>400</v>
      </c>
      <c r="T70" s="325">
        <v>400</v>
      </c>
      <c r="U70" s="325">
        <v>400</v>
      </c>
      <c r="V70" s="325">
        <v>400</v>
      </c>
      <c r="W70" s="324">
        <v>377.0052</v>
      </c>
      <c r="X70" s="324">
        <v>388.50220000000002</v>
      </c>
    </row>
    <row r="71" spans="1:24" ht="15.75" x14ac:dyDescent="0.25">
      <c r="A71" s="343"/>
      <c r="B71" s="345" t="s">
        <v>133</v>
      </c>
      <c r="C71" s="325">
        <v>0</v>
      </c>
      <c r="D71" s="325">
        <v>0</v>
      </c>
      <c r="E71" s="325">
        <v>123.623</v>
      </c>
      <c r="F71" s="325">
        <v>0</v>
      </c>
      <c r="G71" s="325">
        <v>0</v>
      </c>
      <c r="H71" s="325">
        <v>44.779000000000003</v>
      </c>
      <c r="I71" s="325">
        <v>0</v>
      </c>
      <c r="J71" s="325">
        <v>0</v>
      </c>
      <c r="K71" s="325">
        <v>37.81</v>
      </c>
      <c r="L71" s="325">
        <v>0</v>
      </c>
      <c r="M71" s="325">
        <v>0</v>
      </c>
      <c r="N71" s="325">
        <v>375</v>
      </c>
      <c r="O71" s="325">
        <v>375</v>
      </c>
      <c r="P71" s="325">
        <v>375</v>
      </c>
      <c r="Q71" s="325">
        <v>375</v>
      </c>
      <c r="R71" s="325">
        <v>375</v>
      </c>
      <c r="S71" s="325">
        <v>375</v>
      </c>
      <c r="T71" s="325">
        <v>375</v>
      </c>
      <c r="U71" s="325">
        <v>375</v>
      </c>
      <c r="V71" s="325">
        <v>375</v>
      </c>
      <c r="W71" s="324">
        <v>20.621200000000002</v>
      </c>
      <c r="X71" s="324">
        <v>179.06059999999999</v>
      </c>
    </row>
    <row r="72" spans="1:24" ht="15.75" x14ac:dyDescent="0.25">
      <c r="A72" s="343"/>
      <c r="B72" s="345" t="s">
        <v>134</v>
      </c>
      <c r="C72" s="325">
        <v>90.325000000000003</v>
      </c>
      <c r="D72" s="325">
        <v>3.7970000000000002</v>
      </c>
      <c r="E72" s="325">
        <v>100</v>
      </c>
      <c r="F72" s="325">
        <v>70.885000000000005</v>
      </c>
      <c r="G72" s="325">
        <v>0</v>
      </c>
      <c r="H72" s="325">
        <v>0</v>
      </c>
      <c r="I72" s="325">
        <v>32.037999999999997</v>
      </c>
      <c r="J72" s="325">
        <v>57.826000000000001</v>
      </c>
      <c r="K72" s="325">
        <v>100</v>
      </c>
      <c r="L72" s="325">
        <v>100</v>
      </c>
      <c r="M72" s="325">
        <v>100</v>
      </c>
      <c r="N72" s="325">
        <v>100</v>
      </c>
      <c r="O72" s="325">
        <v>100</v>
      </c>
      <c r="P72" s="325">
        <v>100</v>
      </c>
      <c r="Q72" s="325">
        <v>100</v>
      </c>
      <c r="R72" s="325">
        <v>100</v>
      </c>
      <c r="S72" s="325">
        <v>100</v>
      </c>
      <c r="T72" s="325">
        <v>100</v>
      </c>
      <c r="U72" s="325">
        <v>100</v>
      </c>
      <c r="V72" s="325">
        <v>100</v>
      </c>
      <c r="W72" s="324">
        <v>55.487100000000012</v>
      </c>
      <c r="X72" s="324">
        <v>77.743549999999999</v>
      </c>
    </row>
    <row r="73" spans="1:24" ht="15.75" x14ac:dyDescent="0.25">
      <c r="A73" s="343"/>
      <c r="B73" s="346" t="s">
        <v>216</v>
      </c>
      <c r="C73" s="341">
        <v>0</v>
      </c>
      <c r="D73" s="341">
        <v>0</v>
      </c>
      <c r="E73" s="341">
        <v>0</v>
      </c>
      <c r="F73" s="341">
        <v>0</v>
      </c>
      <c r="G73" s="341">
        <v>0</v>
      </c>
      <c r="H73" s="341">
        <v>0</v>
      </c>
      <c r="I73" s="341">
        <v>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1">
        <v>0</v>
      </c>
      <c r="P73" s="341">
        <v>0</v>
      </c>
      <c r="Q73" s="341">
        <v>0</v>
      </c>
      <c r="R73" s="341">
        <v>0</v>
      </c>
      <c r="S73" s="341">
        <v>0</v>
      </c>
      <c r="T73" s="341">
        <v>49.103999999999999</v>
      </c>
      <c r="U73" s="341">
        <v>0</v>
      </c>
      <c r="V73" s="341">
        <v>311.00099999999998</v>
      </c>
      <c r="W73" s="342">
        <v>0</v>
      </c>
      <c r="X73" s="342">
        <v>18.005249999999997</v>
      </c>
    </row>
    <row r="74" spans="1:24" ht="15.75" x14ac:dyDescent="0.25">
      <c r="A74" s="347"/>
      <c r="B74" s="346" t="s">
        <v>135</v>
      </c>
      <c r="C74" s="341">
        <v>253.19</v>
      </c>
      <c r="D74" s="341">
        <v>307.95299999999997</v>
      </c>
      <c r="E74" s="341">
        <v>303.06200000000001</v>
      </c>
      <c r="F74" s="341">
        <v>296.42599999999999</v>
      </c>
      <c r="G74" s="341">
        <v>302.83100000000002</v>
      </c>
      <c r="H74" s="341">
        <v>304.60899999999998</v>
      </c>
      <c r="I74" s="341">
        <v>310.33</v>
      </c>
      <c r="J74" s="341">
        <v>304.00099999999998</v>
      </c>
      <c r="K74" s="341">
        <v>316.851</v>
      </c>
      <c r="L74" s="341">
        <v>329.642</v>
      </c>
      <c r="M74" s="341">
        <v>343.411</v>
      </c>
      <c r="N74" s="341">
        <v>357.35500000000002</v>
      </c>
      <c r="O74" s="341">
        <v>400</v>
      </c>
      <c r="P74" s="341">
        <v>400</v>
      </c>
      <c r="Q74" s="341">
        <v>400</v>
      </c>
      <c r="R74" s="341">
        <v>400</v>
      </c>
      <c r="S74" s="341">
        <v>400</v>
      </c>
      <c r="T74" s="341">
        <v>400</v>
      </c>
      <c r="U74" s="341">
        <v>400</v>
      </c>
      <c r="V74" s="341">
        <v>400</v>
      </c>
      <c r="W74" s="342">
        <v>302.8895</v>
      </c>
      <c r="X74" s="342">
        <v>346.48304999999999</v>
      </c>
    </row>
    <row r="75" spans="1:24" ht="15.75" x14ac:dyDescent="0.25">
      <c r="A75" s="347"/>
      <c r="B75" s="346" t="s">
        <v>136</v>
      </c>
      <c r="C75" s="341">
        <v>0</v>
      </c>
      <c r="D75" s="341">
        <v>0</v>
      </c>
      <c r="E75" s="341">
        <v>0</v>
      </c>
      <c r="F75" s="341">
        <v>0</v>
      </c>
      <c r="G75" s="341">
        <v>0</v>
      </c>
      <c r="H75" s="341">
        <v>0</v>
      </c>
      <c r="I75" s="341">
        <v>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  <c r="O75" s="341">
        <v>257.923</v>
      </c>
      <c r="P75" s="341">
        <v>293.63799999999998</v>
      </c>
      <c r="Q75" s="341">
        <v>309.43200000000002</v>
      </c>
      <c r="R75" s="341">
        <v>276.36500000000001</v>
      </c>
      <c r="S75" s="341">
        <v>367.70800000000003</v>
      </c>
      <c r="T75" s="341">
        <v>375</v>
      </c>
      <c r="U75" s="341">
        <v>231.43</v>
      </c>
      <c r="V75" s="341">
        <v>375</v>
      </c>
      <c r="W75" s="342">
        <v>0</v>
      </c>
      <c r="X75" s="342">
        <v>124.32480000000001</v>
      </c>
    </row>
    <row r="76" spans="1:24" ht="16.5" thickBot="1" x14ac:dyDescent="0.3">
      <c r="A76" s="348"/>
      <c r="B76" s="349" t="s">
        <v>137</v>
      </c>
      <c r="C76" s="350">
        <v>0</v>
      </c>
      <c r="D76" s="350">
        <v>0</v>
      </c>
      <c r="E76" s="350">
        <v>0</v>
      </c>
      <c r="F76" s="350">
        <v>0</v>
      </c>
      <c r="G76" s="350">
        <v>0</v>
      </c>
      <c r="H76" s="350">
        <v>0</v>
      </c>
      <c r="I76" s="350">
        <v>0</v>
      </c>
      <c r="J76" s="350">
        <v>0</v>
      </c>
      <c r="K76" s="350">
        <v>0</v>
      </c>
      <c r="L76" s="350">
        <v>0</v>
      </c>
      <c r="M76" s="350">
        <v>0</v>
      </c>
      <c r="N76" s="350">
        <v>0</v>
      </c>
      <c r="O76" s="350">
        <v>100</v>
      </c>
      <c r="P76" s="350">
        <v>100</v>
      </c>
      <c r="Q76" s="350">
        <v>100</v>
      </c>
      <c r="R76" s="350">
        <v>100</v>
      </c>
      <c r="S76" s="350">
        <v>100</v>
      </c>
      <c r="T76" s="350">
        <v>100</v>
      </c>
      <c r="U76" s="350">
        <v>100</v>
      </c>
      <c r="V76" s="350">
        <v>100</v>
      </c>
      <c r="W76" s="342">
        <v>0</v>
      </c>
      <c r="X76" s="342">
        <v>40</v>
      </c>
    </row>
    <row r="77" spans="1:24" ht="17.25" thickTop="1" thickBot="1" x14ac:dyDescent="0.3">
      <c r="A77" s="351"/>
      <c r="B77" s="352" t="s">
        <v>42</v>
      </c>
      <c r="C77" s="353">
        <v>0</v>
      </c>
      <c r="D77" s="353">
        <v>0</v>
      </c>
      <c r="E77" s="353">
        <v>-280</v>
      </c>
      <c r="F77" s="353">
        <v>0</v>
      </c>
      <c r="G77" s="353">
        <v>-387</v>
      </c>
      <c r="H77" s="353">
        <v>0</v>
      </c>
      <c r="I77" s="353">
        <v>0</v>
      </c>
      <c r="J77" s="353">
        <v>0</v>
      </c>
      <c r="K77" s="353">
        <v>0</v>
      </c>
      <c r="L77" s="353">
        <v>-82.3</v>
      </c>
      <c r="M77" s="353">
        <v>0</v>
      </c>
      <c r="N77" s="353">
        <v>-762</v>
      </c>
      <c r="O77" s="353">
        <v>-354</v>
      </c>
      <c r="P77" s="353">
        <v>-357</v>
      </c>
      <c r="Q77" s="353">
        <v>-76.539999999999992</v>
      </c>
      <c r="R77" s="353">
        <v>0</v>
      </c>
      <c r="S77" s="353">
        <v>-716.8</v>
      </c>
      <c r="T77" s="353">
        <v>0</v>
      </c>
      <c r="U77" s="353">
        <v>-81.540000000000006</v>
      </c>
      <c r="V77" s="353">
        <v>0</v>
      </c>
      <c r="W77" s="354"/>
      <c r="X77" s="354"/>
    </row>
    <row r="78" spans="1:24" ht="16.5" thickTop="1" x14ac:dyDescent="0.25">
      <c r="A78" s="355"/>
      <c r="B78" s="356" t="s">
        <v>49</v>
      </c>
      <c r="C78" s="357">
        <v>150.00000000000023</v>
      </c>
      <c r="D78" s="357">
        <v>119</v>
      </c>
      <c r="E78" s="357">
        <v>126.99999999999989</v>
      </c>
      <c r="F78" s="357">
        <v>1033.1000000000004</v>
      </c>
      <c r="G78" s="357">
        <v>504.41000000000008</v>
      </c>
      <c r="H78" s="357">
        <v>98.950000000000045</v>
      </c>
      <c r="I78" s="357">
        <v>96.200000000000159</v>
      </c>
      <c r="J78" s="357">
        <v>94.889999999999873</v>
      </c>
      <c r="K78" s="357">
        <v>99.740000000000236</v>
      </c>
      <c r="L78" s="357">
        <v>96.059999999999832</v>
      </c>
      <c r="M78" s="357">
        <v>90.2800000000002</v>
      </c>
      <c r="N78" s="357">
        <v>90.329999999999927</v>
      </c>
      <c r="O78" s="357">
        <v>152.72000000000025</v>
      </c>
      <c r="P78" s="357">
        <v>859.47800000000007</v>
      </c>
      <c r="Q78" s="357">
        <v>181.22900000000021</v>
      </c>
      <c r="R78" s="357">
        <v>207.25500000000019</v>
      </c>
      <c r="S78" s="357">
        <v>1896.8359999999996</v>
      </c>
      <c r="T78" s="357">
        <v>110.77999999999929</v>
      </c>
      <c r="U78" s="357">
        <v>488.63400000000013</v>
      </c>
      <c r="V78" s="357">
        <v>221.59999999999991</v>
      </c>
      <c r="W78" s="358"/>
      <c r="X78" s="358"/>
    </row>
    <row r="79" spans="1:24" ht="15.75" x14ac:dyDescent="0.25">
      <c r="A79" s="359"/>
      <c r="B79" s="360" t="s">
        <v>50</v>
      </c>
      <c r="C79" s="361">
        <v>654.93599999999992</v>
      </c>
      <c r="D79" s="361">
        <v>626.86699999999996</v>
      </c>
      <c r="E79" s="361">
        <v>926.68500000000006</v>
      </c>
      <c r="F79" s="361">
        <v>759.12199999999996</v>
      </c>
      <c r="G79" s="361">
        <v>698.07500000000005</v>
      </c>
      <c r="H79" s="361">
        <v>749.38799999999992</v>
      </c>
      <c r="I79" s="361">
        <v>729.07899999999995</v>
      </c>
      <c r="J79" s="361">
        <v>732.26700000000005</v>
      </c>
      <c r="K79" s="361">
        <v>854.66099999999994</v>
      </c>
      <c r="L79" s="361">
        <v>828.95</v>
      </c>
      <c r="M79" s="361">
        <v>843.40300000000002</v>
      </c>
      <c r="N79" s="361">
        <v>1604.3580000000002</v>
      </c>
      <c r="O79" s="361">
        <v>2332.9229999999998</v>
      </c>
      <c r="P79" s="361">
        <v>2368.6379999999999</v>
      </c>
      <c r="Q79" s="361">
        <v>2384.4319999999998</v>
      </c>
      <c r="R79" s="361">
        <v>2351.3649999999998</v>
      </c>
      <c r="S79" s="361">
        <v>2442.7080000000001</v>
      </c>
      <c r="T79" s="361">
        <v>2488.4660000000003</v>
      </c>
      <c r="U79" s="361">
        <v>2606.4299999999998</v>
      </c>
      <c r="V79" s="361">
        <v>3030.3230000000003</v>
      </c>
      <c r="W79" s="358"/>
      <c r="X79" s="358"/>
    </row>
    <row r="80" spans="1:24" ht="15.75" x14ac:dyDescent="0.25">
      <c r="A80" s="359"/>
      <c r="B80" s="360" t="s">
        <v>51</v>
      </c>
      <c r="C80" s="361">
        <v>804.93600000000015</v>
      </c>
      <c r="D80" s="361">
        <v>745.86699999999996</v>
      </c>
      <c r="E80" s="361">
        <v>1053.6849999999999</v>
      </c>
      <c r="F80" s="361">
        <v>1792.2220000000002</v>
      </c>
      <c r="G80" s="361">
        <v>1202.4850000000001</v>
      </c>
      <c r="H80" s="361">
        <v>848.33799999999997</v>
      </c>
      <c r="I80" s="361">
        <v>825.27900000000011</v>
      </c>
      <c r="J80" s="361">
        <v>827.15699999999993</v>
      </c>
      <c r="K80" s="361">
        <v>954.40100000000018</v>
      </c>
      <c r="L80" s="361">
        <v>925.00999999999988</v>
      </c>
      <c r="M80" s="361">
        <v>933.68300000000022</v>
      </c>
      <c r="N80" s="361">
        <v>1694.6880000000001</v>
      </c>
      <c r="O80" s="361">
        <v>2485.643</v>
      </c>
      <c r="P80" s="361">
        <v>3228.116</v>
      </c>
      <c r="Q80" s="361">
        <v>2565.6610000000001</v>
      </c>
      <c r="R80" s="361">
        <v>2558.62</v>
      </c>
      <c r="S80" s="361">
        <v>4339.5439999999999</v>
      </c>
      <c r="T80" s="361">
        <v>2599.2459999999996</v>
      </c>
      <c r="U80" s="361">
        <v>3095.0639999999999</v>
      </c>
      <c r="V80" s="361">
        <v>3251.9230000000002</v>
      </c>
      <c r="W80" s="358"/>
      <c r="X80" s="358"/>
    </row>
    <row r="81" spans="1:24" ht="15.75" x14ac:dyDescent="0.25">
      <c r="A81" s="359"/>
      <c r="B81" s="362" t="s">
        <v>217</v>
      </c>
      <c r="C81" s="363"/>
      <c r="D81" s="363"/>
      <c r="E81" s="363"/>
      <c r="F81" s="363"/>
      <c r="G81" s="363"/>
      <c r="H81" s="363"/>
      <c r="I81" s="363"/>
      <c r="J81" s="364"/>
      <c r="K81" s="365"/>
      <c r="L81" s="365"/>
      <c r="M81" s="365"/>
      <c r="N81" s="364"/>
      <c r="O81" s="364"/>
      <c r="P81" s="364"/>
      <c r="Q81" s="365"/>
      <c r="R81" s="365"/>
      <c r="S81" s="365"/>
      <c r="T81" s="365"/>
      <c r="U81" s="366"/>
      <c r="V81" s="366"/>
      <c r="W81" s="358"/>
      <c r="X81" s="358"/>
    </row>
    <row r="83" spans="1:24" x14ac:dyDescent="0.25">
      <c r="B83" t="s">
        <v>218</v>
      </c>
    </row>
  </sheetData>
  <mergeCells count="3">
    <mergeCell ref="A1:X1"/>
    <mergeCell ref="A2:X2"/>
    <mergeCell ref="A3:X3"/>
  </mergeCells>
  <conditionalFormatting sqref="A5:B5">
    <cfRule type="expression" dxfId="14" priority="2" stopIfTrue="1">
      <formula>ROUND($D$467,0)&lt;&gt;0</formula>
    </cfRule>
  </conditionalFormatting>
  <conditionalFormatting sqref="B20">
    <cfRule type="containsText" dxfId="13" priority="1" operator="containsText" text="Early">
      <formula>NOT(ISERROR(SEARCH("Early",B20)))</formula>
    </cfRule>
  </conditionalFormatting>
  <pageMargins left="0.7" right="0.7" top="0.75" bottom="0.75" header="0.3" footer="0.3"/>
  <pageSetup scale="55" orientation="landscape" r:id="rId1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V43"/>
  <sheetViews>
    <sheetView showGridLines="0" view="pageBreakPreview" zoomScale="60" zoomScaleNormal="90" workbookViewId="0">
      <selection activeCell="C11" sqref="C11:F34"/>
    </sheetView>
  </sheetViews>
  <sheetFormatPr defaultColWidth="9.33203125" defaultRowHeight="12" x14ac:dyDescent="0.2"/>
  <cols>
    <col min="1" max="1" width="2.83203125" style="27" customWidth="1"/>
    <col min="2" max="2" width="23" style="27" customWidth="1"/>
    <col min="3" max="6" width="18.83203125" style="27" customWidth="1"/>
    <col min="7" max="7" width="4.6640625" style="27" customWidth="1"/>
    <col min="8" max="8" width="5.83203125" style="53" customWidth="1"/>
    <col min="9" max="9" width="11.6640625" style="237" customWidth="1"/>
    <col min="10" max="10" width="3.5" style="237" customWidth="1"/>
    <col min="11" max="11" width="17.1640625" style="237" customWidth="1"/>
    <col min="12" max="12" width="12.5" style="237" customWidth="1"/>
    <col min="13" max="13" width="11" style="237" customWidth="1"/>
    <col min="14" max="14" width="3.83203125" style="237" customWidth="1"/>
    <col min="15" max="16" width="12.5" style="237" customWidth="1"/>
    <col min="17" max="17" width="3.83203125" style="237" customWidth="1"/>
    <col min="18" max="19" width="12.5" style="237" customWidth="1"/>
    <col min="20" max="20" width="3.33203125" style="237" customWidth="1"/>
    <col min="21" max="22" width="12.5" style="237" customWidth="1"/>
    <col min="23" max="16384" width="9.33203125" style="27"/>
  </cols>
  <sheetData>
    <row r="1" spans="1:22" x14ac:dyDescent="0.2">
      <c r="A1" s="2"/>
      <c r="B1" s="2"/>
      <c r="C1" s="2"/>
      <c r="D1" s="2"/>
      <c r="E1" s="2"/>
      <c r="F1" s="2"/>
      <c r="G1" s="29"/>
      <c r="I1" s="236"/>
      <c r="J1" s="236"/>
    </row>
    <row r="2" spans="1:22" x14ac:dyDescent="0.2">
      <c r="A2" s="2"/>
      <c r="B2" s="2" t="s">
        <v>21</v>
      </c>
      <c r="C2" s="2"/>
      <c r="D2" s="2"/>
      <c r="E2" s="2"/>
      <c r="F2" s="2"/>
      <c r="G2" s="29"/>
      <c r="I2" s="236"/>
      <c r="J2" s="236"/>
    </row>
    <row r="3" spans="1:22" x14ac:dyDescent="0.2">
      <c r="G3" s="29"/>
      <c r="I3" s="236"/>
      <c r="J3" s="236"/>
    </row>
    <row r="4" spans="1:22" x14ac:dyDescent="0.2">
      <c r="A4" s="28"/>
      <c r="B4" s="48" t="s">
        <v>56</v>
      </c>
      <c r="C4" s="28"/>
      <c r="D4" s="28"/>
      <c r="E4" s="28"/>
      <c r="F4" s="28"/>
      <c r="G4" s="29"/>
      <c r="I4" s="238"/>
      <c r="J4" s="238"/>
      <c r="L4" s="239"/>
      <c r="O4" s="239"/>
      <c r="R4" s="239"/>
      <c r="U4" s="239"/>
    </row>
    <row r="5" spans="1:22" x14ac:dyDescent="0.2">
      <c r="A5" s="28"/>
      <c r="B5" s="28"/>
    </row>
    <row r="6" spans="1:22" x14ac:dyDescent="0.2">
      <c r="A6" s="28"/>
      <c r="B6" s="29" t="s">
        <v>32</v>
      </c>
      <c r="C6" s="30" t="s">
        <v>181</v>
      </c>
      <c r="D6" s="30"/>
      <c r="E6" s="30" t="s">
        <v>116</v>
      </c>
      <c r="F6" s="30"/>
      <c r="J6" s="240"/>
      <c r="L6" s="237" t="s">
        <v>182</v>
      </c>
      <c r="O6" s="237" t="s">
        <v>183</v>
      </c>
      <c r="R6" s="237" t="s">
        <v>184</v>
      </c>
      <c r="U6" s="237" t="s">
        <v>185</v>
      </c>
    </row>
    <row r="7" spans="1:22" ht="14.25" x14ac:dyDescent="0.35">
      <c r="A7" s="28"/>
      <c r="B7" s="29" t="s">
        <v>30</v>
      </c>
      <c r="C7" s="31" t="s">
        <v>10</v>
      </c>
      <c r="D7" s="31" t="s">
        <v>11</v>
      </c>
      <c r="E7" s="31" t="s">
        <v>10</v>
      </c>
      <c r="F7" s="31" t="s">
        <v>11</v>
      </c>
      <c r="H7" s="52"/>
      <c r="I7" s="241" t="s">
        <v>187</v>
      </c>
      <c r="J7" s="242"/>
      <c r="K7" s="243"/>
      <c r="L7" s="243" t="s">
        <v>186</v>
      </c>
      <c r="M7" s="243"/>
      <c r="O7" s="243" t="s">
        <v>186</v>
      </c>
      <c r="R7" s="243" t="s">
        <v>186</v>
      </c>
      <c r="U7" s="243" t="s">
        <v>186</v>
      </c>
    </row>
    <row r="8" spans="1:22" x14ac:dyDescent="0.2">
      <c r="A8" s="32"/>
      <c r="B8" s="33"/>
      <c r="C8" s="34"/>
      <c r="D8" s="34"/>
      <c r="E8" s="34"/>
      <c r="F8" s="34"/>
      <c r="H8" s="59"/>
      <c r="I8" s="244"/>
      <c r="J8" s="245"/>
      <c r="L8" s="246"/>
      <c r="O8" s="246"/>
      <c r="R8" s="246"/>
      <c r="U8" s="246"/>
    </row>
    <row r="9" spans="1:22" hidden="1" x14ac:dyDescent="0.2">
      <c r="A9" s="32"/>
      <c r="B9" s="33"/>
      <c r="C9" s="34"/>
      <c r="D9" s="34"/>
      <c r="E9" s="34"/>
      <c r="F9" s="34"/>
      <c r="H9" s="59"/>
      <c r="I9" s="244"/>
      <c r="J9" s="245"/>
      <c r="L9" s="246"/>
      <c r="O9" s="246"/>
      <c r="R9" s="246"/>
      <c r="U9" s="246"/>
    </row>
    <row r="10" spans="1:22" hidden="1" x14ac:dyDescent="0.2">
      <c r="A10" s="32"/>
      <c r="B10" s="131">
        <f>[4]SourceEnergy!$R$20</f>
        <v>2017</v>
      </c>
      <c r="C10" s="35">
        <f>INDEX([4]SourceEnergy!$S$20:$T$40,MATCH($B10,[4]SourceEnergy!$R$20:$R$40,0),MATCH(C$7,[4]SourceEnergy!$S$12:$T$12,0))/10</f>
        <v>0</v>
      </c>
      <c r="D10" s="35">
        <f>INDEX([4]SourceEnergy!$S$20:$T$40,MATCH($B10,[4]SourceEnergy!$R$20:$R$40,0),MATCH(D$7,[4]SourceEnergy!$S$12:$T$12,0))/10</f>
        <v>0</v>
      </c>
      <c r="E10" s="35">
        <f>INDEX([4]SourceEnergy!$U$20:$V$40,MATCH($B10,[4]SourceEnergy!$R$20:$R$40,0),MATCH(E$7,[4]SourceEnergy!$U$12:$V$12,0))/10</f>
        <v>0</v>
      </c>
      <c r="F10" s="35">
        <f>INDEX([4]SourceEnergy!$U$20:$V$40,MATCH($B10,[4]SourceEnergy!$R$20:$R$40,0),MATCH(F$7,[4]SourceEnergy!$U$12:$V$12,0))/10</f>
        <v>0</v>
      </c>
      <c r="H10" s="59"/>
      <c r="I10" s="244">
        <v>1</v>
      </c>
      <c r="J10" s="245"/>
      <c r="L10" s="260">
        <f>C10*1*$I10</f>
        <v>0</v>
      </c>
      <c r="M10" s="261">
        <f t="shared" ref="M10" si="0">M$34*$I10</f>
        <v>2.0913442970177329</v>
      </c>
      <c r="O10" s="260">
        <f>D10*1*$I10</f>
        <v>0</v>
      </c>
      <c r="P10" s="261">
        <f t="shared" ref="P10" si="1">P$34*$I10</f>
        <v>2.8959367573686872</v>
      </c>
      <c r="R10" s="260">
        <f>E10*1*$I10</f>
        <v>0</v>
      </c>
      <c r="S10" s="261">
        <f t="shared" ref="S10" si="2">S$34*$I10</f>
        <v>1.9128527546150251</v>
      </c>
      <c r="U10" s="260">
        <f>F10*1*$I10</f>
        <v>0</v>
      </c>
      <c r="V10" s="261">
        <f t="shared" ref="V10" si="3">V$34*$I10</f>
        <v>2.2210825806292429</v>
      </c>
    </row>
    <row r="11" spans="1:22" x14ac:dyDescent="0.2">
      <c r="A11" s="32"/>
      <c r="B11" s="131">
        <f>B10+1</f>
        <v>2018</v>
      </c>
      <c r="C11" s="35">
        <f>INDEX([4]SourceEnergy!$S$20:$T$40,MATCH($B11,[4]SourceEnergy!$R$20:$R$40,0),MATCH(C$7,[4]SourceEnergy!$S$12:$T$12,0))/10</f>
        <v>1.6864109894924042</v>
      </c>
      <c r="D11" s="35">
        <f>INDEX([4]SourceEnergy!$S$20:$T$40,MATCH($B11,[4]SourceEnergy!$R$20:$R$40,0),MATCH(D$7,[4]SourceEnergy!$S$12:$T$12,0))/10</f>
        <v>1.8256951425544101</v>
      </c>
      <c r="E11" s="35">
        <f>INDEX([4]SourceEnergy!$U$20:$V$40,MATCH($B11,[4]SourceEnergy!$R$20:$R$40,0),MATCH(E$7,[4]SourceEnergy!$U$12:$V$12,0))/10</f>
        <v>1.5902057229699942</v>
      </c>
      <c r="F11" s="35">
        <f>INDEX([4]SourceEnergy!$U$20:$V$40,MATCH($B11,[4]SourceEnergy!$R$20:$R$40,0),MATCH(F$7,[4]SourceEnergy!$U$12:$V$12,0))/10</f>
        <v>1.1275217787020291</v>
      </c>
      <c r="H11" s="59"/>
      <c r="I11" s="245">
        <f>I10-0.005</f>
        <v>0.995</v>
      </c>
      <c r="J11" s="245"/>
      <c r="L11" s="260">
        <f t="shared" ref="L11:L27" si="4">C11*1*$I11</f>
        <v>1.6779789345449421</v>
      </c>
      <c r="M11" s="261">
        <f>M$34*$I11</f>
        <v>2.0808875755326444</v>
      </c>
      <c r="O11" s="260">
        <f t="shared" ref="O11:O27" si="5">D11*1*$I11</f>
        <v>1.816566666841638</v>
      </c>
      <c r="P11" s="261">
        <f>P$34*$I11</f>
        <v>2.8814570735818439</v>
      </c>
      <c r="R11" s="260">
        <f t="shared" ref="R11:R27" si="6">E11*1*$I11</f>
        <v>1.5822546943551441</v>
      </c>
      <c r="S11" s="261">
        <f>S$34*$I11</f>
        <v>1.9032884908419501</v>
      </c>
      <c r="U11" s="260">
        <f t="shared" ref="U11:U27" si="7">F11*1*$I11</f>
        <v>1.1218841698085189</v>
      </c>
      <c r="V11" s="261">
        <f>V$34*$I11</f>
        <v>2.2099771677260969</v>
      </c>
    </row>
    <row r="12" spans="1:22" x14ac:dyDescent="0.2">
      <c r="A12" s="32"/>
      <c r="B12" s="131">
        <f t="shared" ref="B12:B27" si="8">B11+1</f>
        <v>2019</v>
      </c>
      <c r="C12" s="35">
        <f>INDEX([4]SourceEnergy!$S$20:$T$40,MATCH($B12,[4]SourceEnergy!$R$20:$R$40,0),MATCH(C$7,[4]SourceEnergy!$S$12:$T$12,0))/10</f>
        <v>1.6572646813767473</v>
      </c>
      <c r="D12" s="35">
        <f>INDEX([4]SourceEnergy!$S$20:$T$40,MATCH($B12,[4]SourceEnergy!$R$20:$R$40,0),MATCH(D$7,[4]SourceEnergy!$S$12:$T$12,0))/10</f>
        <v>1.8247756203461294</v>
      </c>
      <c r="E12" s="35">
        <f>INDEX([4]SourceEnergy!$U$20:$V$40,MATCH($B12,[4]SourceEnergy!$R$20:$R$40,0),MATCH(E$7,[4]SourceEnergy!$U$12:$V$12,0))/10</f>
        <v>1.4784038365918124</v>
      </c>
      <c r="F12" s="35">
        <f>INDEX([4]SourceEnergy!$U$20:$V$40,MATCH($B12,[4]SourceEnergy!$R$20:$R$40,0),MATCH(F$7,[4]SourceEnergy!$U$12:$V$12,0))/10</f>
        <v>1.1456020610761635</v>
      </c>
      <c r="H12" s="59"/>
      <c r="I12" s="245">
        <f t="shared" ref="I12:I27" si="9">I11-0.005</f>
        <v>0.99</v>
      </c>
      <c r="J12" s="245"/>
      <c r="L12" s="260">
        <f t="shared" si="4"/>
        <v>1.6406920345629799</v>
      </c>
      <c r="M12" s="261">
        <f t="shared" ref="M12:M27" si="10">M$34*$I12</f>
        <v>2.0704308540475558</v>
      </c>
      <c r="O12" s="260">
        <f t="shared" si="5"/>
        <v>1.8065278641426681</v>
      </c>
      <c r="P12" s="261">
        <f t="shared" ref="P12:P27" si="11">P$34*$I12</f>
        <v>2.8669773897950002</v>
      </c>
      <c r="R12" s="260">
        <f t="shared" si="6"/>
        <v>1.4636197982258943</v>
      </c>
      <c r="S12" s="261">
        <f t="shared" ref="S12:S27" si="12">S$34*$I12</f>
        <v>1.8937242270688748</v>
      </c>
      <c r="U12" s="260">
        <f t="shared" si="7"/>
        <v>1.1341460404654018</v>
      </c>
      <c r="V12" s="261">
        <f t="shared" ref="V12:V27" si="13">V$34*$I12</f>
        <v>2.1988717548229504</v>
      </c>
    </row>
    <row r="13" spans="1:22" x14ac:dyDescent="0.2">
      <c r="A13" s="32"/>
      <c r="B13" s="131">
        <f t="shared" si="8"/>
        <v>2020</v>
      </c>
      <c r="C13" s="35">
        <f>INDEX([4]SourceEnergy!$S$20:$T$40,MATCH($B13,[4]SourceEnergy!$R$20:$R$40,0),MATCH(C$7,[4]SourceEnergy!$S$12:$T$12,0))/10</f>
        <v>1.21147924497146</v>
      </c>
      <c r="D13" s="35">
        <f>INDEX([4]SourceEnergy!$S$20:$T$40,MATCH($B13,[4]SourceEnergy!$R$20:$R$40,0),MATCH(D$7,[4]SourceEnergy!$S$12:$T$12,0))/10</f>
        <v>1.9456290739263771</v>
      </c>
      <c r="E13" s="35">
        <f>INDEX([4]SourceEnergy!$U$20:$V$40,MATCH($B13,[4]SourceEnergy!$R$20:$R$40,0),MATCH(E$7,[4]SourceEnergy!$U$12:$V$12,0))/10</f>
        <v>1.031373777567435</v>
      </c>
      <c r="F13" s="35">
        <f>INDEX([4]SourceEnergy!$U$20:$V$40,MATCH($B13,[4]SourceEnergy!$R$20:$R$40,0),MATCH(F$7,[4]SourceEnergy!$U$12:$V$12,0))/10</f>
        <v>1.3620564566371232</v>
      </c>
      <c r="H13" s="59"/>
      <c r="I13" s="245">
        <f t="shared" si="9"/>
        <v>0.98499999999999999</v>
      </c>
      <c r="J13" s="245"/>
      <c r="L13" s="260">
        <f t="shared" si="4"/>
        <v>1.1933070562968882</v>
      </c>
      <c r="M13" s="261">
        <f t="shared" si="10"/>
        <v>2.0599741325624668</v>
      </c>
      <c r="O13" s="260">
        <f t="shared" si="5"/>
        <v>1.9164446378174813</v>
      </c>
      <c r="P13" s="261">
        <f t="shared" si="11"/>
        <v>2.8524977060081569</v>
      </c>
      <c r="R13" s="260">
        <f t="shared" si="6"/>
        <v>1.0159031709039235</v>
      </c>
      <c r="S13" s="261">
        <f t="shared" si="12"/>
        <v>1.8841599632957997</v>
      </c>
      <c r="U13" s="260">
        <f t="shared" si="7"/>
        <v>1.3416256097875663</v>
      </c>
      <c r="V13" s="261">
        <f t="shared" si="13"/>
        <v>2.1877663419198043</v>
      </c>
    </row>
    <row r="14" spans="1:22" x14ac:dyDescent="0.2">
      <c r="A14" s="32"/>
      <c r="B14" s="131">
        <f t="shared" si="8"/>
        <v>2021</v>
      </c>
      <c r="C14" s="35">
        <f>INDEX([4]SourceEnergy!$S$20:$T$40,MATCH($B14,[4]SourceEnergy!$R$20:$R$40,0),MATCH(C$7,[4]SourceEnergy!$S$12:$T$12,0))/10</f>
        <v>1.3815220250800351</v>
      </c>
      <c r="D14" s="35">
        <f>INDEX([4]SourceEnergy!$S$20:$T$40,MATCH($B14,[4]SourceEnergy!$R$20:$R$40,0),MATCH(D$7,[4]SourceEnergy!$S$12:$T$12,0))/10</f>
        <v>1.9045694678117999</v>
      </c>
      <c r="E14" s="35">
        <f>INDEX([4]SourceEnergy!$U$20:$V$40,MATCH($B14,[4]SourceEnergy!$R$20:$R$40,0),MATCH(E$7,[4]SourceEnergy!$U$12:$V$12,0))/10</f>
        <v>1.183922753639761</v>
      </c>
      <c r="F14" s="35">
        <f>INDEX([4]SourceEnergy!$U$20:$V$40,MATCH($B14,[4]SourceEnergy!$R$20:$R$40,0),MATCH(F$7,[4]SourceEnergy!$U$12:$V$12,0))/10</f>
        <v>1.3923328385338389</v>
      </c>
      <c r="H14" s="59"/>
      <c r="I14" s="245">
        <f t="shared" si="9"/>
        <v>0.98</v>
      </c>
      <c r="J14" s="245"/>
      <c r="L14" s="260">
        <f t="shared" si="4"/>
        <v>1.3538915845784343</v>
      </c>
      <c r="M14" s="261">
        <f t="shared" si="10"/>
        <v>2.0495174110773782</v>
      </c>
      <c r="O14" s="260">
        <f t="shared" si="5"/>
        <v>1.8664780784555639</v>
      </c>
      <c r="P14" s="261">
        <f t="shared" si="11"/>
        <v>2.8380180222213132</v>
      </c>
      <c r="R14" s="260">
        <f t="shared" si="6"/>
        <v>1.1602442985669656</v>
      </c>
      <c r="S14" s="261">
        <f t="shared" si="12"/>
        <v>1.8745956995227246</v>
      </c>
      <c r="U14" s="260">
        <f t="shared" si="7"/>
        <v>1.3644861817631622</v>
      </c>
      <c r="V14" s="261">
        <f t="shared" si="13"/>
        <v>2.1766609290166579</v>
      </c>
    </row>
    <row r="15" spans="1:22" x14ac:dyDescent="0.2">
      <c r="A15" s="32"/>
      <c r="B15" s="131">
        <f t="shared" si="8"/>
        <v>2022</v>
      </c>
      <c r="C15" s="35">
        <f>INDEX([4]SourceEnergy!$S$20:$T$40,MATCH($B15,[4]SourceEnergy!$R$20:$R$40,0),MATCH(C$7,[4]SourceEnergy!$S$12:$T$12,0))/10</f>
        <v>1.4594095459099403</v>
      </c>
      <c r="D15" s="35">
        <f>INDEX([4]SourceEnergy!$S$20:$T$40,MATCH($B15,[4]SourceEnergy!$R$20:$R$40,0),MATCH(D$7,[4]SourceEnergy!$S$12:$T$12,0))/10</f>
        <v>2.0385733294100241</v>
      </c>
      <c r="E15" s="35">
        <f>INDEX([4]SourceEnergy!$U$20:$V$40,MATCH($B15,[4]SourceEnergy!$R$20:$R$40,0),MATCH(E$7,[4]SourceEnergy!$U$12:$V$12,0))/10</f>
        <v>1.2701116552496068</v>
      </c>
      <c r="F15" s="35">
        <f>INDEX([4]SourceEnergy!$U$20:$V$40,MATCH($B15,[4]SourceEnergy!$R$20:$R$40,0),MATCH(F$7,[4]SourceEnergy!$U$12:$V$12,0))/10</f>
        <v>1.4550977702775563</v>
      </c>
      <c r="H15" s="59"/>
      <c r="I15" s="245">
        <f t="shared" si="9"/>
        <v>0.97499999999999998</v>
      </c>
      <c r="J15" s="245"/>
      <c r="L15" s="260">
        <f t="shared" si="4"/>
        <v>1.4229243072621918</v>
      </c>
      <c r="M15" s="261">
        <f t="shared" si="10"/>
        <v>2.0390606895922896</v>
      </c>
      <c r="O15" s="260">
        <f t="shared" si="5"/>
        <v>1.9876089961747734</v>
      </c>
      <c r="P15" s="261">
        <f t="shared" si="11"/>
        <v>2.8235383384344699</v>
      </c>
      <c r="R15" s="260">
        <f t="shared" si="6"/>
        <v>1.2383588638683667</v>
      </c>
      <c r="S15" s="261">
        <f t="shared" si="12"/>
        <v>1.8650314357496494</v>
      </c>
      <c r="U15" s="260">
        <f t="shared" si="7"/>
        <v>1.4187203260206174</v>
      </c>
      <c r="V15" s="261">
        <f t="shared" si="13"/>
        <v>2.1655555161135118</v>
      </c>
    </row>
    <row r="16" spans="1:22" x14ac:dyDescent="0.2">
      <c r="A16" s="32"/>
      <c r="B16" s="131">
        <f t="shared" si="8"/>
        <v>2023</v>
      </c>
      <c r="C16" s="35">
        <f>INDEX([4]SourceEnergy!$S$20:$T$40,MATCH($B16,[4]SourceEnergy!$R$20:$R$40,0),MATCH(C$7,[4]SourceEnergy!$S$12:$T$12,0))/10</f>
        <v>1.5222829216070051</v>
      </c>
      <c r="D16" s="35">
        <f>INDEX([4]SourceEnergy!$S$20:$T$40,MATCH($B16,[4]SourceEnergy!$R$20:$R$40,0),MATCH(D$7,[4]SourceEnergy!$S$12:$T$12,0))/10</f>
        <v>2.4064843683906978</v>
      </c>
      <c r="E16" s="35">
        <f>INDEX([4]SourceEnergy!$U$20:$V$40,MATCH($B16,[4]SourceEnergy!$R$20:$R$40,0),MATCH(E$7,[4]SourceEnergy!$U$12:$V$12,0))/10</f>
        <v>1.3351871252582508</v>
      </c>
      <c r="F16" s="35">
        <f>INDEX([4]SourceEnergy!$U$20:$V$40,MATCH($B16,[4]SourceEnergy!$R$20:$R$40,0),MATCH(F$7,[4]SourceEnergy!$U$12:$V$12,0))/10</f>
        <v>1.7672327982148848</v>
      </c>
      <c r="H16" s="59"/>
      <c r="I16" s="245">
        <f t="shared" si="9"/>
        <v>0.97</v>
      </c>
      <c r="J16" s="245"/>
      <c r="L16" s="260">
        <f t="shared" si="4"/>
        <v>1.4766144339587948</v>
      </c>
      <c r="M16" s="261">
        <f t="shared" si="10"/>
        <v>2.028603968107201</v>
      </c>
      <c r="O16" s="260">
        <f t="shared" si="5"/>
        <v>2.3342898373389769</v>
      </c>
      <c r="P16" s="261">
        <f t="shared" si="11"/>
        <v>2.8090586546476266</v>
      </c>
      <c r="R16" s="260">
        <f t="shared" si="6"/>
        <v>1.2951315115005033</v>
      </c>
      <c r="S16" s="261">
        <f t="shared" si="12"/>
        <v>1.8554671719765743</v>
      </c>
      <c r="U16" s="260">
        <f t="shared" si="7"/>
        <v>1.7142158142684383</v>
      </c>
      <c r="V16" s="261">
        <f t="shared" si="13"/>
        <v>2.1544501032103653</v>
      </c>
    </row>
    <row r="17" spans="1:22" x14ac:dyDescent="0.2">
      <c r="A17" s="32"/>
      <c r="B17" s="131">
        <f t="shared" si="8"/>
        <v>2024</v>
      </c>
      <c r="C17" s="35">
        <f>INDEX([4]SourceEnergy!$S$20:$T$40,MATCH($B17,[4]SourceEnergy!$R$20:$R$40,0),MATCH(C$7,[4]SourceEnergy!$S$12:$T$12,0))/10</f>
        <v>1.6131054347560709</v>
      </c>
      <c r="D17" s="35">
        <f>INDEX([4]SourceEnergy!$S$20:$T$40,MATCH($B17,[4]SourceEnergy!$R$20:$R$40,0),MATCH(D$7,[4]SourceEnergy!$S$12:$T$12,0))/10</f>
        <v>2.5998037390190349</v>
      </c>
      <c r="E17" s="35">
        <f>INDEX([4]SourceEnergy!$U$20:$V$40,MATCH($B17,[4]SourceEnergy!$R$20:$R$40,0),MATCH(E$7,[4]SourceEnergy!$U$12:$V$12,0))/10</f>
        <v>1.4559798281201197</v>
      </c>
      <c r="F17" s="35">
        <f>INDEX([4]SourceEnergy!$U$20:$V$40,MATCH($B17,[4]SourceEnergy!$R$20:$R$40,0),MATCH(F$7,[4]SourceEnergy!$U$12:$V$12,0))/10</f>
        <v>1.9367270935193273</v>
      </c>
      <c r="H17" s="59"/>
      <c r="I17" s="245">
        <f t="shared" si="9"/>
        <v>0.96499999999999997</v>
      </c>
      <c r="J17" s="245"/>
      <c r="L17" s="260">
        <f t="shared" si="4"/>
        <v>1.5566467445396084</v>
      </c>
      <c r="M17" s="261">
        <f t="shared" si="10"/>
        <v>2.0181472466221124</v>
      </c>
      <c r="O17" s="260">
        <f t="shared" si="5"/>
        <v>2.5088106081533685</v>
      </c>
      <c r="P17" s="261">
        <f t="shared" si="11"/>
        <v>2.7945789708607829</v>
      </c>
      <c r="R17" s="260">
        <f t="shared" si="6"/>
        <v>1.4050205341359154</v>
      </c>
      <c r="S17" s="261">
        <f t="shared" si="12"/>
        <v>1.8459029082034992</v>
      </c>
      <c r="U17" s="260">
        <f t="shared" si="7"/>
        <v>1.8689416452461507</v>
      </c>
      <c r="V17" s="261">
        <f t="shared" si="13"/>
        <v>2.1433446903072193</v>
      </c>
    </row>
    <row r="18" spans="1:22" x14ac:dyDescent="0.2">
      <c r="A18" s="32"/>
      <c r="B18" s="131">
        <f t="shared" si="8"/>
        <v>2025</v>
      </c>
      <c r="C18" s="35">
        <f>INDEX([4]SourceEnergy!$S$20:$T$40,MATCH($B18,[4]SourceEnergy!$R$20:$R$40,0),MATCH(C$7,[4]SourceEnergy!$S$12:$T$12,0))/10</f>
        <v>1.8801666479932861</v>
      </c>
      <c r="D18" s="35">
        <f>INDEX([4]SourceEnergy!$S$20:$T$40,MATCH($B18,[4]SourceEnergy!$R$20:$R$40,0),MATCH(D$7,[4]SourceEnergy!$S$12:$T$12,0))/10</f>
        <v>3.2419003044204673</v>
      </c>
      <c r="E18" s="35">
        <f>INDEX([4]SourceEnergy!$U$20:$V$40,MATCH($B18,[4]SourceEnergy!$R$20:$R$40,0),MATCH(E$7,[4]SourceEnergy!$U$12:$V$12,0))/10</f>
        <v>1.719335156094651</v>
      </c>
      <c r="F18" s="35">
        <f>INDEX([4]SourceEnergy!$U$20:$V$40,MATCH($B18,[4]SourceEnergy!$R$20:$R$40,0),MATCH(F$7,[4]SourceEnergy!$U$12:$V$12,0))/10</f>
        <v>2.5302286349465808</v>
      </c>
      <c r="H18" s="59"/>
      <c r="I18" s="245">
        <f t="shared" si="9"/>
        <v>0.96</v>
      </c>
      <c r="J18" s="245"/>
      <c r="L18" s="260">
        <f t="shared" si="4"/>
        <v>1.8049599820735547</v>
      </c>
      <c r="M18" s="261">
        <f t="shared" si="10"/>
        <v>2.0076905251370234</v>
      </c>
      <c r="O18" s="260">
        <f t="shared" si="5"/>
        <v>3.1122242922436483</v>
      </c>
      <c r="P18" s="261">
        <f t="shared" si="11"/>
        <v>2.7800992870739396</v>
      </c>
      <c r="R18" s="260">
        <f t="shared" si="6"/>
        <v>1.6505617498508649</v>
      </c>
      <c r="S18" s="261">
        <f t="shared" si="12"/>
        <v>1.8363386444304242</v>
      </c>
      <c r="U18" s="260">
        <f t="shared" si="7"/>
        <v>2.4290194895487174</v>
      </c>
      <c r="V18" s="261">
        <f t="shared" si="13"/>
        <v>2.1322392774040733</v>
      </c>
    </row>
    <row r="19" spans="1:22" x14ac:dyDescent="0.2">
      <c r="A19" s="32"/>
      <c r="B19" s="131">
        <f t="shared" si="8"/>
        <v>2026</v>
      </c>
      <c r="C19" s="35">
        <f>INDEX([4]SourceEnergy!$S$20:$T$40,MATCH($B19,[4]SourceEnergy!$R$20:$R$40,0),MATCH(C$7,[4]SourceEnergy!$S$12:$T$12,0))/10</f>
        <v>1.9403643855592125</v>
      </c>
      <c r="D19" s="35">
        <f>INDEX([4]SourceEnergy!$S$20:$T$40,MATCH($B19,[4]SourceEnergy!$R$20:$R$40,0),MATCH(D$7,[4]SourceEnergy!$S$12:$T$12,0))/10</f>
        <v>2.8994837794433748</v>
      </c>
      <c r="E19" s="35">
        <f>INDEX([4]SourceEnergy!$U$20:$V$40,MATCH($B19,[4]SourceEnergy!$R$20:$R$40,0),MATCH(E$7,[4]SourceEnergy!$U$12:$V$12,0))/10</f>
        <v>1.7605430455051831</v>
      </c>
      <c r="F19" s="35">
        <f>INDEX([4]SourceEnergy!$U$20:$V$40,MATCH($B19,[4]SourceEnergy!$R$20:$R$40,0),MATCH(F$7,[4]SourceEnergy!$U$12:$V$12,0))/10</f>
        <v>2.3301462637962964</v>
      </c>
      <c r="H19" s="59"/>
      <c r="I19" s="245">
        <f t="shared" si="9"/>
        <v>0.95499999999999996</v>
      </c>
      <c r="J19" s="245"/>
      <c r="L19" s="260">
        <f t="shared" si="4"/>
        <v>1.8530479882090478</v>
      </c>
      <c r="M19" s="261">
        <f t="shared" si="10"/>
        <v>1.9972338036519348</v>
      </c>
      <c r="O19" s="260">
        <f t="shared" si="5"/>
        <v>2.7690070093684227</v>
      </c>
      <c r="P19" s="261">
        <f t="shared" si="11"/>
        <v>2.7656196032870963</v>
      </c>
      <c r="R19" s="260">
        <f t="shared" si="6"/>
        <v>1.6813186084574498</v>
      </c>
      <c r="S19" s="261">
        <f t="shared" si="12"/>
        <v>1.8267743806573489</v>
      </c>
      <c r="U19" s="260">
        <f t="shared" si="7"/>
        <v>2.2252896819254628</v>
      </c>
      <c r="V19" s="261">
        <f t="shared" si="13"/>
        <v>2.1211338645009268</v>
      </c>
    </row>
    <row r="20" spans="1:22" x14ac:dyDescent="0.2">
      <c r="A20" s="32"/>
      <c r="B20" s="131">
        <f t="shared" si="8"/>
        <v>2027</v>
      </c>
      <c r="C20" s="35">
        <f>INDEX([4]SourceEnergy!$S$20:$T$40,MATCH($B20,[4]SourceEnergy!$R$20:$R$40,0),MATCH(C$7,[4]SourceEnergy!$S$12:$T$12,0))/10</f>
        <v>1.9960299973004798</v>
      </c>
      <c r="D20" s="35">
        <f>INDEX([4]SourceEnergy!$S$20:$T$40,MATCH($B20,[4]SourceEnergy!$R$20:$R$40,0),MATCH(D$7,[4]SourceEnergy!$S$12:$T$12,0))/10</f>
        <v>2.9959162896132971</v>
      </c>
      <c r="E20" s="35">
        <f>INDEX([4]SourceEnergy!$U$20:$V$40,MATCH($B20,[4]SourceEnergy!$R$20:$R$40,0),MATCH(E$7,[4]SourceEnergy!$U$12:$V$12,0))/10</f>
        <v>1.8414172458649554</v>
      </c>
      <c r="F20" s="35">
        <f>INDEX([4]SourceEnergy!$U$20:$V$40,MATCH($B20,[4]SourceEnergy!$R$20:$R$40,0),MATCH(F$7,[4]SourceEnergy!$U$12:$V$12,0))/10</f>
        <v>2.4357572085568773</v>
      </c>
      <c r="H20" s="59"/>
      <c r="I20" s="245">
        <f t="shared" si="9"/>
        <v>0.95</v>
      </c>
      <c r="J20" s="245"/>
      <c r="L20" s="260">
        <f t="shared" si="4"/>
        <v>1.8962284974354557</v>
      </c>
      <c r="M20" s="261">
        <f t="shared" si="10"/>
        <v>1.9867770821668462</v>
      </c>
      <c r="O20" s="260">
        <f t="shared" si="5"/>
        <v>2.8461204751326323</v>
      </c>
      <c r="P20" s="261">
        <f t="shared" si="11"/>
        <v>2.7511399195002526</v>
      </c>
      <c r="R20" s="260">
        <f t="shared" si="6"/>
        <v>1.7493463835717076</v>
      </c>
      <c r="S20" s="261">
        <f t="shared" si="12"/>
        <v>1.8172101168842738</v>
      </c>
      <c r="U20" s="260">
        <f t="shared" si="7"/>
        <v>2.3139693481290333</v>
      </c>
      <c r="V20" s="261">
        <f t="shared" si="13"/>
        <v>2.1100284515977807</v>
      </c>
    </row>
    <row r="21" spans="1:22" x14ac:dyDescent="0.2">
      <c r="A21" s="32"/>
      <c r="B21" s="131">
        <f t="shared" si="8"/>
        <v>2028</v>
      </c>
      <c r="C21" s="35">
        <f>INDEX([4]SourceEnergy!$S$20:$T$40,MATCH($B21,[4]SourceEnergy!$R$20:$R$40,0),MATCH(C$7,[4]SourceEnergy!$S$12:$T$12,0))/10</f>
        <v>2.5745786262770802</v>
      </c>
      <c r="D21" s="35">
        <f>INDEX([4]SourceEnergy!$S$20:$T$40,MATCH($B21,[4]SourceEnergy!$R$20:$R$40,0),MATCH(D$7,[4]SourceEnergy!$S$12:$T$12,0))/10</f>
        <v>3.5519668833502642</v>
      </c>
      <c r="E21" s="35">
        <f>INDEX([4]SourceEnergy!$U$20:$V$40,MATCH($B21,[4]SourceEnergy!$R$20:$R$40,0),MATCH(E$7,[4]SourceEnergy!$U$12:$V$12,0))/10</f>
        <v>2.4332966251542221</v>
      </c>
      <c r="F21" s="35">
        <f>INDEX([4]SourceEnergy!$U$20:$V$40,MATCH($B21,[4]SourceEnergy!$R$20:$R$40,0),MATCH(F$7,[4]SourceEnergy!$U$12:$V$12,0))/10</f>
        <v>3.0010415554289573</v>
      </c>
      <c r="H21" s="59"/>
      <c r="I21" s="245">
        <f t="shared" si="9"/>
        <v>0.94499999999999995</v>
      </c>
      <c r="J21" s="245"/>
      <c r="L21" s="260">
        <f t="shared" si="4"/>
        <v>2.4329768018318405</v>
      </c>
      <c r="M21" s="261">
        <f t="shared" si="10"/>
        <v>1.9763203606817574</v>
      </c>
      <c r="O21" s="260">
        <f t="shared" si="5"/>
        <v>3.3566087047659994</v>
      </c>
      <c r="P21" s="261">
        <f t="shared" si="11"/>
        <v>2.7366602357134093</v>
      </c>
      <c r="R21" s="260">
        <f t="shared" si="6"/>
        <v>2.2994653107707399</v>
      </c>
      <c r="S21" s="261">
        <f t="shared" si="12"/>
        <v>1.8076458531111987</v>
      </c>
      <c r="U21" s="260">
        <f t="shared" si="7"/>
        <v>2.8359842698803646</v>
      </c>
      <c r="V21" s="261">
        <f t="shared" si="13"/>
        <v>2.0989230386946343</v>
      </c>
    </row>
    <row r="22" spans="1:22" x14ac:dyDescent="0.2">
      <c r="A22" s="32"/>
      <c r="B22" s="131">
        <f t="shared" si="8"/>
        <v>2029</v>
      </c>
      <c r="C22" s="35">
        <f>INDEX([4]SourceEnergy!$S$20:$T$40,MATCH($B22,[4]SourceEnergy!$R$20:$R$40,0),MATCH(C$7,[4]SourceEnergy!$S$12:$T$12,0))/10</f>
        <v>2.7630827285164576</v>
      </c>
      <c r="D22" s="35">
        <f>INDEX([4]SourceEnergy!$S$20:$T$40,MATCH($B22,[4]SourceEnergy!$R$20:$R$40,0),MATCH(D$7,[4]SourceEnergy!$S$12:$T$12,0))/10</f>
        <v>3.9941809162122213</v>
      </c>
      <c r="E22" s="35">
        <f>INDEX([4]SourceEnergy!$U$20:$V$40,MATCH($B22,[4]SourceEnergy!$R$20:$R$40,0),MATCH(E$7,[4]SourceEnergy!$U$12:$V$12,0))/10</f>
        <v>2.6316024521423858</v>
      </c>
      <c r="F22" s="35">
        <f>INDEX([4]SourceEnergy!$U$20:$V$40,MATCH($B22,[4]SourceEnergy!$R$20:$R$40,0),MATCH(F$7,[4]SourceEnergy!$U$12:$V$12,0))/10</f>
        <v>3.3418418461082586</v>
      </c>
      <c r="H22" s="59"/>
      <c r="I22" s="245">
        <f t="shared" si="9"/>
        <v>0.94</v>
      </c>
      <c r="J22" s="245"/>
      <c r="L22" s="260">
        <f t="shared" si="4"/>
        <v>2.5972977648054703</v>
      </c>
      <c r="M22" s="261">
        <f t="shared" si="10"/>
        <v>1.9658636391966688</v>
      </c>
      <c r="O22" s="260">
        <f t="shared" si="5"/>
        <v>3.7545300612394876</v>
      </c>
      <c r="P22" s="261">
        <f t="shared" si="11"/>
        <v>2.7221805519265656</v>
      </c>
      <c r="R22" s="260">
        <f t="shared" si="6"/>
        <v>2.4737063050138426</v>
      </c>
      <c r="S22" s="261">
        <f t="shared" si="12"/>
        <v>1.7980815893381235</v>
      </c>
      <c r="U22" s="260">
        <f t="shared" si="7"/>
        <v>3.1413313353417629</v>
      </c>
      <c r="V22" s="261">
        <f t="shared" si="13"/>
        <v>2.0878176257914882</v>
      </c>
    </row>
    <row r="23" spans="1:22" x14ac:dyDescent="0.2">
      <c r="A23" s="32"/>
      <c r="B23" s="131">
        <f t="shared" si="8"/>
        <v>2030</v>
      </c>
      <c r="C23" s="35">
        <f>INDEX([4]SourceEnergy!$S$20:$T$40,MATCH($B23,[4]SourceEnergy!$R$20:$R$40,0),MATCH(C$7,[4]SourceEnergy!$S$12:$T$12,0))/10</f>
        <v>4.5150984424168552</v>
      </c>
      <c r="D23" s="35">
        <f>INDEX([4]SourceEnergy!$S$20:$T$40,MATCH($B23,[4]SourceEnergy!$R$20:$R$40,0),MATCH(D$7,[4]SourceEnergy!$S$12:$T$12,0))/10</f>
        <v>6.0039846745993612</v>
      </c>
      <c r="E23" s="35">
        <f>INDEX([4]SourceEnergy!$U$20:$V$40,MATCH($B23,[4]SourceEnergy!$R$20:$R$40,0),MATCH(E$7,[4]SourceEnergy!$U$12:$V$12,0))/10</f>
        <v>4.2305221397764239</v>
      </c>
      <c r="F23" s="35">
        <f>INDEX([4]SourceEnergy!$U$20:$V$40,MATCH($B23,[4]SourceEnergy!$R$20:$R$40,0),MATCH(F$7,[4]SourceEnergy!$U$12:$V$12,0))/10</f>
        <v>4.9181696957164807</v>
      </c>
      <c r="H23" s="59"/>
      <c r="I23" s="245">
        <f t="shared" si="9"/>
        <v>0.93499999999999994</v>
      </c>
      <c r="J23" s="245"/>
      <c r="L23" s="260">
        <f t="shared" si="4"/>
        <v>4.2216170436597595</v>
      </c>
      <c r="M23" s="261">
        <f t="shared" si="10"/>
        <v>1.9554069177115803</v>
      </c>
      <c r="O23" s="260">
        <f t="shared" si="5"/>
        <v>5.6137256707504024</v>
      </c>
      <c r="P23" s="261">
        <f t="shared" si="11"/>
        <v>2.7077008681397223</v>
      </c>
      <c r="R23" s="260">
        <f t="shared" si="6"/>
        <v>3.9555382006909561</v>
      </c>
      <c r="S23" s="261">
        <f t="shared" si="12"/>
        <v>1.7885173255650484</v>
      </c>
      <c r="U23" s="260">
        <f t="shared" si="7"/>
        <v>4.5984886654949095</v>
      </c>
      <c r="V23" s="261">
        <f t="shared" si="13"/>
        <v>2.0767122128883422</v>
      </c>
    </row>
    <row r="24" spans="1:22" x14ac:dyDescent="0.2">
      <c r="A24" s="32"/>
      <c r="B24" s="131">
        <f t="shared" si="8"/>
        <v>2031</v>
      </c>
      <c r="C24" s="35">
        <f>INDEX([4]SourceEnergy!$S$20:$T$40,MATCH($B24,[4]SourceEnergy!$R$20:$R$40,0),MATCH(C$7,[4]SourceEnergy!$S$12:$T$12,0))/10</f>
        <v>4.7109300143296435</v>
      </c>
      <c r="D24" s="35">
        <f>INDEX([4]SourceEnergy!$S$20:$T$40,MATCH($B24,[4]SourceEnergy!$R$20:$R$40,0),MATCH(D$7,[4]SourceEnergy!$S$12:$T$12,0))/10</f>
        <v>6.1031391150608272</v>
      </c>
      <c r="E24" s="35">
        <f>INDEX([4]SourceEnergy!$U$20:$V$40,MATCH($B24,[4]SourceEnergy!$R$20:$R$40,0),MATCH(E$7,[4]SourceEnergy!$U$12:$V$12,0))/10</f>
        <v>4.4354201739623251</v>
      </c>
      <c r="F24" s="35">
        <f>INDEX([4]SourceEnergy!$U$20:$V$40,MATCH($B24,[4]SourceEnergy!$R$20:$R$40,0),MATCH(F$7,[4]SourceEnergy!$U$12:$V$12,0))/10</f>
        <v>5.035083350235003</v>
      </c>
      <c r="H24" s="59"/>
      <c r="I24" s="245">
        <f t="shared" si="9"/>
        <v>0.92999999999999994</v>
      </c>
      <c r="J24" s="245"/>
      <c r="L24" s="260">
        <f t="shared" si="4"/>
        <v>4.3811649133265682</v>
      </c>
      <c r="M24" s="261">
        <f t="shared" si="10"/>
        <v>1.9449501962264915</v>
      </c>
      <c r="O24" s="260">
        <f t="shared" si="5"/>
        <v>5.6759193770065686</v>
      </c>
      <c r="P24" s="261">
        <f t="shared" si="11"/>
        <v>2.693221184352879</v>
      </c>
      <c r="R24" s="260">
        <f t="shared" si="6"/>
        <v>4.1249407617849618</v>
      </c>
      <c r="S24" s="261">
        <f t="shared" si="12"/>
        <v>1.7789530617919733</v>
      </c>
      <c r="U24" s="260">
        <f t="shared" si="7"/>
        <v>4.6826275157185524</v>
      </c>
      <c r="V24" s="261">
        <f t="shared" si="13"/>
        <v>2.0656067999851957</v>
      </c>
    </row>
    <row r="25" spans="1:22" x14ac:dyDescent="0.2">
      <c r="A25" s="32"/>
      <c r="B25" s="131">
        <f t="shared" si="8"/>
        <v>2032</v>
      </c>
      <c r="C25" s="35">
        <f>INDEX([4]SourceEnergy!$S$20:$T$40,MATCH($B25,[4]SourceEnergy!$R$20:$R$40,0),MATCH(C$7,[4]SourceEnergy!$S$12:$T$12,0))/10</f>
        <v>4.8299198669932739</v>
      </c>
      <c r="D25" s="35">
        <f>INDEX([4]SourceEnergy!$S$20:$T$40,MATCH($B25,[4]SourceEnergy!$R$20:$R$40,0),MATCH(D$7,[4]SourceEnergy!$S$12:$T$12,0))/10</f>
        <v>6.2359380911679017</v>
      </c>
      <c r="E25" s="35">
        <f>INDEX([4]SourceEnergy!$U$20:$V$40,MATCH($B25,[4]SourceEnergy!$R$20:$R$40,0),MATCH(E$7,[4]SourceEnergy!$U$12:$V$12,0))/10</f>
        <v>4.530846280490934</v>
      </c>
      <c r="F25" s="35">
        <f>INDEX([4]SourceEnergy!$U$20:$V$40,MATCH($B25,[4]SourceEnergy!$R$20:$R$40,0),MATCH(F$7,[4]SourceEnergy!$U$12:$V$12,0))/10</f>
        <v>5.2209295446936892</v>
      </c>
      <c r="H25" s="59"/>
      <c r="I25" s="245">
        <f t="shared" si="9"/>
        <v>0.92499999999999993</v>
      </c>
      <c r="J25" s="245"/>
      <c r="L25" s="260">
        <f t="shared" si="4"/>
        <v>4.4676758769687783</v>
      </c>
      <c r="M25" s="261">
        <f t="shared" si="10"/>
        <v>1.9344934747414029</v>
      </c>
      <c r="O25" s="260">
        <f t="shared" si="5"/>
        <v>5.7682427343303084</v>
      </c>
      <c r="P25" s="261">
        <f t="shared" si="11"/>
        <v>2.6787415005660353</v>
      </c>
      <c r="R25" s="260">
        <f t="shared" si="6"/>
        <v>4.1910328094541134</v>
      </c>
      <c r="S25" s="261">
        <f t="shared" si="12"/>
        <v>1.769388798018898</v>
      </c>
      <c r="U25" s="260">
        <f t="shared" si="7"/>
        <v>4.8293598288416622</v>
      </c>
      <c r="V25" s="261">
        <f t="shared" si="13"/>
        <v>2.0545013870820497</v>
      </c>
    </row>
    <row r="26" spans="1:22" x14ac:dyDescent="0.2">
      <c r="A26" s="32"/>
      <c r="B26" s="131">
        <f t="shared" si="8"/>
        <v>2033</v>
      </c>
      <c r="C26" s="35">
        <f>INDEX([4]SourceEnergy!$S$20:$T$40,MATCH($B26,[4]SourceEnergy!$R$20:$R$40,0),MATCH(C$7,[4]SourceEnergy!$S$12:$T$12,0))/10</f>
        <v>4.508406973959131</v>
      </c>
      <c r="D26" s="35">
        <f>INDEX([4]SourceEnergy!$S$20:$T$40,MATCH($B26,[4]SourceEnergy!$R$20:$R$40,0),MATCH(D$7,[4]SourceEnergy!$S$12:$T$12,0))/10</f>
        <v>5.8522425054641811</v>
      </c>
      <c r="E26" s="35">
        <f>INDEX([4]SourceEnergy!$U$20:$V$40,MATCH($B26,[4]SourceEnergy!$R$20:$R$40,0),MATCH(E$7,[4]SourceEnergy!$U$12:$V$12,0))/10</f>
        <v>4.2712941354831466</v>
      </c>
      <c r="F26" s="35">
        <f>INDEX([4]SourceEnergy!$U$20:$V$40,MATCH($B26,[4]SourceEnergy!$R$20:$R$40,0),MATCH(F$7,[4]SourceEnergy!$U$12:$V$12,0))/10</f>
        <v>4.9324636761871599</v>
      </c>
      <c r="H26" s="59"/>
      <c r="I26" s="245">
        <f t="shared" si="9"/>
        <v>0.91999999999999993</v>
      </c>
      <c r="J26" s="245"/>
      <c r="L26" s="260">
        <f t="shared" si="4"/>
        <v>4.1477344160424003</v>
      </c>
      <c r="M26" s="261">
        <f t="shared" si="10"/>
        <v>1.9240367532563141</v>
      </c>
      <c r="O26" s="260">
        <f t="shared" si="5"/>
        <v>5.384063105027046</v>
      </c>
      <c r="P26" s="261">
        <f t="shared" si="11"/>
        <v>2.664261816779192</v>
      </c>
      <c r="R26" s="260">
        <f t="shared" si="6"/>
        <v>3.9295906046444946</v>
      </c>
      <c r="S26" s="261">
        <f t="shared" si="12"/>
        <v>1.759824534245823</v>
      </c>
      <c r="U26" s="260">
        <f t="shared" si="7"/>
        <v>4.5378665820921871</v>
      </c>
      <c r="V26" s="261">
        <f t="shared" si="13"/>
        <v>2.0433959741789032</v>
      </c>
    </row>
    <row r="27" spans="1:22" x14ac:dyDescent="0.2">
      <c r="A27" s="32"/>
      <c r="B27" s="131">
        <f t="shared" si="8"/>
        <v>2034</v>
      </c>
      <c r="C27" s="35">
        <f>INDEX([4]SourceEnergy!$S$20:$T$40,MATCH($B27,[4]SourceEnergy!$R$20:$R$40,0),MATCH(C$7,[4]SourceEnergy!$S$12:$T$12,0))/10</f>
        <v>4.7191776500750899</v>
      </c>
      <c r="D27" s="35">
        <f>INDEX([4]SourceEnergy!$S$20:$T$40,MATCH($B27,[4]SourceEnergy!$R$20:$R$40,0),MATCH(D$7,[4]SourceEnergy!$S$12:$T$12,0))/10</f>
        <v>6.0354197142599109</v>
      </c>
      <c r="E27" s="35">
        <f>INDEX([4]SourceEnergy!$U$20:$V$40,MATCH($B27,[4]SourceEnergy!$R$20:$R$40,0),MATCH(E$7,[4]SourceEnergy!$U$12:$V$12,0))/10</f>
        <v>4.4414047434330781</v>
      </c>
      <c r="F27" s="35">
        <f>INDEX([4]SourceEnergy!$U$20:$V$40,MATCH($B27,[4]SourceEnergy!$R$20:$R$40,0),MATCH(F$7,[4]SourceEnergy!$U$12:$V$12,0))/10</f>
        <v>5.1020487629753593</v>
      </c>
      <c r="H27" s="59"/>
      <c r="I27" s="245">
        <f t="shared" si="9"/>
        <v>0.91499999999999992</v>
      </c>
      <c r="J27" s="245"/>
      <c r="L27" s="260">
        <f t="shared" si="4"/>
        <v>4.318047549818707</v>
      </c>
      <c r="M27" s="261">
        <f t="shared" si="10"/>
        <v>1.9135800317712255</v>
      </c>
      <c r="O27" s="260">
        <f t="shared" si="5"/>
        <v>5.5224090385478179</v>
      </c>
      <c r="P27" s="261">
        <f t="shared" si="11"/>
        <v>2.6497821329923483</v>
      </c>
      <c r="R27" s="260">
        <f t="shared" si="6"/>
        <v>4.0638853402412662</v>
      </c>
      <c r="S27" s="261">
        <f t="shared" si="12"/>
        <v>1.7502602704727479</v>
      </c>
      <c r="U27" s="260">
        <f t="shared" si="7"/>
        <v>4.6683746181224537</v>
      </c>
      <c r="V27" s="261">
        <f t="shared" si="13"/>
        <v>2.0322905612757571</v>
      </c>
    </row>
    <row r="28" spans="1:22" x14ac:dyDescent="0.2">
      <c r="A28" s="32"/>
      <c r="B28" s="131">
        <f t="shared" ref="B28:B30" si="14">B27+1</f>
        <v>2035</v>
      </c>
      <c r="C28" s="35">
        <f>INDEX([4]SourceEnergy!$S$20:$T$40,MATCH($B28,[4]SourceEnergy!$R$20:$R$40,0),MATCH(C$7,[4]SourceEnergy!$S$12:$T$12,0))/10</f>
        <v>5.0423694952115401</v>
      </c>
      <c r="D28" s="35">
        <f>INDEX([4]SourceEnergy!$S$20:$T$40,MATCH($B28,[4]SourceEnergy!$R$20:$R$40,0),MATCH(D$7,[4]SourceEnergy!$S$12:$T$12,0))/10</f>
        <v>6.4649729052166993</v>
      </c>
      <c r="E28" s="35">
        <f>INDEX([4]SourceEnergy!$U$20:$V$40,MATCH($B28,[4]SourceEnergy!$R$20:$R$40,0),MATCH(E$7,[4]SourceEnergy!$U$12:$V$12,0))/10</f>
        <v>4.7307512731548114</v>
      </c>
      <c r="F28" s="35">
        <f>INDEX([4]SourceEnergy!$U$20:$V$40,MATCH($B28,[4]SourceEnergy!$R$20:$R$40,0),MATCH(F$7,[4]SourceEnergy!$U$12:$V$12,0))/10</f>
        <v>5.4495677386027124</v>
      </c>
      <c r="H28" s="59"/>
      <c r="I28" s="245"/>
      <c r="J28" s="245"/>
      <c r="L28" s="246"/>
      <c r="O28" s="246"/>
      <c r="R28" s="246"/>
      <c r="U28" s="246"/>
    </row>
    <row r="29" spans="1:22" x14ac:dyDescent="0.2">
      <c r="A29" s="32"/>
      <c r="B29" s="131">
        <f t="shared" si="14"/>
        <v>2036</v>
      </c>
      <c r="C29" s="35">
        <f>INDEX([4]SourceEnergy!$S$20:$T$40,MATCH($B29,[4]SourceEnergy!$R$20:$R$40,0),MATCH(C$7,[4]SourceEnergy!$S$12:$T$12,0))/10</f>
        <v>5.3065886215082205</v>
      </c>
      <c r="D29" s="35">
        <f>INDEX([4]SourceEnergy!$S$20:$T$40,MATCH($B29,[4]SourceEnergy!$R$20:$R$40,0),MATCH(D$7,[4]SourceEnergy!$S$12:$T$12,0))/10</f>
        <v>7.0004412720396276</v>
      </c>
      <c r="E29" s="35">
        <f>INDEX([4]SourceEnergy!$U$20:$V$40,MATCH($B29,[4]SourceEnergy!$R$20:$R$40,0),MATCH(E$7,[4]SourceEnergy!$U$12:$V$12,0))/10</f>
        <v>4.9772887864455635</v>
      </c>
      <c r="F29" s="35">
        <f>INDEX([4]SourceEnergy!$U$20:$V$40,MATCH($B29,[4]SourceEnergy!$R$20:$R$40,0),MATCH(F$7,[4]SourceEnergy!$U$12:$V$12,0))/10</f>
        <v>5.8975418006857803</v>
      </c>
      <c r="H29" s="59"/>
      <c r="I29" s="245"/>
      <c r="J29" s="245"/>
      <c r="L29" s="246"/>
      <c r="O29" s="246"/>
      <c r="R29" s="246"/>
      <c r="U29" s="246"/>
    </row>
    <row r="30" spans="1:22" x14ac:dyDescent="0.2">
      <c r="A30" s="32"/>
      <c r="B30" s="131">
        <f t="shared" si="14"/>
        <v>2037</v>
      </c>
      <c r="C30" s="35">
        <f>INDEX([4]SourceEnergy!$S$20:$T$40,MATCH($B30,[4]SourceEnergy!$R$20:$R$40,0),MATCH(C$7,[4]SourceEnergy!$S$12:$T$12,0))/10</f>
        <v>5.4375475499345338</v>
      </c>
      <c r="D30" s="35">
        <f>INDEX([4]SourceEnergy!$S$20:$T$40,MATCH($B30,[4]SourceEnergy!$R$20:$R$40,0),MATCH(D$7,[4]SourceEnergy!$S$12:$T$12,0))/10</f>
        <v>7.1135494159241164</v>
      </c>
      <c r="E30" s="35">
        <f>INDEX([4]SourceEnergy!$U$20:$V$40,MATCH($B30,[4]SourceEnergy!$R$20:$R$40,0),MATCH(E$7,[4]SourceEnergy!$U$12:$V$12,0))/10</f>
        <v>5.1527433156686193</v>
      </c>
      <c r="F30" s="35">
        <f>INDEX([4]SourceEnergy!$U$20:$V$40,MATCH($B30,[4]SourceEnergy!$R$20:$R$40,0),MATCH(F$7,[4]SourceEnergy!$U$12:$V$12,0))/10</f>
        <v>6.02251140421461</v>
      </c>
      <c r="H30" s="59"/>
      <c r="I30" s="245"/>
      <c r="J30" s="245"/>
      <c r="L30" s="246"/>
      <c r="O30" s="246"/>
      <c r="R30" s="246"/>
      <c r="U30" s="246"/>
    </row>
    <row r="31" spans="1:22" x14ac:dyDescent="0.2">
      <c r="A31" s="32"/>
      <c r="B31" s="33"/>
      <c r="C31" s="35"/>
      <c r="D31" s="35"/>
      <c r="E31" s="35"/>
      <c r="F31" s="35"/>
      <c r="H31" s="59"/>
      <c r="I31" s="245"/>
      <c r="J31" s="245"/>
      <c r="L31" s="246"/>
      <c r="O31" s="246"/>
      <c r="R31" s="246"/>
      <c r="U31" s="246"/>
    </row>
    <row r="32" spans="1:22" x14ac:dyDescent="0.2">
      <c r="A32" s="32"/>
      <c r="C32" s="30" t="s">
        <v>181</v>
      </c>
      <c r="D32" s="30"/>
      <c r="E32" s="51" t="s">
        <v>31</v>
      </c>
      <c r="F32" s="51"/>
      <c r="I32" s="245"/>
      <c r="J32" s="245"/>
      <c r="L32" s="246"/>
      <c r="O32" s="246"/>
      <c r="R32" s="246"/>
      <c r="U32" s="246"/>
    </row>
    <row r="33" spans="1:22" ht="14.25" x14ac:dyDescent="0.35">
      <c r="A33" s="32"/>
      <c r="B33" s="38"/>
      <c r="C33" s="31" t="s">
        <v>10</v>
      </c>
      <c r="D33" s="31" t="s">
        <v>11</v>
      </c>
      <c r="E33" s="31" t="s">
        <v>10</v>
      </c>
      <c r="F33" s="31" t="s">
        <v>11</v>
      </c>
      <c r="I33" s="245"/>
      <c r="J33" s="245"/>
      <c r="K33" s="257"/>
      <c r="L33" s="257"/>
      <c r="M33" s="257"/>
      <c r="O33" s="246"/>
      <c r="R33" s="246"/>
      <c r="U33" s="246"/>
    </row>
    <row r="34" spans="1:22" ht="33.75" customHeight="1" x14ac:dyDescent="0.2">
      <c r="B34" s="39" t="s">
        <v>113</v>
      </c>
      <c r="C34" s="40">
        <f>M34</f>
        <v>2.0913442970177329</v>
      </c>
      <c r="D34" s="40">
        <f>P34</f>
        <v>2.8959367573686872</v>
      </c>
      <c r="E34" s="40">
        <f>S34</f>
        <v>1.9128527546150251</v>
      </c>
      <c r="F34" s="40">
        <f>V34</f>
        <v>2.2210825806292429</v>
      </c>
      <c r="I34" s="259">
        <f>-PMT('Table 3 Comparison'!$Q$37,COUNT(I11:I25),NPV('Table 3 Comparison'!$Q$37,I11:I25))</f>
        <v>0.96613384464478669</v>
      </c>
      <c r="J34" s="249"/>
      <c r="K34" s="257"/>
      <c r="L34" s="259">
        <f>-PMT('Table 3 Comparison'!$Q$37,COUNT(L11:L25),NPV('Table 3 Comparison'!$Q$37,L11:L25))</f>
        <v>2.020518506153691</v>
      </c>
      <c r="M34" s="258">
        <f>L34/$I34</f>
        <v>2.0913442970177329</v>
      </c>
      <c r="N34" s="252"/>
      <c r="O34" s="259">
        <f>-PMT('Table 3 Comparison'!$Q$37,COUNT(O11:O25),NPV('Table 3 Comparison'!$Q$37,O11:O25))</f>
        <v>2.7978625132447665</v>
      </c>
      <c r="P34" s="258">
        <f>O34/$I34</f>
        <v>2.8959367573686872</v>
      </c>
      <c r="Q34" s="252"/>
      <c r="R34" s="259">
        <f>-PMT('Table 3 Comparison'!$Q$37,COUNT(R11:R25),NPV('Table 3 Comparison'!$Q$37,R11:R25))</f>
        <v>1.8480717860555849</v>
      </c>
      <c r="S34" s="258">
        <f>R34/$I34</f>
        <v>1.9128527546150251</v>
      </c>
      <c r="T34" s="252"/>
      <c r="U34" s="259">
        <f>-PMT('Table 3 Comparison'!$Q$37,COUNT(U11:U25),NPV('Table 3 Comparison'!$Q$37,U11:U25))</f>
        <v>2.1458630528968947</v>
      </c>
      <c r="V34" s="258">
        <f>U34/$I34</f>
        <v>2.2210825806292429</v>
      </c>
    </row>
    <row r="35" spans="1:22" ht="24" hidden="1" x14ac:dyDescent="0.2">
      <c r="A35" s="38"/>
      <c r="B35" s="39" t="s">
        <v>114</v>
      </c>
      <c r="C35" s="40">
        <f t="shared" ref="C35:C36" si="15">M35</f>
        <v>2.2298188266710044</v>
      </c>
      <c r="D35" s="40">
        <f t="shared" ref="D35:D36" si="16">P35</f>
        <v>3.1302865344207706</v>
      </c>
      <c r="E35" s="40">
        <f t="shared" ref="E35:E36" si="17">S35</f>
        <v>2.0397789505988668</v>
      </c>
      <c r="F35" s="40">
        <f t="shared" ref="F35:F36" si="18">V35</f>
        <v>2.448673424547835</v>
      </c>
      <c r="I35" s="259">
        <f>-PMT('Table 3 Comparison'!$Q$37,COUNT(I12:I26),NPV('Table 3 Comparison'!$Q$37,I12:I26))</f>
        <v>0.96113384464478635</v>
      </c>
      <c r="J35" s="247"/>
      <c r="K35" s="248"/>
      <c r="L35" s="259">
        <f>-PMT('Table 3 Comparison'!$Q$37,COUNT(L12:L26),NPV('Table 3 Comparison'!$Q$37,L12:L26))</f>
        <v>2.143154341739629</v>
      </c>
      <c r="M35" s="258">
        <f>L35/$I35</f>
        <v>2.2298188266710044</v>
      </c>
      <c r="N35" s="248"/>
      <c r="O35" s="259">
        <f>-PMT('Table 3 Comparison'!$Q$37,COUNT(O12:O26),NPV('Table 3 Comparison'!$Q$37,O12:O26))</f>
        <v>3.0086243316676398</v>
      </c>
      <c r="P35" s="258">
        <f>O35/$I35</f>
        <v>3.1302865344207706</v>
      </c>
      <c r="Q35" s="248"/>
      <c r="R35" s="259">
        <f>-PMT('Table 3 Comparison'!$Q$37,COUNT(R12:R26),NPV('Table 3 Comparison'!$Q$37,R12:R26))</f>
        <v>1.9605005850145965</v>
      </c>
      <c r="S35" s="258">
        <f>R35/$I35</f>
        <v>2.0397789505988668</v>
      </c>
      <c r="T35" s="248"/>
      <c r="U35" s="259">
        <f>-PMT('Table 3 Comparison'!$Q$37,COUNT(U12:U26),NPV('Table 3 Comparison'!$Q$37,U12:U26))</f>
        <v>2.3535029028151757</v>
      </c>
      <c r="V35" s="258">
        <f>U35/$I35</f>
        <v>2.448673424547835</v>
      </c>
    </row>
    <row r="36" spans="1:22" ht="24" hidden="1" x14ac:dyDescent="0.2">
      <c r="B36" s="39" t="s">
        <v>115</v>
      </c>
      <c r="C36" s="40">
        <f t="shared" si="15"/>
        <v>2.3899997449202335</v>
      </c>
      <c r="D36" s="40">
        <f t="shared" si="16"/>
        <v>3.3892633994137573</v>
      </c>
      <c r="E36" s="40">
        <f t="shared" si="17"/>
        <v>2.1953318775829862</v>
      </c>
      <c r="F36" s="40">
        <f t="shared" si="18"/>
        <v>2.6977202668334561</v>
      </c>
      <c r="I36" s="259">
        <f>-PMT('Table 3 Comparison'!$Q$37,COUNT(I13:I27),NPV('Table 3 Comparison'!$Q$37,I13:I27))</f>
        <v>0.95613384464478635</v>
      </c>
      <c r="J36" s="247"/>
      <c r="K36" s="248"/>
      <c r="L36" s="259">
        <f>-PMT('Table 3 Comparison'!$Q$37,COUNT(L13:L27),NPV('Table 3 Comparison'!$Q$37,L13:L27))</f>
        <v>2.2851596448106415</v>
      </c>
      <c r="M36" s="258">
        <f>L36/$I36</f>
        <v>2.3899997449202335</v>
      </c>
      <c r="N36" s="248"/>
      <c r="O36" s="259">
        <f>-PMT('Table 3 Comparison'!$Q$37,COUNT(O13:O27),NPV('Table 3 Comparison'!$Q$37,O13:O27))</f>
        <v>3.2405894445953338</v>
      </c>
      <c r="P36" s="258">
        <f>O36/$I36</f>
        <v>3.3892633994137573</v>
      </c>
      <c r="Q36" s="248"/>
      <c r="R36" s="259">
        <f>-PMT('Table 3 Comparison'!$Q$37,COUNT(R13:R27),NPV('Table 3 Comparison'!$Q$37,R13:R27))</f>
        <v>2.0990311083846782</v>
      </c>
      <c r="S36" s="258">
        <f>R36/$I36</f>
        <v>2.1953318775829862</v>
      </c>
      <c r="T36" s="248"/>
      <c r="U36" s="259">
        <f>-PMT('Table 3 Comparison'!$Q$37,COUNT(U13:U27),NPV('Table 3 Comparison'!$Q$37,U13:U27))</f>
        <v>2.5793816505036311</v>
      </c>
      <c r="V36" s="258">
        <f>U36/$I36</f>
        <v>2.6977202668334561</v>
      </c>
    </row>
    <row r="37" spans="1:22" hidden="1" x14ac:dyDescent="0.2">
      <c r="B37" s="39"/>
      <c r="C37" s="40"/>
      <c r="D37" s="40"/>
      <c r="E37" s="40"/>
      <c r="F37" s="40"/>
      <c r="I37" s="249"/>
      <c r="J37" s="249"/>
      <c r="K37" s="250"/>
      <c r="L37" s="250"/>
      <c r="M37" s="251"/>
      <c r="N37" s="252"/>
      <c r="O37" s="250"/>
      <c r="P37" s="251"/>
      <c r="Q37" s="252"/>
      <c r="R37" s="250"/>
      <c r="S37" s="251"/>
      <c r="T37" s="252"/>
      <c r="U37" s="250"/>
      <c r="V37" s="251"/>
    </row>
    <row r="38" spans="1:22" ht="33" hidden="1" customHeight="1" x14ac:dyDescent="0.2">
      <c r="A38" s="42"/>
      <c r="B38" s="17"/>
      <c r="C38" s="17"/>
      <c r="D38" s="17"/>
      <c r="E38" s="17"/>
      <c r="F38" s="43"/>
      <c r="H38" s="59"/>
      <c r="K38" s="253"/>
      <c r="L38" s="254"/>
      <c r="M38" s="255"/>
      <c r="O38" s="254"/>
      <c r="P38" s="255"/>
      <c r="R38" s="254"/>
      <c r="S38" s="255"/>
      <c r="U38" s="254"/>
      <c r="V38" s="255"/>
    </row>
    <row r="39" spans="1:22" ht="12.75" hidden="1" x14ac:dyDescent="0.2">
      <c r="A39" s="42"/>
      <c r="B39" s="50"/>
      <c r="C39" s="50"/>
      <c r="D39" s="45"/>
      <c r="E39" s="45"/>
      <c r="F39" s="43"/>
      <c r="L39" s="256"/>
      <c r="O39" s="256"/>
      <c r="R39" s="256"/>
      <c r="U39" s="256"/>
    </row>
    <row r="40" spans="1:22" ht="12.75" hidden="1" x14ac:dyDescent="0.2">
      <c r="A40" s="32"/>
      <c r="B40" s="50"/>
      <c r="C40" s="50"/>
      <c r="D40" s="45"/>
      <c r="E40" s="45"/>
      <c r="F40" s="32"/>
      <c r="H40" s="55"/>
    </row>
    <row r="41" spans="1:22" ht="12.75" x14ac:dyDescent="0.2">
      <c r="A41" s="41"/>
      <c r="B41" s="50" t="s">
        <v>179</v>
      </c>
      <c r="C41" s="50"/>
      <c r="D41" s="45"/>
      <c r="E41" s="45"/>
      <c r="H41" s="61"/>
      <c r="K41" s="237" t="s">
        <v>189</v>
      </c>
      <c r="L41" s="244">
        <f>NPV('Table 3 Comparison'!$Q$37,L11:L25)</f>
        <v>18.507778314239861</v>
      </c>
      <c r="M41" s="244">
        <f>NPV('Table 3 Comparison'!$Q$37,M11:M25)</f>
        <v>18.507778314239857</v>
      </c>
      <c r="O41" s="244">
        <f>NPV('Table 3 Comparison'!$Q$37,O11:O25)</f>
        <v>25.628183553453336</v>
      </c>
      <c r="P41" s="244">
        <f>NPV('Table 3 Comparison'!$Q$37,P11:P25)</f>
        <v>25.628183553453329</v>
      </c>
      <c r="R41" s="244">
        <f>NPV('Table 3 Comparison'!$Q$37,R11:R25)</f>
        <v>16.928180969858619</v>
      </c>
      <c r="S41" s="244">
        <f>NPV('Table 3 Comparison'!$Q$37,S11:S25)</f>
        <v>16.928180969858616</v>
      </c>
      <c r="U41" s="244">
        <f>NPV('Table 3 Comparison'!$Q$37,U11:U25)</f>
        <v>19.655923741741148</v>
      </c>
      <c r="V41" s="244">
        <f>NPV('Table 3 Comparison'!$Q$37,V11:V25)</f>
        <v>19.655923741741141</v>
      </c>
    </row>
    <row r="42" spans="1:22" x14ac:dyDescent="0.2">
      <c r="A42" s="42"/>
      <c r="B42" s="49"/>
      <c r="K42" s="237" t="s">
        <v>188</v>
      </c>
      <c r="M42" s="237">
        <f>M41-L41</f>
        <v>0</v>
      </c>
      <c r="P42" s="237">
        <f>P41-O41</f>
        <v>0</v>
      </c>
      <c r="S42" s="237">
        <f>S41-R41</f>
        <v>0</v>
      </c>
      <c r="V42" s="237">
        <f>V41-U41</f>
        <v>0</v>
      </c>
    </row>
    <row r="43" spans="1:22" x14ac:dyDescent="0.2">
      <c r="B43" s="49"/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N44"/>
  <sheetViews>
    <sheetView showGridLines="0" view="pageBreakPreview" zoomScale="60" zoomScaleNormal="80" workbookViewId="0">
      <selection activeCell="C11" sqref="C11:F34"/>
    </sheetView>
  </sheetViews>
  <sheetFormatPr defaultColWidth="9.33203125" defaultRowHeight="12" x14ac:dyDescent="0.2"/>
  <cols>
    <col min="1" max="1" width="2.83203125" style="27" customWidth="1"/>
    <col min="2" max="2" width="22.1640625" style="27" customWidth="1"/>
    <col min="3" max="6" width="18.83203125" style="27" customWidth="1"/>
    <col min="7" max="7" width="4.6640625" style="27" customWidth="1"/>
    <col min="8" max="16384" width="9.33203125" style="27"/>
  </cols>
  <sheetData>
    <row r="1" spans="1:7" x14ac:dyDescent="0.2">
      <c r="A1" s="2"/>
      <c r="B1" s="2"/>
      <c r="C1" s="2"/>
      <c r="D1" s="2"/>
      <c r="E1" s="2"/>
      <c r="F1" s="2"/>
      <c r="G1" s="29"/>
    </row>
    <row r="2" spans="1:7" x14ac:dyDescent="0.2">
      <c r="A2" s="2"/>
      <c r="B2" s="2" t="s">
        <v>21</v>
      </c>
      <c r="C2" s="2"/>
      <c r="D2" s="2"/>
      <c r="E2" s="2"/>
      <c r="F2" s="2"/>
      <c r="G2" s="29"/>
    </row>
    <row r="3" spans="1:7" x14ac:dyDescent="0.2">
      <c r="G3" s="29"/>
    </row>
    <row r="4" spans="1:7" x14ac:dyDescent="0.2">
      <c r="A4" s="28"/>
      <c r="B4" s="48" t="s">
        <v>37</v>
      </c>
      <c r="C4" s="28"/>
      <c r="D4" s="28"/>
      <c r="E4" s="28"/>
      <c r="F4" s="28"/>
      <c r="G4" s="29"/>
    </row>
    <row r="5" spans="1:7" x14ac:dyDescent="0.2">
      <c r="A5" s="28"/>
      <c r="B5" s="28"/>
    </row>
    <row r="6" spans="1:7" x14ac:dyDescent="0.2">
      <c r="A6" s="28"/>
      <c r="B6" s="29" t="s">
        <v>32</v>
      </c>
      <c r="C6" s="30" t="s">
        <v>181</v>
      </c>
      <c r="D6" s="30"/>
      <c r="E6" s="30" t="s">
        <v>116</v>
      </c>
      <c r="F6" s="30"/>
    </row>
    <row r="7" spans="1:7" ht="14.25" x14ac:dyDescent="0.35">
      <c r="A7" s="28"/>
      <c r="B7" s="29" t="s">
        <v>30</v>
      </c>
      <c r="C7" s="31" t="s">
        <v>10</v>
      </c>
      <c r="D7" s="31" t="s">
        <v>11</v>
      </c>
      <c r="E7" s="31" t="s">
        <v>10</v>
      </c>
      <c r="F7" s="31" t="s">
        <v>11</v>
      </c>
    </row>
    <row r="8" spans="1:7" hidden="1" x14ac:dyDescent="0.2">
      <c r="A8" s="32"/>
      <c r="B8" s="33"/>
      <c r="C8" s="34"/>
      <c r="D8" s="34"/>
      <c r="E8" s="34"/>
      <c r="F8" s="34"/>
    </row>
    <row r="9" spans="1:7" hidden="1" x14ac:dyDescent="0.2">
      <c r="A9" s="32"/>
      <c r="B9" s="33"/>
      <c r="C9" s="34"/>
      <c r="D9" s="34"/>
      <c r="E9" s="34"/>
      <c r="F9" s="34"/>
    </row>
    <row r="10" spans="1:7" hidden="1" x14ac:dyDescent="0.2">
      <c r="A10" s="32"/>
      <c r="B10" s="131">
        <f>[6]SourceEnergy!$R$20</f>
        <v>2017</v>
      </c>
      <c r="C10" s="35">
        <f>INDEX([6]SourceEnergy!$S$20:$T$40,MATCH($B10,[6]SourceEnergy!$R$20:$R$40,0),MATCH(C$7,[6]SourceEnergy!$S$12:$T$12,0))/10</f>
        <v>0</v>
      </c>
      <c r="D10" s="35">
        <f>INDEX([6]SourceEnergy!$S$20:$T$40,MATCH($B10,[6]SourceEnergy!$R$20:$R$40,0),MATCH(D$7,[6]SourceEnergy!$S$12:$T$12,0))/10</f>
        <v>0</v>
      </c>
      <c r="E10" s="35">
        <f>INDEX([6]SourceEnergy!$U$20:$V$40,MATCH($B10,[6]SourceEnergy!$R$20:$R$40,0),MATCH(E$7,[6]SourceEnergy!$U$12:$V$12,0))/10</f>
        <v>0</v>
      </c>
      <c r="F10" s="35">
        <f>INDEX([6]SourceEnergy!$U$20:$V$40,MATCH($B10,[6]SourceEnergy!$R$20:$R$40,0),MATCH(F$7,[6]SourceEnergy!$U$12:$V$12,0))/10</f>
        <v>0</v>
      </c>
    </row>
    <row r="11" spans="1:7" x14ac:dyDescent="0.2">
      <c r="A11" s="32"/>
      <c r="B11" s="131">
        <f>B10+1</f>
        <v>2018</v>
      </c>
      <c r="C11" s="35">
        <f>INDEX([6]SourceEnergy!$S$20:$T$40,MATCH($B11,[6]SourceEnergy!$R$20:$R$40,0),MATCH(C$7,[6]SourceEnergy!$S$12:$T$12,0))/10</f>
        <v>1.6059782033784136</v>
      </c>
      <c r="D11" s="35">
        <f>INDEX([6]SourceEnergy!$S$20:$T$40,MATCH($B11,[6]SourceEnergy!$R$20:$R$40,0),MATCH(D$7,[6]SourceEnergy!$S$12:$T$12,0))/10</f>
        <v>1.9580765196782219</v>
      </c>
      <c r="E11" s="35">
        <f>INDEX([6]SourceEnergy!$U$20:$V$40,MATCH($B11,[6]SourceEnergy!$R$20:$R$40,0),MATCH(E$7,[6]SourceEnergy!$U$12:$V$12,0))/10</f>
        <v>1.4093564756299963</v>
      </c>
      <c r="F11" s="35">
        <f>INDEX([6]SourceEnergy!$U$20:$V$40,MATCH($B11,[6]SourceEnergy!$R$20:$R$40,0),MATCH(F$7,[6]SourceEnergy!$U$12:$V$12,0))/10</f>
        <v>1.2047583786893998</v>
      </c>
    </row>
    <row r="12" spans="1:7" x14ac:dyDescent="0.2">
      <c r="A12" s="32"/>
      <c r="B12" s="131">
        <f t="shared" ref="B12:B30" si="0">B11+1</f>
        <v>2019</v>
      </c>
      <c r="C12" s="35">
        <f>INDEX([6]SourceEnergy!$S$20:$T$40,MATCH($B12,[6]SourceEnergy!$R$20:$R$40,0),MATCH(C$7,[6]SourceEnergy!$S$12:$T$12,0))/10</f>
        <v>1.7276154162052522</v>
      </c>
      <c r="D12" s="35">
        <f>INDEX([6]SourceEnergy!$S$20:$T$40,MATCH($B12,[6]SourceEnergy!$R$20:$R$40,0),MATCH(D$7,[6]SourceEnergy!$S$12:$T$12,0))/10</f>
        <v>2.0578517796479225</v>
      </c>
      <c r="E12" s="35">
        <f>INDEX([6]SourceEnergy!$U$20:$V$40,MATCH($B12,[6]SourceEnergy!$R$20:$R$40,0),MATCH(E$7,[6]SourceEnergy!$U$12:$V$12,0))/10</f>
        <v>1.4518523430093826</v>
      </c>
      <c r="F12" s="35">
        <f>INDEX([6]SourceEnergy!$U$20:$V$40,MATCH($B12,[6]SourceEnergy!$R$20:$R$40,0),MATCH(F$7,[6]SourceEnergy!$U$12:$V$12,0))/10</f>
        <v>1.3067429324182043</v>
      </c>
    </row>
    <row r="13" spans="1:7" x14ac:dyDescent="0.2">
      <c r="A13" s="32"/>
      <c r="B13" s="131">
        <f t="shared" si="0"/>
        <v>2020</v>
      </c>
      <c r="C13" s="35">
        <f>INDEX([6]SourceEnergy!$S$20:$T$40,MATCH($B13,[6]SourceEnergy!$R$20:$R$40,0),MATCH(C$7,[6]SourceEnergy!$S$12:$T$12,0))/10</f>
        <v>1.3197028248383396</v>
      </c>
      <c r="D13" s="35">
        <f>INDEX([6]SourceEnergy!$S$20:$T$40,MATCH($B13,[6]SourceEnergy!$R$20:$R$40,0),MATCH(D$7,[6]SourceEnergy!$S$12:$T$12,0))/10</f>
        <v>1.6774784528168911</v>
      </c>
      <c r="E13" s="35">
        <f>INDEX([6]SourceEnergy!$U$20:$V$40,MATCH($B13,[6]SourceEnergy!$R$20:$R$40,0),MATCH(E$7,[6]SourceEnergy!$U$12:$V$12,0))/10</f>
        <v>1.1344000688897182</v>
      </c>
      <c r="F13" s="35">
        <f>INDEX([6]SourceEnergy!$U$20:$V$40,MATCH($B13,[6]SourceEnergy!$R$20:$R$40,0),MATCH(F$7,[6]SourceEnergy!$U$12:$V$12,0))/10</f>
        <v>1.1733245004840662</v>
      </c>
    </row>
    <row r="14" spans="1:7" x14ac:dyDescent="0.2">
      <c r="A14" s="32"/>
      <c r="B14" s="131">
        <f t="shared" si="0"/>
        <v>2021</v>
      </c>
      <c r="C14" s="35">
        <f>INDEX([6]SourceEnergy!$S$20:$T$40,MATCH($B14,[6]SourceEnergy!$R$20:$R$40,0),MATCH(C$7,[6]SourceEnergy!$S$12:$T$12,0))/10</f>
        <v>1.0869431022115112</v>
      </c>
      <c r="D14" s="35">
        <f>INDEX([6]SourceEnergy!$S$20:$T$40,MATCH($B14,[6]SourceEnergy!$R$20:$R$40,0),MATCH(D$7,[6]SourceEnergy!$S$12:$T$12,0))/10</f>
        <v>1.3043357503079869</v>
      </c>
      <c r="E14" s="35">
        <f>INDEX([6]SourceEnergy!$U$20:$V$40,MATCH($B14,[6]SourceEnergy!$R$20:$R$40,0),MATCH(E$7,[6]SourceEnergy!$U$12:$V$12,0))/10</f>
        <v>0.91965676662191354</v>
      </c>
      <c r="F14" s="35">
        <f>INDEX([6]SourceEnergy!$U$20:$V$40,MATCH($B14,[6]SourceEnergy!$R$20:$R$40,0),MATCH(F$7,[6]SourceEnergy!$U$12:$V$12,0))/10</f>
        <v>0.95218174112847842</v>
      </c>
    </row>
    <row r="15" spans="1:7" x14ac:dyDescent="0.2">
      <c r="A15" s="32"/>
      <c r="B15" s="131">
        <f t="shared" si="0"/>
        <v>2022</v>
      </c>
      <c r="C15" s="35">
        <f>INDEX([6]SourceEnergy!$S$20:$T$40,MATCH($B15,[6]SourceEnergy!$R$20:$R$40,0),MATCH(C$7,[6]SourceEnergy!$S$12:$T$12,0))/10</f>
        <v>1.4862834472849484</v>
      </c>
      <c r="D15" s="35">
        <f>INDEX([6]SourceEnergy!$S$20:$T$40,MATCH($B15,[6]SourceEnergy!$R$20:$R$40,0),MATCH(D$7,[6]SourceEnergy!$S$12:$T$12,0))/10</f>
        <v>1.8821979505704838</v>
      </c>
      <c r="E15" s="35">
        <f>INDEX([6]SourceEnergy!$U$20:$V$40,MATCH($B15,[6]SourceEnergy!$R$20:$R$40,0),MATCH(E$7,[6]SourceEnergy!$U$12:$V$12,0))/10</f>
        <v>1.2722556937307998</v>
      </c>
      <c r="F15" s="35">
        <f>INDEX([6]SourceEnergy!$U$20:$V$40,MATCH($B15,[6]SourceEnergy!$R$20:$R$40,0),MATCH(F$7,[6]SourceEnergy!$U$12:$V$12,0))/10</f>
        <v>1.3471853284959929</v>
      </c>
    </row>
    <row r="16" spans="1:7" x14ac:dyDescent="0.2">
      <c r="A16" s="32"/>
      <c r="B16" s="131">
        <f t="shared" si="0"/>
        <v>2023</v>
      </c>
      <c r="C16" s="35">
        <f>INDEX([6]SourceEnergy!$S$20:$T$40,MATCH($B16,[6]SourceEnergy!$R$20:$R$40,0),MATCH(C$7,[6]SourceEnergy!$S$12:$T$12,0))/10</f>
        <v>1.0793620735221814</v>
      </c>
      <c r="D16" s="35">
        <f>INDEX([6]SourceEnergy!$S$20:$T$40,MATCH($B16,[6]SourceEnergy!$R$20:$R$40,0),MATCH(D$7,[6]SourceEnergy!$S$12:$T$12,0))/10</f>
        <v>1.3769944189922572</v>
      </c>
      <c r="E16" s="35">
        <f>INDEX([6]SourceEnergy!$U$20:$V$40,MATCH($B16,[6]SourceEnergy!$R$20:$R$40,0),MATCH(E$7,[6]SourceEnergy!$U$12:$V$12,0))/10</f>
        <v>0.94796122620735779</v>
      </c>
      <c r="F16" s="35">
        <f>INDEX([6]SourceEnergy!$U$20:$V$40,MATCH($B16,[6]SourceEnergy!$R$20:$R$40,0),MATCH(F$7,[6]SourceEnergy!$U$12:$V$12,0))/10</f>
        <v>0.98812960333935185</v>
      </c>
    </row>
    <row r="17" spans="1:14" x14ac:dyDescent="0.2">
      <c r="A17" s="32"/>
      <c r="B17" s="131">
        <f t="shared" si="0"/>
        <v>2024</v>
      </c>
      <c r="C17" s="35">
        <f>INDEX([6]SourceEnergy!$S$20:$T$40,MATCH($B17,[6]SourceEnergy!$R$20:$R$40,0),MATCH(C$7,[6]SourceEnergy!$S$12:$T$12,0))/10</f>
        <v>1.2774633699891551</v>
      </c>
      <c r="D17" s="35">
        <f>INDEX([6]SourceEnergy!$S$20:$T$40,MATCH($B17,[6]SourceEnergy!$R$20:$R$40,0),MATCH(D$7,[6]SourceEnergy!$S$12:$T$12,0))/10</f>
        <v>1.6734396967046288</v>
      </c>
      <c r="E17" s="35">
        <f>INDEX([6]SourceEnergy!$U$20:$V$40,MATCH($B17,[6]SourceEnergy!$R$20:$R$40,0),MATCH(E$7,[6]SourceEnergy!$U$12:$V$12,0))/10</f>
        <v>1.1436567278346712</v>
      </c>
      <c r="F17" s="35">
        <f>INDEX([6]SourceEnergy!$U$20:$V$40,MATCH($B17,[6]SourceEnergy!$R$20:$R$40,0),MATCH(F$7,[6]SourceEnergy!$U$12:$V$12,0))/10</f>
        <v>1.2660018730009974</v>
      </c>
    </row>
    <row r="18" spans="1:14" x14ac:dyDescent="0.2">
      <c r="A18" s="32"/>
      <c r="B18" s="131">
        <f t="shared" si="0"/>
        <v>2025</v>
      </c>
      <c r="C18" s="35">
        <f>INDEX([6]SourceEnergy!$S$20:$T$40,MATCH($B18,[6]SourceEnergy!$R$20:$R$40,0),MATCH(C$7,[6]SourceEnergy!$S$12:$T$12,0))/10</f>
        <v>1.1463764053764993</v>
      </c>
      <c r="D18" s="35">
        <f>INDEX([6]SourceEnergy!$S$20:$T$40,MATCH($B18,[6]SourceEnergy!$R$20:$R$40,0),MATCH(D$7,[6]SourceEnergy!$S$12:$T$12,0))/10</f>
        <v>1.5270454796951443</v>
      </c>
      <c r="E18" s="35">
        <f>INDEX([6]SourceEnergy!$U$20:$V$40,MATCH($B18,[6]SourceEnergy!$R$20:$R$40,0),MATCH(E$7,[6]SourceEnergy!$U$12:$V$12,0))/10</f>
        <v>1.0486929980890003</v>
      </c>
      <c r="F18" s="35">
        <f>INDEX([6]SourceEnergy!$U$20:$V$40,MATCH($B18,[6]SourceEnergy!$R$20:$R$40,0),MATCH(F$7,[6]SourceEnergy!$U$12:$V$12,0))/10</f>
        <v>1.2053305785552626</v>
      </c>
    </row>
    <row r="19" spans="1:14" x14ac:dyDescent="0.2">
      <c r="A19" s="32"/>
      <c r="B19" s="131">
        <f t="shared" si="0"/>
        <v>2026</v>
      </c>
      <c r="C19" s="35">
        <f>INDEX([6]SourceEnergy!$S$20:$T$40,MATCH($B19,[6]SourceEnergy!$R$20:$R$40,0),MATCH(C$7,[6]SourceEnergy!$S$12:$T$12,0))/10</f>
        <v>1.3309787968893751</v>
      </c>
      <c r="D19" s="35">
        <f>INDEX([6]SourceEnergy!$S$20:$T$40,MATCH($B19,[6]SourceEnergy!$R$20:$R$40,0),MATCH(D$7,[6]SourceEnergy!$S$12:$T$12,0))/10</f>
        <v>1.7344722928821337</v>
      </c>
      <c r="E19" s="35">
        <f>INDEX([6]SourceEnergy!$U$20:$V$40,MATCH($B19,[6]SourceEnergy!$R$20:$R$40,0),MATCH(E$7,[6]SourceEnergy!$U$12:$V$12,0))/10</f>
        <v>1.2192826827578844</v>
      </c>
      <c r="F19" s="35">
        <f>INDEX([6]SourceEnergy!$U$20:$V$40,MATCH($B19,[6]SourceEnergy!$R$20:$R$40,0),MATCH(F$7,[6]SourceEnergy!$U$12:$V$12,0))/10</f>
        <v>1.3838387261910143</v>
      </c>
    </row>
    <row r="20" spans="1:14" x14ac:dyDescent="0.2">
      <c r="A20" s="32"/>
      <c r="B20" s="131">
        <f t="shared" si="0"/>
        <v>2027</v>
      </c>
      <c r="C20" s="35">
        <f>INDEX([6]SourceEnergy!$S$20:$T$40,MATCH($B20,[6]SourceEnergy!$R$20:$R$40,0),MATCH(C$7,[6]SourceEnergy!$S$12:$T$12,0))/10</f>
        <v>1.3188399770807608</v>
      </c>
      <c r="D20" s="35">
        <f>INDEX([6]SourceEnergy!$S$20:$T$40,MATCH($B20,[6]SourceEnergy!$R$20:$R$40,0),MATCH(D$7,[6]SourceEnergy!$S$12:$T$12,0))/10</f>
        <v>1.7364227585286343</v>
      </c>
      <c r="E20" s="35">
        <f>INDEX([6]SourceEnergy!$U$20:$V$40,MATCH($B20,[6]SourceEnergy!$R$20:$R$40,0),MATCH(E$7,[6]SourceEnergy!$U$12:$V$12,0))/10</f>
        <v>1.21126131714353</v>
      </c>
      <c r="F20" s="35">
        <f>INDEX([6]SourceEnergy!$U$20:$V$40,MATCH($B20,[6]SourceEnergy!$R$20:$R$40,0),MATCH(F$7,[6]SourceEnergy!$U$12:$V$12,0))/10</f>
        <v>1.398425058729647</v>
      </c>
      <c r="H20" s="36"/>
    </row>
    <row r="21" spans="1:14" x14ac:dyDescent="0.2">
      <c r="A21" s="32"/>
      <c r="B21" s="131">
        <f t="shared" si="0"/>
        <v>2028</v>
      </c>
      <c r="C21" s="35">
        <f>INDEX([6]SourceEnergy!$S$20:$T$40,MATCH($B21,[6]SourceEnergy!$R$20:$R$40,0),MATCH(C$7,[6]SourceEnergy!$S$12:$T$12,0))/10</f>
        <v>0.82134891625139272</v>
      </c>
      <c r="D21" s="35">
        <f>INDEX([6]SourceEnergy!$S$20:$T$40,MATCH($B21,[6]SourceEnergy!$R$20:$R$40,0),MATCH(D$7,[6]SourceEnergy!$S$12:$T$12,0))/10</f>
        <v>1.0683838477867023</v>
      </c>
      <c r="E21" s="35">
        <f>INDEX([6]SourceEnergy!$U$20:$V$40,MATCH($B21,[6]SourceEnergy!$R$20:$R$40,0),MATCH(E$7,[6]SourceEnergy!$U$12:$V$12,0))/10</f>
        <v>0.7657532261462362</v>
      </c>
      <c r="F21" s="35">
        <f>INDEX([6]SourceEnergy!$U$20:$V$40,MATCH($B21,[6]SourceEnergy!$R$20:$R$40,0),MATCH(F$7,[6]SourceEnergy!$U$12:$V$12,0))/10</f>
        <v>0.87278078963524908</v>
      </c>
    </row>
    <row r="22" spans="1:14" x14ac:dyDescent="0.2">
      <c r="A22" s="32"/>
      <c r="B22" s="131">
        <f t="shared" si="0"/>
        <v>2029</v>
      </c>
      <c r="C22" s="35">
        <f>INDEX([6]SourceEnergy!$S$20:$T$40,MATCH($B22,[6]SourceEnergy!$R$20:$R$40,0),MATCH(C$7,[6]SourceEnergy!$S$12:$T$12,0))/10</f>
        <v>0.62532710318762541</v>
      </c>
      <c r="D22" s="35">
        <f>INDEX([6]SourceEnergy!$S$20:$T$40,MATCH($B22,[6]SourceEnergy!$R$20:$R$40,0),MATCH(D$7,[6]SourceEnergy!$S$12:$T$12,0))/10</f>
        <v>0.80132088322990713</v>
      </c>
      <c r="E22" s="35">
        <f>INDEX([6]SourceEnergy!$U$20:$V$40,MATCH($B22,[6]SourceEnergy!$R$20:$R$40,0),MATCH(E$7,[6]SourceEnergy!$U$12:$V$12,0))/10</f>
        <v>0.57791773030384741</v>
      </c>
      <c r="F22" s="35">
        <f>INDEX([6]SourceEnergy!$U$20:$V$40,MATCH($B22,[6]SourceEnergy!$R$20:$R$40,0),MATCH(F$7,[6]SourceEnergy!$U$12:$V$12,0))/10</f>
        <v>0.65697523533920466</v>
      </c>
    </row>
    <row r="23" spans="1:14" x14ac:dyDescent="0.2">
      <c r="A23" s="32"/>
      <c r="B23" s="131">
        <f t="shared" si="0"/>
        <v>2030</v>
      </c>
      <c r="C23" s="35">
        <f>INDEX([6]SourceEnergy!$S$20:$T$40,MATCH($B23,[6]SourceEnergy!$R$20:$R$40,0),MATCH(C$7,[6]SourceEnergy!$S$12:$T$12,0))/10</f>
        <v>1.4876459950175356</v>
      </c>
      <c r="D23" s="35">
        <f>INDEX([6]SourceEnergy!$S$20:$T$40,MATCH($B23,[6]SourceEnergy!$R$20:$R$40,0),MATCH(D$7,[6]SourceEnergy!$S$12:$T$12,0))/10</f>
        <v>1.9270816240201729</v>
      </c>
      <c r="E23" s="35">
        <f>INDEX([6]SourceEnergy!$U$20:$V$40,MATCH($B23,[6]SourceEnergy!$R$20:$R$40,0),MATCH(E$7,[6]SourceEnergy!$U$12:$V$12,0))/10</f>
        <v>1.3786254053271469</v>
      </c>
      <c r="F23" s="35">
        <f>INDEX([6]SourceEnergy!$U$20:$V$40,MATCH($B23,[6]SourceEnergy!$R$20:$R$40,0),MATCH(F$7,[6]SourceEnergy!$U$12:$V$12,0))/10</f>
        <v>1.5907754220408552</v>
      </c>
    </row>
    <row r="24" spans="1:14" x14ac:dyDescent="0.2">
      <c r="A24" s="32"/>
      <c r="B24" s="131">
        <f t="shared" si="0"/>
        <v>2031</v>
      </c>
      <c r="C24" s="35">
        <f>INDEX([6]SourceEnergy!$S$20:$T$40,MATCH($B24,[6]SourceEnergy!$R$20:$R$40,0),MATCH(C$7,[6]SourceEnergy!$S$12:$T$12,0))/10</f>
        <v>5.6545833722914676</v>
      </c>
      <c r="D24" s="35">
        <f>INDEX([6]SourceEnergy!$S$20:$T$40,MATCH($B24,[6]SourceEnergy!$R$20:$R$40,0),MATCH(D$7,[6]SourceEnergy!$S$12:$T$12,0))/10</f>
        <v>7.1737727474425368</v>
      </c>
      <c r="E24" s="35">
        <f>INDEX([6]SourceEnergy!$U$20:$V$40,MATCH($B24,[6]SourceEnergy!$R$20:$R$40,0),MATCH(E$7,[6]SourceEnergy!$U$12:$V$12,0))/10</f>
        <v>5.2739105637040167</v>
      </c>
      <c r="F24" s="35">
        <f>INDEX([6]SourceEnergy!$U$20:$V$40,MATCH($B24,[6]SourceEnergy!$R$20:$R$40,0),MATCH(F$7,[6]SourceEnergy!$U$12:$V$12,0))/10</f>
        <v>5.926764675740622</v>
      </c>
    </row>
    <row r="25" spans="1:14" x14ac:dyDescent="0.2">
      <c r="A25" s="32"/>
      <c r="B25" s="131">
        <f t="shared" si="0"/>
        <v>2032</v>
      </c>
      <c r="C25" s="35">
        <f>INDEX([6]SourceEnergy!$S$20:$T$40,MATCH($B25,[6]SourceEnergy!$R$20:$R$40,0),MATCH(C$7,[6]SourceEnergy!$S$12:$T$12,0))/10</f>
        <v>5.7385890272736102</v>
      </c>
      <c r="D25" s="35">
        <f>INDEX([6]SourceEnergy!$S$20:$T$40,MATCH($B25,[6]SourceEnergy!$R$20:$R$40,0),MATCH(D$7,[6]SourceEnergy!$S$12:$T$12,0))/10</f>
        <v>7.2831003725260546</v>
      </c>
      <c r="E25" s="35">
        <f>INDEX([6]SourceEnergy!$U$20:$V$40,MATCH($B25,[6]SourceEnergy!$R$20:$R$40,0),MATCH(E$7,[6]SourceEnergy!$U$12:$V$12,0))/10</f>
        <v>5.3637041845495395</v>
      </c>
      <c r="F25" s="35">
        <f>INDEX([6]SourceEnergy!$U$20:$V$40,MATCH($B25,[6]SourceEnergy!$R$20:$R$40,0),MATCH(F$7,[6]SourceEnergy!$U$12:$V$12,0))/10</f>
        <v>6.0930727037034762</v>
      </c>
    </row>
    <row r="26" spans="1:14" x14ac:dyDescent="0.2">
      <c r="A26" s="32"/>
      <c r="B26" s="131">
        <f t="shared" si="0"/>
        <v>2033</v>
      </c>
      <c r="C26" s="35">
        <f>INDEX([6]SourceEnergy!$S$20:$T$40,MATCH($B26,[6]SourceEnergy!$R$20:$R$40,0),MATCH(C$7,[6]SourceEnergy!$S$12:$T$12,0))/10</f>
        <v>5.9938752206153021</v>
      </c>
      <c r="D26" s="35">
        <f>INDEX([6]SourceEnergy!$S$20:$T$40,MATCH($B26,[6]SourceEnergy!$R$20:$R$40,0),MATCH(D$7,[6]SourceEnergy!$S$12:$T$12,0))/10</f>
        <v>7.6202116561701159</v>
      </c>
      <c r="E26" s="35">
        <f>INDEX([6]SourceEnergy!$U$20:$V$40,MATCH($B26,[6]SourceEnergy!$R$20:$R$40,0),MATCH(E$7,[6]SourceEnergy!$U$12:$V$12,0))/10</f>
        <v>5.6484552068969496</v>
      </c>
      <c r="F26" s="35">
        <f>INDEX([6]SourceEnergy!$U$20:$V$40,MATCH($B26,[6]SourceEnergy!$R$20:$R$40,0),MATCH(F$7,[6]SourceEnergy!$U$12:$V$12,0))/10</f>
        <v>6.4324254325276602</v>
      </c>
    </row>
    <row r="27" spans="1:14" x14ac:dyDescent="0.2">
      <c r="A27" s="32"/>
      <c r="B27" s="131">
        <f t="shared" si="0"/>
        <v>2034</v>
      </c>
      <c r="C27" s="35">
        <f>INDEX([6]SourceEnergy!$S$20:$T$40,MATCH($B27,[6]SourceEnergy!$R$20:$R$40,0),MATCH(C$7,[6]SourceEnergy!$S$12:$T$12,0))/10</f>
        <v>6.1102408280730272</v>
      </c>
      <c r="D27" s="35">
        <f>INDEX([6]SourceEnergy!$S$20:$T$40,MATCH($B27,[6]SourceEnergy!$R$20:$R$40,0),MATCH(D$7,[6]SourceEnergy!$S$12:$T$12,0))/10</f>
        <v>7.7073032628630669</v>
      </c>
      <c r="E27" s="35">
        <f>INDEX([6]SourceEnergy!$U$20:$V$40,MATCH($B27,[6]SourceEnergy!$R$20:$R$40,0),MATCH(E$7,[6]SourceEnergy!$U$12:$V$12,0))/10</f>
        <v>5.7636247488984447</v>
      </c>
      <c r="F27" s="35">
        <f>INDEX([6]SourceEnergy!$U$20:$V$40,MATCH($B27,[6]SourceEnergy!$R$20:$R$40,0),MATCH(F$7,[6]SourceEnergy!$U$12:$V$12,0))/10</f>
        <v>6.5271575613958861</v>
      </c>
    </row>
    <row r="28" spans="1:14" x14ac:dyDescent="0.2">
      <c r="A28" s="32"/>
      <c r="B28" s="131">
        <f t="shared" si="0"/>
        <v>2035</v>
      </c>
      <c r="C28" s="35">
        <f>INDEX([6]SourceEnergy!$S$20:$T$40,MATCH($B28,[6]SourceEnergy!$R$20:$R$40,0),MATCH(C$7,[6]SourceEnergy!$S$12:$T$12,0))/10</f>
        <v>6.0856775531697984</v>
      </c>
      <c r="D28" s="35">
        <f>INDEX([6]SourceEnergy!$S$20:$T$40,MATCH($B28,[6]SourceEnergy!$R$20:$R$40,0),MATCH(D$7,[6]SourceEnergy!$S$12:$T$12,0))/10</f>
        <v>7.7262503490954257</v>
      </c>
      <c r="E28" s="35">
        <f>INDEX([6]SourceEnergy!$U$20:$V$40,MATCH($B28,[6]SourceEnergy!$R$20:$R$40,0),MATCH(E$7,[6]SourceEnergy!$U$12:$V$12,0))/10</f>
        <v>5.7048958174955775</v>
      </c>
      <c r="F28" s="35">
        <f>INDEX([6]SourceEnergy!$U$20:$V$40,MATCH($B28,[6]SourceEnergy!$R$20:$R$40,0),MATCH(F$7,[6]SourceEnergy!$U$12:$V$12,0))/10</f>
        <v>6.5224697250707324</v>
      </c>
    </row>
    <row r="29" spans="1:14" x14ac:dyDescent="0.2">
      <c r="A29" s="32"/>
      <c r="B29" s="131">
        <f t="shared" si="0"/>
        <v>2036</v>
      </c>
      <c r="C29" s="35">
        <f>INDEX([6]SourceEnergy!$S$20:$T$40,MATCH($B29,[6]SourceEnergy!$R$20:$R$40,0),MATCH(C$7,[6]SourceEnergy!$S$12:$T$12,0))/10</f>
        <v>6.1939442389411319</v>
      </c>
      <c r="D29" s="35">
        <f>INDEX([6]SourceEnergy!$S$20:$T$40,MATCH($B29,[6]SourceEnergy!$R$20:$R$40,0),MATCH(D$7,[6]SourceEnergy!$S$12:$T$12,0))/10</f>
        <v>8.0346404465218058</v>
      </c>
      <c r="E29" s="35">
        <f>INDEX([6]SourceEnergy!$U$20:$V$40,MATCH($B29,[6]SourceEnergy!$R$20:$R$40,0),MATCH(E$7,[6]SourceEnergy!$U$12:$V$12,0))/10</f>
        <v>5.8135425662682536</v>
      </c>
      <c r="F29" s="35">
        <f>INDEX([6]SourceEnergy!$U$20:$V$40,MATCH($B29,[6]SourceEnergy!$R$20:$R$40,0),MATCH(F$7,[6]SourceEnergy!$U$12:$V$12,0))/10</f>
        <v>6.7749198280202574</v>
      </c>
    </row>
    <row r="30" spans="1:14" x14ac:dyDescent="0.2">
      <c r="A30" s="32"/>
      <c r="B30" s="131">
        <f t="shared" si="0"/>
        <v>2037</v>
      </c>
      <c r="C30" s="35">
        <f>INDEX([6]SourceEnergy!$S$20:$T$40,MATCH($B30,[6]SourceEnergy!$R$20:$R$40,0),MATCH(C$7,[6]SourceEnergy!$S$12:$T$12,0))/10</f>
        <v>6.3198576118369729</v>
      </c>
      <c r="D30" s="35">
        <f>INDEX([6]SourceEnergy!$S$20:$T$40,MATCH($B30,[6]SourceEnergy!$R$20:$R$40,0),MATCH(D$7,[6]SourceEnergy!$S$12:$T$12,0))/10</f>
        <v>8.1781712693809006</v>
      </c>
      <c r="E30" s="35">
        <f>INDEX([6]SourceEnergy!$U$20:$V$40,MATCH($B30,[6]SourceEnergy!$R$20:$R$40,0),MATCH(E$7,[6]SourceEnergy!$U$12:$V$12,0))/10</f>
        <v>5.9786748060160075</v>
      </c>
      <c r="F30" s="35">
        <f>INDEX([6]SourceEnergy!$U$20:$V$40,MATCH($B30,[6]SourceEnergy!$R$20:$R$40,0),MATCH(F$7,[6]SourceEnergy!$U$12:$V$12,0))/10</f>
        <v>6.9353036219370807</v>
      </c>
      <c r="H30" s="37"/>
    </row>
    <row r="31" spans="1:14" x14ac:dyDescent="0.2">
      <c r="A31" s="32"/>
      <c r="B31" s="33"/>
      <c r="C31" s="35"/>
      <c r="D31" s="34"/>
      <c r="E31" s="35"/>
      <c r="F31" s="35"/>
    </row>
    <row r="32" spans="1:14" x14ac:dyDescent="0.2">
      <c r="A32" s="32"/>
      <c r="C32" s="30" t="s">
        <v>77</v>
      </c>
      <c r="D32" s="30"/>
      <c r="E32" s="51" t="s">
        <v>31</v>
      </c>
      <c r="F32" s="51"/>
      <c r="H32" s="53"/>
      <c r="I32" s="53"/>
      <c r="J32" s="53"/>
      <c r="K32" s="53"/>
      <c r="L32" s="53"/>
      <c r="M32" s="53"/>
      <c r="N32" s="53"/>
    </row>
    <row r="33" spans="1:14" ht="14.25" x14ac:dyDescent="0.35">
      <c r="A33" s="32"/>
      <c r="B33" s="38"/>
      <c r="C33" s="31" t="s">
        <v>10</v>
      </c>
      <c r="D33" s="31" t="s">
        <v>11</v>
      </c>
      <c r="E33" s="31" t="s">
        <v>10</v>
      </c>
      <c r="F33" s="31" t="s">
        <v>11</v>
      </c>
      <c r="H33" s="53"/>
      <c r="I33" s="53"/>
      <c r="J33" s="53"/>
      <c r="K33" s="53"/>
      <c r="L33" s="53"/>
      <c r="M33" s="53"/>
      <c r="N33" s="53"/>
    </row>
    <row r="34" spans="1:14" ht="33.75" customHeight="1" x14ac:dyDescent="0.2">
      <c r="B34" s="39" t="s">
        <v>113</v>
      </c>
      <c r="C34" s="40">
        <f>-PMT('Table 3 Comparison'!$Q$37,COUNT(C11:C25),NPV('Table 3 Comparison'!$Q$37,C11:C25))</f>
        <v>1.6609269730316216</v>
      </c>
      <c r="D34" s="40">
        <f>-PMT('Table 3 Comparison'!$Q$37,COUNT(D11:D25),NPV('Table 3 Comparison'!$Q$37,D11:D25))</f>
        <v>2.0988556846363631</v>
      </c>
      <c r="E34" s="40">
        <f>-PMT('Table 3 Comparison'!$Q$37,COUNT(E11:E25),NPV('Table 3 Comparison'!$Q$37,E11:E25))</f>
        <v>1.4879791445904658</v>
      </c>
      <c r="F34" s="40">
        <f>-PMT('Table 3 Comparison'!$Q$37,COUNT(F11:F25),NPV('Table 3 Comparison'!$Q$37,F11:F25))</f>
        <v>1.5833089226751733</v>
      </c>
      <c r="H34" s="53"/>
      <c r="I34" s="53"/>
      <c r="J34" s="53"/>
      <c r="K34" s="53"/>
      <c r="L34" s="53"/>
      <c r="M34" s="53"/>
      <c r="N34" s="53"/>
    </row>
    <row r="35" spans="1:14" ht="24" hidden="1" x14ac:dyDescent="0.2">
      <c r="A35" s="38"/>
      <c r="B35" s="39" t="s">
        <v>114</v>
      </c>
      <c r="C35" s="40">
        <f>-PMT('Table 3 Comparison'!$Q$37,COUNT(C12:C26),NPV('Table 3 Comparison'!$Q$37,C12:C26))</f>
        <v>1.8405527389174812</v>
      </c>
      <c r="D35" s="40">
        <f>-PMT('Table 3 Comparison'!$Q$37,COUNT(D12:D26),NPV('Table 3 Comparison'!$Q$37,D12:D26))</f>
        <v>2.3354727285782921</v>
      </c>
      <c r="E35" s="40">
        <f>-PMT('Table 3 Comparison'!$Q$37,COUNT(E12:E26),NPV('Table 3 Comparison'!$Q$37,E12:E26))</f>
        <v>1.6632782338506262</v>
      </c>
      <c r="F35" s="40">
        <f>-PMT('Table 3 Comparison'!$Q$37,COUNT(F12:F26),NPV('Table 3 Comparison'!$Q$37,F12:F26))</f>
        <v>1.8189462612789982</v>
      </c>
      <c r="H35" s="53"/>
      <c r="I35" s="53"/>
      <c r="J35" s="53"/>
      <c r="K35" s="53"/>
      <c r="L35" s="53"/>
      <c r="M35" s="53"/>
      <c r="N35" s="53"/>
    </row>
    <row r="36" spans="1:14" ht="24" hidden="1" x14ac:dyDescent="0.2">
      <c r="B36" s="39" t="s">
        <v>115</v>
      </c>
      <c r="C36" s="40">
        <f>-PMT('Table 3 Comparison'!$Q$37,COUNT(C13:C27),NPV('Table 3 Comparison'!$Q$37,C13:C27))</f>
        <v>2.0239742736576081</v>
      </c>
      <c r="D36" s="40">
        <f>-PMT('Table 3 Comparison'!$Q$37,COUNT(D13:D27),NPV('Table 3 Comparison'!$Q$37,D13:D27))</f>
        <v>2.5810372891201432</v>
      </c>
      <c r="E36" s="40">
        <f>-PMT('Table 3 Comparison'!$Q$37,COUNT(E13:E27),NPV('Table 3 Comparison'!$Q$37,E13:E27))</f>
        <v>1.8506661554894537</v>
      </c>
      <c r="F36" s="40">
        <f>-PMT('Table 3 Comparison'!$Q$37,COUNT(F13:F27),NPV('Table 3 Comparison'!$Q$37,F13:F27))</f>
        <v>2.0635283931127213</v>
      </c>
      <c r="H36" s="53"/>
      <c r="I36" s="53"/>
      <c r="J36" s="53"/>
      <c r="K36" s="53"/>
      <c r="L36" s="53"/>
      <c r="M36" s="53"/>
      <c r="N36" s="53"/>
    </row>
    <row r="37" spans="1:14" hidden="1" x14ac:dyDescent="0.2">
      <c r="B37" s="39"/>
      <c r="C37" s="40"/>
      <c r="D37" s="40"/>
      <c r="E37" s="40"/>
      <c r="F37" s="40"/>
      <c r="H37" s="53"/>
      <c r="I37" s="53"/>
      <c r="J37" s="53"/>
      <c r="K37" s="53"/>
      <c r="L37" s="53"/>
      <c r="M37" s="53"/>
      <c r="N37" s="53"/>
    </row>
    <row r="38" spans="1:14" ht="7.5" hidden="1" customHeight="1" x14ac:dyDescent="0.2">
      <c r="A38" s="42"/>
      <c r="B38" s="17"/>
      <c r="C38" s="17"/>
      <c r="D38" s="17"/>
      <c r="E38" s="17"/>
      <c r="F38" s="43"/>
      <c r="H38" s="59"/>
      <c r="I38" s="59"/>
      <c r="J38" s="60"/>
      <c r="K38" s="60"/>
      <c r="L38" s="59"/>
      <c r="M38" s="53"/>
      <c r="N38" s="53"/>
    </row>
    <row r="39" spans="1:14" ht="12.75" hidden="1" x14ac:dyDescent="0.2">
      <c r="A39" s="42"/>
      <c r="B39" s="50"/>
      <c r="C39" s="50"/>
      <c r="D39" s="45"/>
      <c r="E39" s="45"/>
      <c r="F39" s="43"/>
      <c r="H39" s="53"/>
      <c r="I39" s="53"/>
      <c r="J39" s="53"/>
      <c r="K39" s="53"/>
      <c r="L39" s="53"/>
      <c r="M39" s="53"/>
      <c r="N39" s="53"/>
    </row>
    <row r="40" spans="1:14" ht="12.75" x14ac:dyDescent="0.2">
      <c r="A40" s="32"/>
      <c r="B40" s="50"/>
      <c r="C40" s="50"/>
      <c r="D40" s="45"/>
      <c r="E40" s="45"/>
      <c r="F40" s="32"/>
      <c r="H40" s="55"/>
      <c r="I40" s="55"/>
      <c r="J40" s="54"/>
      <c r="K40" s="56"/>
      <c r="L40" s="55"/>
      <c r="M40" s="55"/>
      <c r="N40" s="53"/>
    </row>
    <row r="41" spans="1:14" ht="12.75" x14ac:dyDescent="0.2">
      <c r="A41" s="41"/>
      <c r="B41" s="50" t="s">
        <v>180</v>
      </c>
      <c r="C41" s="50"/>
      <c r="D41" s="45"/>
      <c r="E41" s="45"/>
      <c r="H41" s="61"/>
      <c r="I41" s="57"/>
      <c r="J41" s="61"/>
      <c r="K41" s="62"/>
      <c r="L41" s="53"/>
      <c r="M41" s="53"/>
      <c r="N41" s="53"/>
    </row>
    <row r="42" spans="1:14" x14ac:dyDescent="0.2">
      <c r="A42" s="32"/>
      <c r="B42" s="38"/>
      <c r="C42" s="32"/>
      <c r="D42" s="32"/>
      <c r="E42" s="32"/>
      <c r="F42" s="32"/>
    </row>
    <row r="43" spans="1:14" x14ac:dyDescent="0.2">
      <c r="A43" s="41"/>
    </row>
    <row r="44" spans="1:14" x14ac:dyDescent="0.2">
      <c r="A44" s="41"/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Q253"/>
  <sheetViews>
    <sheetView view="pageBreakPreview" zoomScale="60" zoomScaleNormal="100" workbookViewId="0">
      <selection activeCell="H39" sqref="H39"/>
    </sheetView>
  </sheetViews>
  <sheetFormatPr defaultColWidth="8.83203125" defaultRowHeight="12.75" x14ac:dyDescent="0.2"/>
  <cols>
    <col min="1" max="1" width="1.5" style="66" customWidth="1"/>
    <col min="2" max="2" width="25.83203125" style="66" bestFit="1" customWidth="1"/>
    <col min="3" max="4" width="18.83203125" style="66" customWidth="1"/>
    <col min="5" max="5" width="7.83203125" style="66" bestFit="1" customWidth="1"/>
    <col min="6" max="6" width="3" style="66" customWidth="1"/>
    <col min="7" max="7" width="8.1640625" style="66" customWidth="1"/>
    <col min="8" max="9" width="21.1640625" style="66" customWidth="1"/>
    <col min="10" max="12" width="8.83203125" style="66"/>
    <col min="13" max="13" width="14" style="103" bestFit="1" customWidth="1"/>
    <col min="14" max="14" width="9" style="106" bestFit="1" customWidth="1"/>
    <col min="15" max="15" width="7.83203125" style="106" bestFit="1" customWidth="1"/>
    <col min="16" max="16" width="9" style="106" bestFit="1" customWidth="1"/>
    <col min="17" max="17" width="10.33203125" style="106" customWidth="1"/>
    <col min="18" max="18" width="3.1640625" style="66" customWidth="1"/>
    <col min="19" max="19" width="10" style="44" customWidth="1"/>
    <col min="20" max="20" width="10.83203125" style="66" customWidth="1"/>
    <col min="21" max="21" width="10.1640625" style="66" customWidth="1"/>
    <col min="22" max="22" width="3.1640625" style="66" customWidth="1"/>
    <col min="23" max="23" width="8.83203125" style="66"/>
    <col min="24" max="24" width="10.1640625" style="66" customWidth="1"/>
    <col min="25" max="25" width="9.6640625" style="66" customWidth="1"/>
    <col min="26" max="26" width="8.83203125" style="66"/>
    <col min="27" max="27" width="9.83203125" style="66" customWidth="1"/>
    <col min="28" max="28" width="8.83203125" style="66"/>
    <col min="29" max="29" width="10.5" style="66" customWidth="1"/>
    <col min="30" max="30" width="8.83203125" style="209"/>
    <col min="38" max="38" width="22.83203125" customWidth="1"/>
    <col min="39" max="39" width="14.5" customWidth="1"/>
    <col min="43" max="43" width="8.83203125" style="209"/>
    <col min="44" max="16384" width="8.83203125" style="66"/>
  </cols>
  <sheetData>
    <row r="1" spans="2:41" ht="15.75" x14ac:dyDescent="0.25">
      <c r="B1" s="1" t="s">
        <v>63</v>
      </c>
      <c r="C1" s="65"/>
      <c r="D1" s="65"/>
      <c r="E1" s="65"/>
      <c r="F1" s="65"/>
      <c r="G1" s="65"/>
      <c r="H1" s="65"/>
      <c r="I1" s="65"/>
      <c r="M1" s="273" t="s">
        <v>64</v>
      </c>
      <c r="N1" s="272"/>
      <c r="O1" s="273"/>
      <c r="P1" s="272"/>
      <c r="Q1" s="67"/>
      <c r="AE1" t="s">
        <v>28</v>
      </c>
      <c r="AF1" t="s">
        <v>161</v>
      </c>
      <c r="AG1" t="s">
        <v>23</v>
      </c>
      <c r="AH1" t="s">
        <v>24</v>
      </c>
      <c r="AI1" t="s">
        <v>167</v>
      </c>
      <c r="AJ1" t="s">
        <v>166</v>
      </c>
    </row>
    <row r="2" spans="2:41" ht="15.75" x14ac:dyDescent="0.25">
      <c r="B2" s="1" t="s">
        <v>65</v>
      </c>
      <c r="C2" s="65"/>
      <c r="D2" s="65"/>
      <c r="E2" s="65"/>
      <c r="F2" s="65"/>
      <c r="G2" s="65"/>
      <c r="H2" s="65"/>
      <c r="I2" s="65"/>
      <c r="M2" s="68"/>
      <c r="N2" s="69"/>
      <c r="O2" s="69"/>
      <c r="P2" s="69"/>
      <c r="Q2" s="69"/>
      <c r="AD2" s="209" t="str">
        <f t="shared" ref="AD2:AD65" si="0">IF(AND(AE2&gt;=6,AE2&lt;=9),"Summer","Winter")</f>
        <v>Winter</v>
      </c>
      <c r="AE2">
        <f t="shared" ref="AE2:AE65" si="1">MONTH(AF2)</f>
        <v>1</v>
      </c>
      <c r="AF2" s="207">
        <v>42736</v>
      </c>
      <c r="AG2" s="208">
        <v>400</v>
      </c>
      <c r="AH2" s="208">
        <v>344</v>
      </c>
      <c r="AI2">
        <f t="shared" ref="AI2:AI65" si="2">AG2/16</f>
        <v>25</v>
      </c>
      <c r="AJ2">
        <f t="shared" ref="AJ2:AJ65" si="3">EDATE(AF2,1)-AF2-AI2</f>
        <v>6</v>
      </c>
    </row>
    <row r="3" spans="2:41" x14ac:dyDescent="0.2">
      <c r="B3" s="65"/>
      <c r="C3" s="65"/>
      <c r="D3" s="65"/>
      <c r="E3" s="65"/>
      <c r="F3" s="65"/>
      <c r="G3" s="65"/>
      <c r="H3" s="65"/>
      <c r="I3" s="65"/>
      <c r="M3" s="70" t="str">
        <f>"Official Forward Price Curve dated "&amp;TEXT(C4,"mmmm YYYY")</f>
        <v>Official Forward Price Curve dated March 2018</v>
      </c>
      <c r="N3" s="71"/>
      <c r="O3" s="71"/>
      <c r="P3" s="71"/>
      <c r="Q3" s="71"/>
      <c r="AD3" s="209" t="str">
        <f t="shared" si="0"/>
        <v>Winter</v>
      </c>
      <c r="AE3">
        <f t="shared" si="1"/>
        <v>2</v>
      </c>
      <c r="AF3" s="207">
        <v>42767</v>
      </c>
      <c r="AG3" s="208">
        <v>384</v>
      </c>
      <c r="AH3" s="208">
        <v>288</v>
      </c>
      <c r="AI3">
        <f t="shared" si="2"/>
        <v>24</v>
      </c>
      <c r="AJ3">
        <f t="shared" si="3"/>
        <v>4</v>
      </c>
      <c r="AM3" s="212"/>
      <c r="AN3" s="212"/>
      <c r="AO3" s="210"/>
    </row>
    <row r="4" spans="2:41" x14ac:dyDescent="0.2">
      <c r="B4" s="72" t="s">
        <v>66</v>
      </c>
      <c r="C4" s="73">
        <v>43189</v>
      </c>
      <c r="D4" s="73"/>
      <c r="E4" s="65"/>
      <c r="F4" s="74"/>
      <c r="G4" s="65"/>
      <c r="H4" s="65"/>
      <c r="I4" s="65"/>
      <c r="M4" s="75"/>
      <c r="N4" s="76"/>
      <c r="O4" s="76"/>
      <c r="P4" s="76"/>
      <c r="Q4" s="76"/>
      <c r="AD4" s="209" t="str">
        <f t="shared" si="0"/>
        <v>Winter</v>
      </c>
      <c r="AE4">
        <f t="shared" si="1"/>
        <v>3</v>
      </c>
      <c r="AF4" s="207">
        <v>42795</v>
      </c>
      <c r="AG4" s="208">
        <v>432</v>
      </c>
      <c r="AH4" s="208">
        <v>312</v>
      </c>
      <c r="AI4">
        <f t="shared" si="2"/>
        <v>27</v>
      </c>
      <c r="AJ4">
        <f t="shared" si="3"/>
        <v>4</v>
      </c>
      <c r="AM4" s="212"/>
      <c r="AN4" s="212"/>
      <c r="AO4" s="210"/>
    </row>
    <row r="5" spans="2:41" x14ac:dyDescent="0.2">
      <c r="B5" s="72"/>
      <c r="C5" s="77"/>
      <c r="D5" s="77"/>
      <c r="F5" s="74"/>
      <c r="G5" s="203"/>
      <c r="H5" s="204" t="s">
        <v>112</v>
      </c>
      <c r="I5" s="204"/>
      <c r="M5" s="271"/>
      <c r="N5" s="78" t="s">
        <v>64</v>
      </c>
      <c r="O5" s="78"/>
      <c r="P5" s="78"/>
      <c r="Q5" s="78"/>
      <c r="W5" s="271"/>
      <c r="X5" s="78" t="s">
        <v>64</v>
      </c>
      <c r="Y5" s="78"/>
      <c r="Z5" s="78"/>
      <c r="AA5" s="78"/>
      <c r="AD5" s="209" t="str">
        <f t="shared" si="0"/>
        <v>Winter</v>
      </c>
      <c r="AE5">
        <f t="shared" si="1"/>
        <v>4</v>
      </c>
      <c r="AF5" s="207">
        <v>42826</v>
      </c>
      <c r="AG5" s="208">
        <v>400</v>
      </c>
      <c r="AH5" s="208">
        <v>320</v>
      </c>
      <c r="AI5">
        <f t="shared" si="2"/>
        <v>25</v>
      </c>
      <c r="AJ5">
        <f t="shared" si="3"/>
        <v>5</v>
      </c>
      <c r="AM5" s="212"/>
      <c r="AN5" s="212"/>
      <c r="AO5" s="210"/>
    </row>
    <row r="6" spans="2:41" x14ac:dyDescent="0.2">
      <c r="B6" s="79" t="s">
        <v>67</v>
      </c>
      <c r="G6" s="205" t="s">
        <v>0</v>
      </c>
      <c r="H6" s="205" t="str">
        <f>C7</f>
        <v>IRP - Wyo NE</v>
      </c>
      <c r="I6" s="205" t="str">
        <f>D7</f>
        <v>West Side</v>
      </c>
      <c r="M6" s="80"/>
      <c r="N6" s="78" t="s">
        <v>23</v>
      </c>
      <c r="O6" s="78"/>
      <c r="P6" s="78" t="s">
        <v>24</v>
      </c>
      <c r="Q6" s="78"/>
      <c r="W6" s="80"/>
      <c r="X6" s="78" t="s">
        <v>23</v>
      </c>
      <c r="Y6" s="78"/>
      <c r="Z6" s="78" t="s">
        <v>24</v>
      </c>
      <c r="AA6" s="78"/>
      <c r="AD6" s="209" t="str">
        <f t="shared" si="0"/>
        <v>Winter</v>
      </c>
      <c r="AE6">
        <f t="shared" si="1"/>
        <v>5</v>
      </c>
      <c r="AF6" s="207">
        <v>42856</v>
      </c>
      <c r="AG6" s="208">
        <v>416</v>
      </c>
      <c r="AH6" s="208">
        <v>328</v>
      </c>
      <c r="AI6">
        <f t="shared" si="2"/>
        <v>26</v>
      </c>
      <c r="AJ6">
        <f t="shared" si="3"/>
        <v>5</v>
      </c>
      <c r="AM6" s="212"/>
      <c r="AN6" s="212"/>
      <c r="AO6" s="210"/>
    </row>
    <row r="7" spans="2:41" ht="38.25" x14ac:dyDescent="0.2">
      <c r="B7" s="270" t="s">
        <v>28</v>
      </c>
      <c r="C7" s="269" t="str">
        <f>C249</f>
        <v>IRP - Wyo NE</v>
      </c>
      <c r="D7" s="269" t="str">
        <f>D249</f>
        <v>West Side</v>
      </c>
      <c r="E7" s="268" t="s">
        <v>0</v>
      </c>
      <c r="G7" s="203"/>
      <c r="H7" s="202" t="s">
        <v>9</v>
      </c>
      <c r="I7" s="202" t="s">
        <v>9</v>
      </c>
      <c r="K7" s="66" t="s">
        <v>28</v>
      </c>
      <c r="L7" s="66" t="s">
        <v>0</v>
      </c>
      <c r="M7" s="267" t="s">
        <v>68</v>
      </c>
      <c r="N7" s="81" t="s">
        <v>69</v>
      </c>
      <c r="O7" s="81" t="s">
        <v>70</v>
      </c>
      <c r="P7" s="81" t="s">
        <v>69</v>
      </c>
      <c r="Q7" s="82" t="s">
        <v>70</v>
      </c>
      <c r="S7" s="44" t="s">
        <v>74</v>
      </c>
      <c r="T7" s="110" t="s">
        <v>73</v>
      </c>
      <c r="U7" s="110" t="s">
        <v>75</v>
      </c>
      <c r="V7" s="110"/>
      <c r="W7" s="267" t="s">
        <v>0</v>
      </c>
      <c r="X7" s="81" t="s">
        <v>69</v>
      </c>
      <c r="Y7" s="81" t="s">
        <v>70</v>
      </c>
      <c r="Z7" s="81" t="s">
        <v>69</v>
      </c>
      <c r="AA7" s="82" t="s">
        <v>70</v>
      </c>
      <c r="AD7" s="209" t="str">
        <f t="shared" si="0"/>
        <v>Summer</v>
      </c>
      <c r="AE7">
        <f t="shared" si="1"/>
        <v>6</v>
      </c>
      <c r="AF7" s="207">
        <v>42887</v>
      </c>
      <c r="AG7" s="208">
        <v>416</v>
      </c>
      <c r="AH7" s="208">
        <v>304</v>
      </c>
      <c r="AI7">
        <f t="shared" si="2"/>
        <v>26</v>
      </c>
      <c r="AJ7">
        <f t="shared" si="3"/>
        <v>4</v>
      </c>
      <c r="AM7" s="212"/>
      <c r="AN7" s="212"/>
      <c r="AO7" s="210"/>
    </row>
    <row r="8" spans="2:41" x14ac:dyDescent="0.2">
      <c r="B8" s="266">
        <v>43101</v>
      </c>
      <c r="C8" s="83">
        <v>3.1439800224110743</v>
      </c>
      <c r="D8" s="83">
        <v>2.8239902253470102</v>
      </c>
      <c r="E8" s="265">
        <f t="shared" ref="E8:E71" si="4">YEAR(B8)</f>
        <v>2018</v>
      </c>
      <c r="G8" s="84">
        <f>YEAR(B8)</f>
        <v>2018</v>
      </c>
      <c r="H8" s="85">
        <f t="shared" ref="H8:H27" si="5">ROUND(AVERAGEIF($E$8:$E$247,$G8,$C$8:$C$247),2)</f>
        <v>2.21</v>
      </c>
      <c r="I8" s="85">
        <f t="shared" ref="I8:I27" si="6">ROUND(AVERAGEIF($E$8:$E$247,$G8,$D$8:$D$247),2)</f>
        <v>2.09</v>
      </c>
      <c r="K8" s="17">
        <f>MONTH(M8)</f>
        <v>1</v>
      </c>
      <c r="L8" s="112">
        <f>YEAR(M8)</f>
        <v>2018</v>
      </c>
      <c r="M8" s="86">
        <f t="shared" ref="M8:M71" si="7">B8</f>
        <v>43101</v>
      </c>
      <c r="N8" s="87">
        <v>22.512307692307687</v>
      </c>
      <c r="O8" s="87">
        <v>27.23</v>
      </c>
      <c r="P8" s="87">
        <v>20.091707317073176</v>
      </c>
      <c r="Q8" s="88">
        <v>25.244878048780489</v>
      </c>
      <c r="S8" s="109">
        <v>26.35483870967742</v>
      </c>
      <c r="T8" s="111">
        <f>O8/S8</f>
        <v>1.0332068543451651</v>
      </c>
      <c r="U8" s="111">
        <f>Q8/S8</f>
        <v>0.95788398961100996</v>
      </c>
      <c r="W8" s="84">
        <f>G8</f>
        <v>2018</v>
      </c>
      <c r="X8" s="89">
        <f>ROUND(AVERAGEIF($E$8:$E$247,$W8,N$8:N$247),2)</f>
        <v>21.87</v>
      </c>
      <c r="Y8" s="89">
        <f>ROUND(AVERAGEIF($E$8:$E$247,$W8,O$8:O$247),2)</f>
        <v>29.51</v>
      </c>
      <c r="Z8" s="89">
        <f>ROUND(AVERAGEIF($E$8:$E$247,$W8,P$8:P$247),2)</f>
        <v>15.48</v>
      </c>
      <c r="AA8" s="89">
        <f>ROUND(AVERAGEIF($E$8:$E$247,$W8,Q$8:Q$247),2)</f>
        <v>22.99</v>
      </c>
      <c r="AD8" s="209" t="str">
        <f t="shared" si="0"/>
        <v>Summer</v>
      </c>
      <c r="AE8">
        <f t="shared" si="1"/>
        <v>7</v>
      </c>
      <c r="AF8" s="207">
        <v>42917</v>
      </c>
      <c r="AG8" s="208">
        <v>400</v>
      </c>
      <c r="AH8" s="208">
        <v>344</v>
      </c>
      <c r="AI8">
        <f t="shared" si="2"/>
        <v>25</v>
      </c>
      <c r="AJ8">
        <f t="shared" si="3"/>
        <v>6</v>
      </c>
      <c r="AM8" s="212"/>
      <c r="AN8" s="212"/>
      <c r="AO8" s="210"/>
    </row>
    <row r="9" spans="2:41" x14ac:dyDescent="0.2">
      <c r="B9" s="90">
        <f t="shared" ref="B9:B72" si="8">EDATE(B8,1)</f>
        <v>43132</v>
      </c>
      <c r="C9" s="83">
        <v>2.2929636145389605</v>
      </c>
      <c r="D9" s="83">
        <v>2.2686339840438139</v>
      </c>
      <c r="E9" s="91">
        <f t="shared" si="4"/>
        <v>2018</v>
      </c>
      <c r="G9" s="84">
        <f t="shared" ref="G9:G27" si="9">G8+1</f>
        <v>2019</v>
      </c>
      <c r="H9" s="85">
        <f t="shared" si="5"/>
        <v>2.0299999999999998</v>
      </c>
      <c r="I9" s="85">
        <f t="shared" si="6"/>
        <v>1.95</v>
      </c>
      <c r="K9" s="17">
        <f t="shared" ref="K9:K72" si="10">MONTH(M9)</f>
        <v>2</v>
      </c>
      <c r="L9" s="112">
        <f t="shared" ref="L9:L72" si="11">YEAR(M9)</f>
        <v>2018</v>
      </c>
      <c r="M9" s="86">
        <f t="shared" si="7"/>
        <v>43132</v>
      </c>
      <c r="N9" s="87">
        <v>20.580416666666665</v>
      </c>
      <c r="O9" s="87">
        <v>25.759999999999994</v>
      </c>
      <c r="P9" s="87">
        <v>11.716111111111111</v>
      </c>
      <c r="Q9" s="88">
        <v>23.65805555555556</v>
      </c>
      <c r="S9" s="109">
        <v>24.859166666666667</v>
      </c>
      <c r="T9" s="111">
        <f t="shared" ref="T9:T72" si="12">O9/S9</f>
        <v>1.0362374710871238</v>
      </c>
      <c r="U9" s="111">
        <f t="shared" ref="U9:U72" si="13">Q9/S9</f>
        <v>0.95168337188383467</v>
      </c>
      <c r="W9" s="84">
        <f t="shared" ref="W9:W27" si="14">W8+1</f>
        <v>2019</v>
      </c>
      <c r="X9" s="89">
        <f t="shared" ref="X9:AA27" si="15">ROUND(AVERAGEIF($E$8:$E$247,$W9,N$8:N$247),2)</f>
        <v>23.73</v>
      </c>
      <c r="Y9" s="89">
        <f t="shared" si="15"/>
        <v>28.56</v>
      </c>
      <c r="Z9" s="89">
        <f t="shared" si="15"/>
        <v>17.440000000000001</v>
      </c>
      <c r="AA9" s="89">
        <f t="shared" si="15"/>
        <v>22.07</v>
      </c>
      <c r="AD9" s="209" t="str">
        <f t="shared" si="0"/>
        <v>Summer</v>
      </c>
      <c r="AE9">
        <f t="shared" si="1"/>
        <v>8</v>
      </c>
      <c r="AF9" s="207">
        <v>42948</v>
      </c>
      <c r="AG9" s="208">
        <v>432</v>
      </c>
      <c r="AH9" s="208">
        <v>312</v>
      </c>
      <c r="AI9">
        <f t="shared" si="2"/>
        <v>27</v>
      </c>
      <c r="AJ9">
        <f t="shared" si="3"/>
        <v>4</v>
      </c>
      <c r="AM9" s="212"/>
      <c r="AN9" s="212"/>
      <c r="AO9" s="210"/>
    </row>
    <row r="10" spans="2:41" x14ac:dyDescent="0.2">
      <c r="B10" s="90">
        <f t="shared" si="8"/>
        <v>43160</v>
      </c>
      <c r="C10" s="83">
        <v>2.2034090358279701</v>
      </c>
      <c r="D10" s="83">
        <v>2.1973902915865509</v>
      </c>
      <c r="E10" s="91">
        <f t="shared" si="4"/>
        <v>2018</v>
      </c>
      <c r="G10" s="84">
        <f t="shared" si="9"/>
        <v>2020</v>
      </c>
      <c r="H10" s="85">
        <f t="shared" si="5"/>
        <v>2.13</v>
      </c>
      <c r="I10" s="85">
        <f t="shared" si="6"/>
        <v>2.02</v>
      </c>
      <c r="K10" s="17">
        <f t="shared" si="10"/>
        <v>3</v>
      </c>
      <c r="L10" s="112">
        <f t="shared" si="11"/>
        <v>2018</v>
      </c>
      <c r="M10" s="86">
        <f t="shared" si="7"/>
        <v>43160</v>
      </c>
      <c r="N10" s="87">
        <v>20.528518518518517</v>
      </c>
      <c r="O10" s="87">
        <v>24.431111111111118</v>
      </c>
      <c r="P10" s="87">
        <v>18.130000000000003</v>
      </c>
      <c r="Q10" s="88">
        <v>23.420769230769224</v>
      </c>
      <c r="S10" s="109">
        <v>24.008208924319291</v>
      </c>
      <c r="T10" s="111">
        <f t="shared" si="12"/>
        <v>1.0176148994756309</v>
      </c>
      <c r="U10" s="111">
        <f t="shared" si="13"/>
        <v>0.97553171519783732</v>
      </c>
      <c r="W10" s="84">
        <f t="shared" si="14"/>
        <v>2020</v>
      </c>
      <c r="X10" s="89">
        <f t="shared" si="15"/>
        <v>26.37</v>
      </c>
      <c r="Y10" s="89">
        <f t="shared" si="15"/>
        <v>30.39</v>
      </c>
      <c r="Z10" s="89">
        <f t="shared" si="15"/>
        <v>20.170000000000002</v>
      </c>
      <c r="AA10" s="89">
        <f t="shared" si="15"/>
        <v>24.39</v>
      </c>
      <c r="AD10" s="209" t="str">
        <f t="shared" si="0"/>
        <v>Summer</v>
      </c>
      <c r="AE10">
        <f t="shared" si="1"/>
        <v>9</v>
      </c>
      <c r="AF10" s="207">
        <v>42979</v>
      </c>
      <c r="AG10" s="208">
        <v>400</v>
      </c>
      <c r="AH10" s="208">
        <v>320</v>
      </c>
      <c r="AI10">
        <f t="shared" si="2"/>
        <v>25</v>
      </c>
      <c r="AJ10">
        <f t="shared" si="3"/>
        <v>5</v>
      </c>
      <c r="AM10" s="212"/>
      <c r="AN10" s="212"/>
      <c r="AO10" s="210"/>
    </row>
    <row r="11" spans="2:41" x14ac:dyDescent="0.2">
      <c r="B11" s="90">
        <f t="shared" si="8"/>
        <v>43191</v>
      </c>
      <c r="C11" s="83">
        <v>1.8867451788093046</v>
      </c>
      <c r="D11" s="83">
        <v>1.8212140903125191</v>
      </c>
      <c r="E11" s="91">
        <f t="shared" si="4"/>
        <v>2018</v>
      </c>
      <c r="G11" s="84">
        <f t="shared" si="9"/>
        <v>2021</v>
      </c>
      <c r="H11" s="85">
        <f t="shared" si="5"/>
        <v>2.23</v>
      </c>
      <c r="I11" s="85">
        <f t="shared" si="6"/>
        <v>2.15</v>
      </c>
      <c r="K11" s="17">
        <f t="shared" si="10"/>
        <v>4</v>
      </c>
      <c r="L11" s="112">
        <f t="shared" si="11"/>
        <v>2018</v>
      </c>
      <c r="M11" s="86">
        <f t="shared" si="7"/>
        <v>43191</v>
      </c>
      <c r="N11" s="87">
        <v>13.856669999999999</v>
      </c>
      <c r="O11" s="87">
        <v>21.69</v>
      </c>
      <c r="P11" s="87">
        <v>10.02</v>
      </c>
      <c r="Q11" s="88">
        <v>20.016829999999999</v>
      </c>
      <c r="S11" s="109">
        <v>20.946368888888891</v>
      </c>
      <c r="T11" s="111">
        <f t="shared" si="12"/>
        <v>1.0355016716766394</v>
      </c>
      <c r="U11" s="111">
        <f t="shared" si="13"/>
        <v>0.95562291040420033</v>
      </c>
      <c r="W11" s="84">
        <f t="shared" si="14"/>
        <v>2021</v>
      </c>
      <c r="X11" s="89">
        <f t="shared" si="15"/>
        <v>29.98</v>
      </c>
      <c r="Y11" s="89">
        <f t="shared" si="15"/>
        <v>33.71</v>
      </c>
      <c r="Z11" s="89">
        <f t="shared" si="15"/>
        <v>23.52</v>
      </c>
      <c r="AA11" s="89">
        <f t="shared" si="15"/>
        <v>27.29</v>
      </c>
      <c r="AD11" s="209" t="str">
        <f t="shared" si="0"/>
        <v>Winter</v>
      </c>
      <c r="AE11">
        <f t="shared" si="1"/>
        <v>10</v>
      </c>
      <c r="AF11" s="207">
        <v>43009</v>
      </c>
      <c r="AG11" s="208">
        <v>416</v>
      </c>
      <c r="AH11" s="208">
        <v>328</v>
      </c>
      <c r="AI11">
        <f t="shared" si="2"/>
        <v>26</v>
      </c>
      <c r="AJ11">
        <f t="shared" si="3"/>
        <v>5</v>
      </c>
      <c r="AM11" s="212"/>
      <c r="AN11" s="212"/>
      <c r="AO11" s="210"/>
    </row>
    <row r="12" spans="2:41" x14ac:dyDescent="0.2">
      <c r="B12" s="90">
        <f t="shared" si="8"/>
        <v>43221</v>
      </c>
      <c r="C12" s="83">
        <v>1.9564244492263554</v>
      </c>
      <c r="D12" s="83">
        <v>1.7263341852907605</v>
      </c>
      <c r="E12" s="91">
        <f t="shared" si="4"/>
        <v>2018</v>
      </c>
      <c r="G12" s="84">
        <f t="shared" si="9"/>
        <v>2022</v>
      </c>
      <c r="H12" s="85">
        <f t="shared" si="5"/>
        <v>2.34</v>
      </c>
      <c r="I12" s="85">
        <f t="shared" si="6"/>
        <v>2.23</v>
      </c>
      <c r="K12" s="17">
        <f t="shared" si="10"/>
        <v>5</v>
      </c>
      <c r="L12" s="112">
        <f t="shared" si="11"/>
        <v>2018</v>
      </c>
      <c r="M12" s="86">
        <f t="shared" si="7"/>
        <v>43221</v>
      </c>
      <c r="N12" s="87">
        <v>11.93383</v>
      </c>
      <c r="O12" s="87">
        <v>22.800930000000001</v>
      </c>
      <c r="P12" s="87">
        <v>3.166633</v>
      </c>
      <c r="Q12" s="88">
        <v>20.635670000000001</v>
      </c>
      <c r="S12" s="109">
        <v>21.84635301075269</v>
      </c>
      <c r="T12" s="111">
        <f t="shared" si="12"/>
        <v>1.0436950272101468</v>
      </c>
      <c r="U12" s="111">
        <f t="shared" si="13"/>
        <v>0.94458191670908209</v>
      </c>
      <c r="W12" s="84">
        <f t="shared" si="14"/>
        <v>2022</v>
      </c>
      <c r="X12" s="89">
        <f t="shared" si="15"/>
        <v>31.89</v>
      </c>
      <c r="Y12" s="89">
        <f t="shared" si="15"/>
        <v>35.479999999999997</v>
      </c>
      <c r="Z12" s="89">
        <f t="shared" si="15"/>
        <v>25.3</v>
      </c>
      <c r="AA12" s="89">
        <f t="shared" si="15"/>
        <v>28.63</v>
      </c>
      <c r="AD12" s="209" t="str">
        <f t="shared" si="0"/>
        <v>Winter</v>
      </c>
      <c r="AE12">
        <f t="shared" si="1"/>
        <v>11</v>
      </c>
      <c r="AF12" s="207">
        <v>43040</v>
      </c>
      <c r="AG12" s="208">
        <v>400</v>
      </c>
      <c r="AH12" s="208">
        <v>320</v>
      </c>
      <c r="AI12">
        <f t="shared" si="2"/>
        <v>25</v>
      </c>
      <c r="AJ12">
        <f t="shared" si="3"/>
        <v>5</v>
      </c>
      <c r="AM12" s="212"/>
      <c r="AN12" s="212"/>
      <c r="AO12" s="210"/>
    </row>
    <row r="13" spans="2:41" x14ac:dyDescent="0.2">
      <c r="B13" s="90">
        <f t="shared" si="8"/>
        <v>43252</v>
      </c>
      <c r="C13" s="83">
        <v>2.053770488779588</v>
      </c>
      <c r="D13" s="83">
        <v>1.7546950264657426</v>
      </c>
      <c r="E13" s="91">
        <f t="shared" si="4"/>
        <v>2018</v>
      </c>
      <c r="G13" s="84">
        <f t="shared" si="9"/>
        <v>2023</v>
      </c>
      <c r="H13" s="85">
        <f t="shared" si="5"/>
        <v>2.42</v>
      </c>
      <c r="I13" s="85">
        <f t="shared" si="6"/>
        <v>2.38</v>
      </c>
      <c r="K13" s="17">
        <f t="shared" si="10"/>
        <v>6</v>
      </c>
      <c r="L13" s="112">
        <f t="shared" si="11"/>
        <v>2018</v>
      </c>
      <c r="M13" s="86">
        <f t="shared" si="7"/>
        <v>43252</v>
      </c>
      <c r="N13" s="87">
        <v>12.1295</v>
      </c>
      <c r="O13" s="87">
        <v>32.866630000000001</v>
      </c>
      <c r="P13" s="87">
        <v>2.517633</v>
      </c>
      <c r="Q13" s="88">
        <v>22.183299999999999</v>
      </c>
      <c r="S13" s="109">
        <v>28.355890666666667</v>
      </c>
      <c r="T13" s="111">
        <f t="shared" si="12"/>
        <v>1.1590759178175229</v>
      </c>
      <c r="U13" s="111">
        <f t="shared" si="13"/>
        <v>0.7823171650918106</v>
      </c>
      <c r="W13" s="84">
        <f t="shared" si="14"/>
        <v>2023</v>
      </c>
      <c r="X13" s="89">
        <f t="shared" si="15"/>
        <v>33.25</v>
      </c>
      <c r="Y13" s="89">
        <f t="shared" si="15"/>
        <v>37.299999999999997</v>
      </c>
      <c r="Z13" s="89">
        <f t="shared" si="15"/>
        <v>26.71</v>
      </c>
      <c r="AA13" s="89">
        <f t="shared" si="15"/>
        <v>30.57</v>
      </c>
      <c r="AD13" s="209" t="str">
        <f t="shared" si="0"/>
        <v>Winter</v>
      </c>
      <c r="AE13">
        <f t="shared" si="1"/>
        <v>12</v>
      </c>
      <c r="AF13" s="207">
        <v>43070</v>
      </c>
      <c r="AG13" s="208">
        <v>400</v>
      </c>
      <c r="AH13" s="208">
        <v>344</v>
      </c>
      <c r="AI13">
        <f t="shared" si="2"/>
        <v>25</v>
      </c>
      <c r="AJ13">
        <f t="shared" si="3"/>
        <v>6</v>
      </c>
      <c r="AM13" s="212"/>
      <c r="AN13" s="212"/>
      <c r="AO13" s="210"/>
    </row>
    <row r="14" spans="2:41" x14ac:dyDescent="0.2">
      <c r="B14" s="90">
        <f t="shared" si="8"/>
        <v>43282</v>
      </c>
      <c r="C14" s="83">
        <v>2.1219127164668512</v>
      </c>
      <c r="D14" s="83">
        <v>1.8580831838399963</v>
      </c>
      <c r="E14" s="91">
        <f t="shared" si="4"/>
        <v>2018</v>
      </c>
      <c r="G14" s="84">
        <f t="shared" si="9"/>
        <v>2024</v>
      </c>
      <c r="H14" s="85">
        <f t="shared" si="5"/>
        <v>2.91</v>
      </c>
      <c r="I14" s="85">
        <f t="shared" si="6"/>
        <v>2.86</v>
      </c>
      <c r="K14" s="17">
        <f t="shared" si="10"/>
        <v>7</v>
      </c>
      <c r="L14" s="112">
        <f t="shared" si="11"/>
        <v>2018</v>
      </c>
      <c r="M14" s="86">
        <f t="shared" si="7"/>
        <v>43282</v>
      </c>
      <c r="N14" s="87">
        <v>25.241399999999999</v>
      </c>
      <c r="O14" s="87">
        <v>46.040669999999999</v>
      </c>
      <c r="P14" s="87">
        <v>11.805870000000001</v>
      </c>
      <c r="Q14" s="88">
        <v>25.932670000000002</v>
      </c>
      <c r="S14" s="109">
        <v>36.743422688172046</v>
      </c>
      <c r="T14" s="111">
        <f t="shared" si="12"/>
        <v>1.2530316076085313</v>
      </c>
      <c r="U14" s="111">
        <f t="shared" si="13"/>
        <v>0.7057772004551961</v>
      </c>
      <c r="W14" s="84">
        <f t="shared" si="14"/>
        <v>2024</v>
      </c>
      <c r="X14" s="89">
        <f t="shared" si="15"/>
        <v>35.46</v>
      </c>
      <c r="Y14" s="89">
        <f t="shared" si="15"/>
        <v>39.950000000000003</v>
      </c>
      <c r="Z14" s="89">
        <f t="shared" si="15"/>
        <v>29.14</v>
      </c>
      <c r="AA14" s="89">
        <f t="shared" si="15"/>
        <v>33.78</v>
      </c>
      <c r="AD14" s="209" t="str">
        <f t="shared" si="0"/>
        <v>Winter</v>
      </c>
      <c r="AE14">
        <f t="shared" si="1"/>
        <v>1</v>
      </c>
      <c r="AF14" s="207">
        <v>43101</v>
      </c>
      <c r="AG14" s="208">
        <v>416</v>
      </c>
      <c r="AH14" s="208">
        <v>328</v>
      </c>
      <c r="AI14">
        <f t="shared" si="2"/>
        <v>26</v>
      </c>
      <c r="AJ14">
        <f t="shared" si="3"/>
        <v>5</v>
      </c>
      <c r="AM14" s="212"/>
      <c r="AN14" s="212"/>
      <c r="AO14" s="210"/>
    </row>
    <row r="15" spans="2:41" x14ac:dyDescent="0.2">
      <c r="B15" s="90">
        <f t="shared" si="8"/>
        <v>43313</v>
      </c>
      <c r="C15" s="83">
        <v>2.1731474741264472</v>
      </c>
      <c r="D15" s="83">
        <v>1.9560569988081169</v>
      </c>
      <c r="E15" s="91">
        <f t="shared" si="4"/>
        <v>2018</v>
      </c>
      <c r="G15" s="84">
        <f t="shared" si="9"/>
        <v>2025</v>
      </c>
      <c r="H15" s="85">
        <f t="shared" si="5"/>
        <v>3.59</v>
      </c>
      <c r="I15" s="85">
        <f t="shared" si="6"/>
        <v>3.54</v>
      </c>
      <c r="K15" s="17">
        <f t="shared" si="10"/>
        <v>8</v>
      </c>
      <c r="L15" s="112">
        <f t="shared" si="11"/>
        <v>2018</v>
      </c>
      <c r="M15" s="86">
        <f t="shared" si="7"/>
        <v>43313</v>
      </c>
      <c r="N15" s="87">
        <v>34.076630000000002</v>
      </c>
      <c r="O15" s="87">
        <v>46.402670000000001</v>
      </c>
      <c r="P15" s="87">
        <v>23.327629999999999</v>
      </c>
      <c r="Q15" s="88">
        <v>26.2623</v>
      </c>
      <c r="S15" s="109">
        <v>37.956708387096775</v>
      </c>
      <c r="T15" s="111">
        <f t="shared" si="12"/>
        <v>1.222515649322595</v>
      </c>
      <c r="U15" s="111">
        <f t="shared" si="13"/>
        <v>0.69190140863025307</v>
      </c>
      <c r="W15" s="84">
        <f t="shared" si="14"/>
        <v>2025</v>
      </c>
      <c r="X15" s="89">
        <f t="shared" si="15"/>
        <v>38.35</v>
      </c>
      <c r="Y15" s="89">
        <f t="shared" si="15"/>
        <v>42.84</v>
      </c>
      <c r="Z15" s="89">
        <f t="shared" si="15"/>
        <v>32.090000000000003</v>
      </c>
      <c r="AA15" s="89">
        <f t="shared" si="15"/>
        <v>37.19</v>
      </c>
      <c r="AD15" s="209" t="str">
        <f t="shared" si="0"/>
        <v>Winter</v>
      </c>
      <c r="AE15">
        <f t="shared" si="1"/>
        <v>2</v>
      </c>
      <c r="AF15" s="207">
        <v>43132</v>
      </c>
      <c r="AG15" s="208">
        <v>384</v>
      </c>
      <c r="AH15" s="208">
        <v>288</v>
      </c>
      <c r="AI15">
        <f t="shared" si="2"/>
        <v>24</v>
      </c>
      <c r="AJ15">
        <f t="shared" si="3"/>
        <v>4</v>
      </c>
      <c r="AO15" s="210"/>
    </row>
    <row r="16" spans="2:41" x14ac:dyDescent="0.2">
      <c r="B16" s="90">
        <f t="shared" si="8"/>
        <v>43344</v>
      </c>
      <c r="C16" s="83">
        <v>2.1306226252689822</v>
      </c>
      <c r="D16" s="83">
        <v>1.91325791121678</v>
      </c>
      <c r="E16" s="91">
        <f t="shared" si="4"/>
        <v>2018</v>
      </c>
      <c r="G16" s="84">
        <f t="shared" si="9"/>
        <v>2026</v>
      </c>
      <c r="H16" s="85">
        <f t="shared" si="5"/>
        <v>3.85</v>
      </c>
      <c r="I16" s="85">
        <f t="shared" si="6"/>
        <v>3.8</v>
      </c>
      <c r="K16" s="17">
        <f t="shared" si="10"/>
        <v>9</v>
      </c>
      <c r="L16" s="112">
        <f t="shared" si="11"/>
        <v>2018</v>
      </c>
      <c r="M16" s="86">
        <f t="shared" si="7"/>
        <v>43344</v>
      </c>
      <c r="N16" s="87">
        <v>28.3733</v>
      </c>
      <c r="O16" s="87">
        <v>32.05097</v>
      </c>
      <c r="P16" s="87">
        <v>22.64057</v>
      </c>
      <c r="Q16" s="88">
        <v>23.125070000000001</v>
      </c>
      <c r="S16" s="109">
        <v>27.885550000000002</v>
      </c>
      <c r="T16" s="111">
        <f t="shared" si="12"/>
        <v>1.14937557265322</v>
      </c>
      <c r="U16" s="111">
        <f t="shared" si="13"/>
        <v>0.82928505982489131</v>
      </c>
      <c r="W16" s="84">
        <f t="shared" si="14"/>
        <v>2026</v>
      </c>
      <c r="X16" s="89">
        <f t="shared" si="15"/>
        <v>39.89</v>
      </c>
      <c r="Y16" s="89">
        <f t="shared" si="15"/>
        <v>44.21</v>
      </c>
      <c r="Z16" s="89">
        <f t="shared" si="15"/>
        <v>33.619999999999997</v>
      </c>
      <c r="AA16" s="89">
        <f t="shared" si="15"/>
        <v>38.53</v>
      </c>
      <c r="AD16" s="209" t="str">
        <f t="shared" si="0"/>
        <v>Winter</v>
      </c>
      <c r="AE16">
        <f t="shared" si="1"/>
        <v>3</v>
      </c>
      <c r="AF16" s="207">
        <v>43160</v>
      </c>
      <c r="AG16" s="208">
        <v>432</v>
      </c>
      <c r="AH16" s="208">
        <v>312</v>
      </c>
      <c r="AI16">
        <f t="shared" si="2"/>
        <v>27</v>
      </c>
      <c r="AJ16">
        <f t="shared" si="3"/>
        <v>4</v>
      </c>
      <c r="AO16" t="s">
        <v>165</v>
      </c>
    </row>
    <row r="17" spans="2:41" x14ac:dyDescent="0.2">
      <c r="B17" s="90">
        <f t="shared" si="8"/>
        <v>43374</v>
      </c>
      <c r="C17" s="83">
        <v>2.054282836356184</v>
      </c>
      <c r="D17" s="83">
        <v>1.9434235331938066</v>
      </c>
      <c r="E17" s="91">
        <f t="shared" si="4"/>
        <v>2018</v>
      </c>
      <c r="G17" s="84">
        <f t="shared" si="9"/>
        <v>2027</v>
      </c>
      <c r="H17" s="85">
        <f t="shared" si="5"/>
        <v>3.97</v>
      </c>
      <c r="I17" s="85">
        <f t="shared" si="6"/>
        <v>3.93</v>
      </c>
      <c r="K17" s="17">
        <f t="shared" si="10"/>
        <v>10</v>
      </c>
      <c r="L17" s="112">
        <f t="shared" si="11"/>
        <v>2018</v>
      </c>
      <c r="M17" s="86">
        <f t="shared" si="7"/>
        <v>43374</v>
      </c>
      <c r="N17" s="87">
        <v>22.562830000000002</v>
      </c>
      <c r="O17" s="87">
        <v>25.04233</v>
      </c>
      <c r="P17" s="87">
        <v>19.334669999999999</v>
      </c>
      <c r="Q17" s="88">
        <v>21.519770000000001</v>
      </c>
      <c r="S17" s="109">
        <v>23.565127419354837</v>
      </c>
      <c r="T17" s="111">
        <f t="shared" si="12"/>
        <v>1.0626859577017134</v>
      </c>
      <c r="U17" s="111">
        <f t="shared" si="13"/>
        <v>0.9132040585668586</v>
      </c>
      <c r="W17" s="84">
        <f t="shared" si="14"/>
        <v>2027</v>
      </c>
      <c r="X17" s="89">
        <f t="shared" si="15"/>
        <v>41.1</v>
      </c>
      <c r="Y17" s="89">
        <f t="shared" si="15"/>
        <v>45.17</v>
      </c>
      <c r="Z17" s="89">
        <f t="shared" si="15"/>
        <v>34.71</v>
      </c>
      <c r="AA17" s="89">
        <f t="shared" si="15"/>
        <v>39.619999999999997</v>
      </c>
      <c r="AD17" s="209" t="str">
        <f t="shared" si="0"/>
        <v>Winter</v>
      </c>
      <c r="AE17">
        <f t="shared" si="1"/>
        <v>4</v>
      </c>
      <c r="AF17" s="207">
        <v>43191</v>
      </c>
      <c r="AG17" s="208">
        <v>400</v>
      </c>
      <c r="AH17" s="208">
        <v>320</v>
      </c>
      <c r="AI17">
        <f t="shared" si="2"/>
        <v>25</v>
      </c>
      <c r="AJ17">
        <f t="shared" si="3"/>
        <v>5</v>
      </c>
      <c r="AL17" s="136" t="s">
        <v>164</v>
      </c>
      <c r="AM17" s="211">
        <f>SUM(AG2:AG253)</f>
        <v>103168</v>
      </c>
      <c r="AN17" s="211">
        <f>SUM(AH2:AH253)</f>
        <v>80912</v>
      </c>
      <c r="AO17" s="210">
        <f>AM17/SUM(AM17:AN17)</f>
        <v>0.56045197740112995</v>
      </c>
    </row>
    <row r="18" spans="2:41" x14ac:dyDescent="0.2">
      <c r="B18" s="90">
        <f t="shared" si="8"/>
        <v>43405</v>
      </c>
      <c r="C18" s="83">
        <v>2.0855360385285375</v>
      </c>
      <c r="D18" s="83">
        <v>2.2056324011479607</v>
      </c>
      <c r="E18" s="91">
        <f t="shared" si="4"/>
        <v>2018</v>
      </c>
      <c r="G18" s="84">
        <f t="shared" si="9"/>
        <v>2028</v>
      </c>
      <c r="H18" s="85">
        <f t="shared" si="5"/>
        <v>4.18</v>
      </c>
      <c r="I18" s="85">
        <f t="shared" si="6"/>
        <v>4.1900000000000004</v>
      </c>
      <c r="K18" s="17">
        <f t="shared" si="10"/>
        <v>11</v>
      </c>
      <c r="L18" s="112">
        <f t="shared" si="11"/>
        <v>2018</v>
      </c>
      <c r="M18" s="86">
        <f t="shared" si="7"/>
        <v>43405</v>
      </c>
      <c r="N18" s="87">
        <v>21.651499999999999</v>
      </c>
      <c r="O18" s="87">
        <v>22.890329999999999</v>
      </c>
      <c r="P18" s="87">
        <v>18.667899999999999</v>
      </c>
      <c r="Q18" s="88">
        <v>20.963529999999999</v>
      </c>
      <c r="S18" s="109">
        <v>22.032489778085989</v>
      </c>
      <c r="T18" s="111">
        <f t="shared" si="12"/>
        <v>1.0389352374858349</v>
      </c>
      <c r="U18" s="111">
        <f t="shared" si="13"/>
        <v>0.95148257011110926</v>
      </c>
      <c r="W18" s="84">
        <f t="shared" si="14"/>
        <v>2028</v>
      </c>
      <c r="X18" s="89">
        <f t="shared" si="15"/>
        <v>42.94</v>
      </c>
      <c r="Y18" s="89">
        <f t="shared" si="15"/>
        <v>46.92</v>
      </c>
      <c r="Z18" s="89">
        <f t="shared" si="15"/>
        <v>36.549999999999997</v>
      </c>
      <c r="AA18" s="89">
        <f t="shared" si="15"/>
        <v>41.57</v>
      </c>
      <c r="AD18" s="209" t="str">
        <f t="shared" si="0"/>
        <v>Winter</v>
      </c>
      <c r="AE18">
        <f t="shared" si="1"/>
        <v>5</v>
      </c>
      <c r="AF18" s="207">
        <v>43221</v>
      </c>
      <c r="AG18" s="208">
        <v>416</v>
      </c>
      <c r="AH18" s="208">
        <v>328</v>
      </c>
      <c r="AI18">
        <f t="shared" si="2"/>
        <v>26</v>
      </c>
      <c r="AJ18">
        <f t="shared" si="3"/>
        <v>5</v>
      </c>
    </row>
    <row r="19" spans="2:41" x14ac:dyDescent="0.2">
      <c r="B19" s="92">
        <f t="shared" si="8"/>
        <v>43435</v>
      </c>
      <c r="C19" s="93">
        <v>2.4523769033712468</v>
      </c>
      <c r="D19" s="93">
        <v>2.6360468398526464</v>
      </c>
      <c r="E19" s="94">
        <f t="shared" si="4"/>
        <v>2018</v>
      </c>
      <c r="G19" s="84">
        <f t="shared" si="9"/>
        <v>2029</v>
      </c>
      <c r="H19" s="85">
        <f t="shared" si="5"/>
        <v>4.5599999999999996</v>
      </c>
      <c r="I19" s="85">
        <f t="shared" si="6"/>
        <v>4.6399999999999997</v>
      </c>
      <c r="K19" s="17">
        <f t="shared" si="10"/>
        <v>12</v>
      </c>
      <c r="L19" s="112">
        <f t="shared" si="11"/>
        <v>2018</v>
      </c>
      <c r="M19" s="95">
        <f t="shared" si="7"/>
        <v>43435</v>
      </c>
      <c r="N19" s="96">
        <v>29.02863</v>
      </c>
      <c r="O19" s="96">
        <v>26.9696</v>
      </c>
      <c r="P19" s="96">
        <v>24.3202</v>
      </c>
      <c r="Q19" s="97">
        <v>22.881170000000001</v>
      </c>
      <c r="S19" s="109">
        <v>25.079250645161292</v>
      </c>
      <c r="T19" s="111">
        <f t="shared" si="12"/>
        <v>1.0753750333925318</v>
      </c>
      <c r="U19" s="111">
        <f t="shared" si="13"/>
        <v>0.91235461233426518</v>
      </c>
      <c r="W19" s="84">
        <f t="shared" si="14"/>
        <v>2029</v>
      </c>
      <c r="X19" s="89">
        <f t="shared" si="15"/>
        <v>46.67</v>
      </c>
      <c r="Y19" s="89">
        <f t="shared" si="15"/>
        <v>50.1</v>
      </c>
      <c r="Z19" s="89">
        <f t="shared" si="15"/>
        <v>40.14</v>
      </c>
      <c r="AA19" s="89">
        <f t="shared" si="15"/>
        <v>44.52</v>
      </c>
      <c r="AD19" s="209" t="str">
        <f t="shared" si="0"/>
        <v>Summer</v>
      </c>
      <c r="AE19">
        <f t="shared" si="1"/>
        <v>6</v>
      </c>
      <c r="AF19" s="207">
        <v>43252</v>
      </c>
      <c r="AG19" s="208">
        <v>416</v>
      </c>
      <c r="AH19" s="208">
        <v>304</v>
      </c>
      <c r="AI19">
        <f t="shared" si="2"/>
        <v>26</v>
      </c>
      <c r="AJ19">
        <f t="shared" si="3"/>
        <v>4</v>
      </c>
      <c r="AL19" t="s">
        <v>163</v>
      </c>
      <c r="AM19">
        <f>SUMIF($AD$2:$AD$253,"Summer",$AG$2:$AG$253)</f>
        <v>34464</v>
      </c>
      <c r="AN19" s="367">
        <f>AM19/$AM$23</f>
        <v>0.18722294654498045</v>
      </c>
      <c r="AO19" s="367"/>
    </row>
    <row r="20" spans="2:41" x14ac:dyDescent="0.2">
      <c r="B20" s="266">
        <f>EDATE(B19,1)</f>
        <v>43466</v>
      </c>
      <c r="C20" s="83">
        <v>2.5681674556819347</v>
      </c>
      <c r="D20" s="83">
        <v>2.530235119687076</v>
      </c>
      <c r="E20" s="265">
        <f t="shared" si="4"/>
        <v>2019</v>
      </c>
      <c r="G20" s="84">
        <f t="shared" si="9"/>
        <v>2030</v>
      </c>
      <c r="H20" s="85">
        <f t="shared" si="5"/>
        <v>5.0199999999999996</v>
      </c>
      <c r="I20" s="85">
        <f t="shared" si="6"/>
        <v>5.0999999999999996</v>
      </c>
      <c r="K20" s="17">
        <f t="shared" si="10"/>
        <v>1</v>
      </c>
      <c r="L20" s="112">
        <f t="shared" si="11"/>
        <v>2019</v>
      </c>
      <c r="M20" s="86">
        <f t="shared" si="7"/>
        <v>43466</v>
      </c>
      <c r="N20" s="264">
        <v>28.196370000000002</v>
      </c>
      <c r="O20" s="264">
        <v>26.935970000000001</v>
      </c>
      <c r="P20" s="264">
        <v>22.728300000000001</v>
      </c>
      <c r="Q20" s="263">
        <v>25.072330000000001</v>
      </c>
      <c r="S20" s="109">
        <v>26.114365268817203</v>
      </c>
      <c r="T20" s="111">
        <f t="shared" si="12"/>
        <v>1.0314617921104086</v>
      </c>
      <c r="U20" s="111">
        <f t="shared" si="13"/>
        <v>0.96009723927460411</v>
      </c>
      <c r="W20" s="84">
        <f t="shared" si="14"/>
        <v>2030</v>
      </c>
      <c r="X20" s="89">
        <f t="shared" si="15"/>
        <v>50.21</v>
      </c>
      <c r="Y20" s="89">
        <f t="shared" si="15"/>
        <v>53.85</v>
      </c>
      <c r="Z20" s="89">
        <f t="shared" si="15"/>
        <v>43.32</v>
      </c>
      <c r="AA20" s="89">
        <f t="shared" si="15"/>
        <v>48.13</v>
      </c>
      <c r="AD20" s="209" t="str">
        <f t="shared" si="0"/>
        <v>Summer</v>
      </c>
      <c r="AE20">
        <f t="shared" si="1"/>
        <v>7</v>
      </c>
      <c r="AF20" s="207">
        <v>43282</v>
      </c>
      <c r="AG20" s="208">
        <v>400</v>
      </c>
      <c r="AH20" s="208">
        <v>344</v>
      </c>
      <c r="AI20">
        <f t="shared" si="2"/>
        <v>25</v>
      </c>
      <c r="AJ20">
        <f t="shared" si="3"/>
        <v>6</v>
      </c>
      <c r="AL20" t="s">
        <v>162</v>
      </c>
      <c r="AM20">
        <f>SUMIF($AD$2:$AD$253,"Winter",$AG$2:$AG$253)</f>
        <v>68704</v>
      </c>
      <c r="AN20" s="367">
        <f>AM20/$AM$23</f>
        <v>0.3732290308561495</v>
      </c>
      <c r="AO20" s="367">
        <f>AN20+AN19</f>
        <v>0.56045197740112995</v>
      </c>
    </row>
    <row r="21" spans="2:41" x14ac:dyDescent="0.2">
      <c r="B21" s="90">
        <f t="shared" si="8"/>
        <v>43497</v>
      </c>
      <c r="C21" s="83">
        <v>2.4313706527308128</v>
      </c>
      <c r="D21" s="83">
        <v>2.3635249387439528</v>
      </c>
      <c r="E21" s="91">
        <f t="shared" si="4"/>
        <v>2019</v>
      </c>
      <c r="G21" s="84">
        <f t="shared" si="9"/>
        <v>2031</v>
      </c>
      <c r="H21" s="85">
        <f t="shared" si="5"/>
        <v>5.05</v>
      </c>
      <c r="I21" s="85">
        <f t="shared" si="6"/>
        <v>5.09</v>
      </c>
      <c r="K21" s="17">
        <f t="shared" si="10"/>
        <v>2</v>
      </c>
      <c r="L21" s="112">
        <f t="shared" si="11"/>
        <v>2019</v>
      </c>
      <c r="M21" s="86">
        <f t="shared" si="7"/>
        <v>43497</v>
      </c>
      <c r="N21" s="87">
        <v>24.519570000000002</v>
      </c>
      <c r="O21" s="87">
        <v>26.0488</v>
      </c>
      <c r="P21" s="87">
        <v>21.080500000000001</v>
      </c>
      <c r="Q21" s="88">
        <v>23.9695</v>
      </c>
      <c r="S21" s="109">
        <v>25.157671428571426</v>
      </c>
      <c r="T21" s="111">
        <f t="shared" si="12"/>
        <v>1.0354217429843895</v>
      </c>
      <c r="U21" s="111">
        <f t="shared" si="13"/>
        <v>0.95277100935414771</v>
      </c>
      <c r="W21" s="84">
        <f t="shared" si="14"/>
        <v>2031</v>
      </c>
      <c r="X21" s="89">
        <f t="shared" si="15"/>
        <v>50.22</v>
      </c>
      <c r="Y21" s="89">
        <f t="shared" si="15"/>
        <v>54.73</v>
      </c>
      <c r="Z21" s="89">
        <f t="shared" si="15"/>
        <v>43.56</v>
      </c>
      <c r="AA21" s="89">
        <f t="shared" si="15"/>
        <v>49.13</v>
      </c>
      <c r="AD21" s="209" t="str">
        <f t="shared" si="0"/>
        <v>Summer</v>
      </c>
      <c r="AE21">
        <f t="shared" si="1"/>
        <v>8</v>
      </c>
      <c r="AF21" s="207">
        <v>43313</v>
      </c>
      <c r="AG21" s="208">
        <v>432</v>
      </c>
      <c r="AH21" s="208">
        <v>312</v>
      </c>
      <c r="AI21">
        <f t="shared" si="2"/>
        <v>27</v>
      </c>
      <c r="AJ21">
        <f t="shared" si="3"/>
        <v>4</v>
      </c>
      <c r="AL21" s="50" t="s">
        <v>59</v>
      </c>
      <c r="AM21">
        <f>SUMIF($AD$2:$AD$253,"Summer",$AH$2:$AH$253)</f>
        <v>27024</v>
      </c>
      <c r="AN21" s="367">
        <f>AM21/$AM$23</f>
        <v>0.1468057366362451</v>
      </c>
    </row>
    <row r="22" spans="2:41" x14ac:dyDescent="0.2">
      <c r="B22" s="90">
        <f t="shared" si="8"/>
        <v>43525</v>
      </c>
      <c r="C22" s="83">
        <v>2.1710980838200635</v>
      </c>
      <c r="D22" s="83">
        <v>2.0809993954753572</v>
      </c>
      <c r="E22" s="91">
        <f t="shared" si="4"/>
        <v>2019</v>
      </c>
      <c r="G22" s="84">
        <f t="shared" si="9"/>
        <v>2032</v>
      </c>
      <c r="H22" s="85">
        <f t="shared" si="5"/>
        <v>5.43</v>
      </c>
      <c r="I22" s="85">
        <f t="shared" si="6"/>
        <v>5.48</v>
      </c>
      <c r="K22" s="17">
        <f t="shared" si="10"/>
        <v>3</v>
      </c>
      <c r="L22" s="112">
        <f t="shared" si="11"/>
        <v>2019</v>
      </c>
      <c r="M22" s="86">
        <f t="shared" si="7"/>
        <v>43525</v>
      </c>
      <c r="N22" s="87">
        <v>19.636369999999999</v>
      </c>
      <c r="O22" s="87">
        <v>22.341000000000001</v>
      </c>
      <c r="P22" s="87">
        <v>16.409970000000001</v>
      </c>
      <c r="Q22" s="88">
        <v>21.094200000000001</v>
      </c>
      <c r="S22" s="109">
        <v>21.792273755047106</v>
      </c>
      <c r="T22" s="111">
        <f t="shared" si="12"/>
        <v>1.0251798527827236</v>
      </c>
      <c r="U22" s="111">
        <f t="shared" si="13"/>
        <v>0.96796691511433353</v>
      </c>
      <c r="W22" s="84">
        <f t="shared" si="14"/>
        <v>2032</v>
      </c>
      <c r="X22" s="89">
        <f t="shared" si="15"/>
        <v>53.79</v>
      </c>
      <c r="Y22" s="89">
        <f t="shared" si="15"/>
        <v>58.54</v>
      </c>
      <c r="Z22" s="89">
        <f t="shared" si="15"/>
        <v>46.77</v>
      </c>
      <c r="AA22" s="89">
        <f t="shared" si="15"/>
        <v>52.71</v>
      </c>
      <c r="AD22" s="209" t="str">
        <f t="shared" si="0"/>
        <v>Summer</v>
      </c>
      <c r="AE22">
        <f t="shared" si="1"/>
        <v>9</v>
      </c>
      <c r="AF22" s="207">
        <v>43344</v>
      </c>
      <c r="AG22" s="208">
        <v>384</v>
      </c>
      <c r="AH22" s="208">
        <v>336</v>
      </c>
      <c r="AI22">
        <f t="shared" si="2"/>
        <v>24</v>
      </c>
      <c r="AJ22">
        <f t="shared" si="3"/>
        <v>6</v>
      </c>
      <c r="AL22" s="50" t="s">
        <v>60</v>
      </c>
      <c r="AM22">
        <f>SUMIF($AD$2:$AD$253,"Winter",$AH$2:$AH$253)</f>
        <v>53888</v>
      </c>
      <c r="AN22" s="367">
        <f>AM22/$AM$23</f>
        <v>0.29274228596262497</v>
      </c>
      <c r="AO22" s="367">
        <f>AN21+AN22</f>
        <v>0.43954802259887005</v>
      </c>
    </row>
    <row r="23" spans="2:41" x14ac:dyDescent="0.2">
      <c r="B23" s="90">
        <f t="shared" si="8"/>
        <v>43556</v>
      </c>
      <c r="C23" s="83">
        <v>1.7484113331283946</v>
      </c>
      <c r="D23" s="83">
        <v>1.5292005565417468</v>
      </c>
      <c r="E23" s="91">
        <f t="shared" si="4"/>
        <v>2019</v>
      </c>
      <c r="G23" s="84">
        <f t="shared" si="9"/>
        <v>2033</v>
      </c>
      <c r="H23" s="85">
        <f t="shared" si="5"/>
        <v>5.71</v>
      </c>
      <c r="I23" s="85">
        <f t="shared" si="6"/>
        <v>5.78</v>
      </c>
      <c r="K23" s="17">
        <f t="shared" si="10"/>
        <v>4</v>
      </c>
      <c r="L23" s="112">
        <f t="shared" si="11"/>
        <v>2019</v>
      </c>
      <c r="M23" s="86">
        <f t="shared" si="7"/>
        <v>43556</v>
      </c>
      <c r="N23" s="87">
        <v>14.924300000000001</v>
      </c>
      <c r="O23" s="87">
        <v>19.465150000000001</v>
      </c>
      <c r="P23" s="87">
        <v>8.59</v>
      </c>
      <c r="Q23" s="88">
        <v>15.2347</v>
      </c>
      <c r="S23" s="109">
        <v>17.67896</v>
      </c>
      <c r="T23" s="111">
        <f t="shared" si="12"/>
        <v>1.1010347893767507</v>
      </c>
      <c r="U23" s="111">
        <f t="shared" si="13"/>
        <v>0.86174186716865697</v>
      </c>
      <c r="W23" s="84">
        <f t="shared" si="14"/>
        <v>2033</v>
      </c>
      <c r="X23" s="89">
        <f t="shared" si="15"/>
        <v>56.11</v>
      </c>
      <c r="Y23" s="89">
        <f t="shared" si="15"/>
        <v>60.64</v>
      </c>
      <c r="Z23" s="89">
        <f t="shared" si="15"/>
        <v>49.03</v>
      </c>
      <c r="AA23" s="89">
        <f t="shared" si="15"/>
        <v>55.01</v>
      </c>
      <c r="AD23" s="209" t="str">
        <f t="shared" si="0"/>
        <v>Winter</v>
      </c>
      <c r="AE23">
        <f t="shared" si="1"/>
        <v>10</v>
      </c>
      <c r="AF23" s="207">
        <v>43374</v>
      </c>
      <c r="AG23" s="208">
        <v>432</v>
      </c>
      <c r="AH23" s="208">
        <v>312</v>
      </c>
      <c r="AI23">
        <f t="shared" si="2"/>
        <v>27</v>
      </c>
      <c r="AJ23">
        <f t="shared" si="3"/>
        <v>4</v>
      </c>
      <c r="AM23">
        <f>SUM(AM19:AM22)</f>
        <v>184080</v>
      </c>
    </row>
    <row r="24" spans="2:41" x14ac:dyDescent="0.2">
      <c r="B24" s="90">
        <f t="shared" si="8"/>
        <v>43586</v>
      </c>
      <c r="C24" s="83">
        <v>1.7243309970283842</v>
      </c>
      <c r="D24" s="83">
        <v>1.578445289854671</v>
      </c>
      <c r="E24" s="91">
        <f t="shared" si="4"/>
        <v>2019</v>
      </c>
      <c r="G24" s="84">
        <f t="shared" si="9"/>
        <v>2034</v>
      </c>
      <c r="H24" s="85">
        <f t="shared" si="5"/>
        <v>5.65</v>
      </c>
      <c r="I24" s="85">
        <f t="shared" si="6"/>
        <v>5.67</v>
      </c>
      <c r="K24" s="17">
        <f t="shared" si="10"/>
        <v>5</v>
      </c>
      <c r="L24" s="112">
        <f t="shared" si="11"/>
        <v>2019</v>
      </c>
      <c r="M24" s="86">
        <f t="shared" si="7"/>
        <v>43586</v>
      </c>
      <c r="N24" s="87">
        <v>15.77595</v>
      </c>
      <c r="O24" s="87">
        <v>22.289850000000001</v>
      </c>
      <c r="P24" s="87">
        <v>7.46</v>
      </c>
      <c r="Q24" s="88">
        <v>18.235700000000001</v>
      </c>
      <c r="S24" s="109">
        <v>20.502536559139788</v>
      </c>
      <c r="T24" s="111">
        <f t="shared" si="12"/>
        <v>1.0871752349132358</v>
      </c>
      <c r="U24" s="111">
        <f t="shared" si="13"/>
        <v>0.88943628742711556</v>
      </c>
      <c r="W24" s="84">
        <f t="shared" si="14"/>
        <v>2034</v>
      </c>
      <c r="X24" s="89">
        <f t="shared" si="15"/>
        <v>56.02</v>
      </c>
      <c r="Y24" s="89">
        <f t="shared" si="15"/>
        <v>61.14</v>
      </c>
      <c r="Z24" s="89">
        <f t="shared" si="15"/>
        <v>48.94</v>
      </c>
      <c r="AA24" s="89">
        <f t="shared" si="15"/>
        <v>55.33</v>
      </c>
      <c r="AD24" s="209" t="str">
        <f t="shared" si="0"/>
        <v>Winter</v>
      </c>
      <c r="AE24">
        <f t="shared" si="1"/>
        <v>11</v>
      </c>
      <c r="AF24" s="207">
        <v>43405</v>
      </c>
      <c r="AG24" s="208">
        <v>400</v>
      </c>
      <c r="AH24" s="208">
        <v>320</v>
      </c>
      <c r="AI24">
        <f t="shared" si="2"/>
        <v>25</v>
      </c>
      <c r="AJ24">
        <f t="shared" si="3"/>
        <v>5</v>
      </c>
    </row>
    <row r="25" spans="2:41" x14ac:dyDescent="0.2">
      <c r="B25" s="90">
        <f t="shared" si="8"/>
        <v>43617</v>
      </c>
      <c r="C25" s="83">
        <v>1.7484113331283946</v>
      </c>
      <c r="D25" s="83">
        <v>1.5814360694694871</v>
      </c>
      <c r="E25" s="91">
        <f t="shared" si="4"/>
        <v>2019</v>
      </c>
      <c r="G25" s="84">
        <f t="shared" si="9"/>
        <v>2035</v>
      </c>
      <c r="H25" s="85">
        <f t="shared" si="5"/>
        <v>5.84</v>
      </c>
      <c r="I25" s="85">
        <f t="shared" si="6"/>
        <v>5.82</v>
      </c>
      <c r="K25" s="17">
        <f t="shared" si="10"/>
        <v>6</v>
      </c>
      <c r="L25" s="112">
        <f t="shared" si="11"/>
        <v>2019</v>
      </c>
      <c r="M25" s="86">
        <f t="shared" si="7"/>
        <v>43617</v>
      </c>
      <c r="N25" s="87">
        <v>19.651</v>
      </c>
      <c r="O25" s="87">
        <v>32.181750000000001</v>
      </c>
      <c r="P25" s="87">
        <v>10.8714</v>
      </c>
      <c r="Q25" s="88">
        <v>22.893899999999999</v>
      </c>
      <c r="S25" s="109">
        <v>28.053816666666666</v>
      </c>
      <c r="T25" s="111">
        <f t="shared" si="12"/>
        <v>1.1471433774014113</v>
      </c>
      <c r="U25" s="111">
        <f t="shared" si="13"/>
        <v>0.81607077824823593</v>
      </c>
      <c r="W25" s="84">
        <f t="shared" si="14"/>
        <v>2035</v>
      </c>
      <c r="X25" s="89">
        <f t="shared" si="15"/>
        <v>57.86</v>
      </c>
      <c r="Y25" s="89">
        <f t="shared" si="15"/>
        <v>63.85</v>
      </c>
      <c r="Z25" s="89">
        <f t="shared" si="15"/>
        <v>50.76</v>
      </c>
      <c r="AA25" s="89">
        <f t="shared" si="15"/>
        <v>57.73</v>
      </c>
      <c r="AD25" s="209" t="str">
        <f t="shared" si="0"/>
        <v>Winter</v>
      </c>
      <c r="AE25">
        <f t="shared" si="1"/>
        <v>12</v>
      </c>
      <c r="AF25" s="207">
        <v>43435</v>
      </c>
      <c r="AG25" s="208">
        <v>400</v>
      </c>
      <c r="AH25" s="208">
        <v>344</v>
      </c>
      <c r="AI25">
        <f t="shared" si="2"/>
        <v>25</v>
      </c>
      <c r="AJ25">
        <f t="shared" si="3"/>
        <v>6</v>
      </c>
    </row>
    <row r="26" spans="2:41" x14ac:dyDescent="0.2">
      <c r="B26" s="90">
        <f t="shared" si="8"/>
        <v>43647</v>
      </c>
      <c r="C26" s="83">
        <v>1.9087761246029307</v>
      </c>
      <c r="D26" s="83">
        <v>1.749899466048882</v>
      </c>
      <c r="E26" s="91">
        <f t="shared" si="4"/>
        <v>2019</v>
      </c>
      <c r="G26" s="84">
        <f t="shared" si="9"/>
        <v>2036</v>
      </c>
      <c r="H26" s="85">
        <f t="shared" si="5"/>
        <v>5.79</v>
      </c>
      <c r="I26" s="85">
        <f t="shared" si="6"/>
        <v>5.77</v>
      </c>
      <c r="K26" s="17">
        <f t="shared" si="10"/>
        <v>7</v>
      </c>
      <c r="L26" s="112">
        <f t="shared" si="11"/>
        <v>2019</v>
      </c>
      <c r="M26" s="86">
        <f t="shared" si="7"/>
        <v>43647</v>
      </c>
      <c r="N26" s="87">
        <v>27.264150000000001</v>
      </c>
      <c r="O26" s="87">
        <v>41.284050000000001</v>
      </c>
      <c r="P26" s="87">
        <v>16.40015</v>
      </c>
      <c r="Q26" s="88">
        <v>24.060849999999999</v>
      </c>
      <c r="S26" s="109">
        <v>33.691026344086019</v>
      </c>
      <c r="T26" s="111">
        <f t="shared" si="12"/>
        <v>1.2253722869219397</v>
      </c>
      <c r="U26" s="111">
        <f t="shared" si="13"/>
        <v>0.71416197756241817</v>
      </c>
      <c r="W26" s="84">
        <f t="shared" si="14"/>
        <v>2036</v>
      </c>
      <c r="X26" s="89">
        <f t="shared" si="15"/>
        <v>58.33</v>
      </c>
      <c r="Y26" s="89">
        <f t="shared" si="15"/>
        <v>64.58</v>
      </c>
      <c r="Z26" s="89">
        <f t="shared" si="15"/>
        <v>51.33</v>
      </c>
      <c r="AA26" s="89">
        <f t="shared" si="15"/>
        <v>58.51</v>
      </c>
      <c r="AD26" s="209" t="str">
        <f t="shared" si="0"/>
        <v>Winter</v>
      </c>
      <c r="AE26">
        <f t="shared" si="1"/>
        <v>1</v>
      </c>
      <c r="AF26" s="207">
        <v>43466</v>
      </c>
      <c r="AG26" s="208">
        <v>416</v>
      </c>
      <c r="AH26" s="208">
        <v>328</v>
      </c>
      <c r="AI26">
        <f t="shared" si="2"/>
        <v>26</v>
      </c>
      <c r="AJ26">
        <f t="shared" si="3"/>
        <v>5</v>
      </c>
    </row>
    <row r="27" spans="2:41" x14ac:dyDescent="0.2">
      <c r="B27" s="90">
        <f t="shared" si="8"/>
        <v>43678</v>
      </c>
      <c r="C27" s="83">
        <v>1.9138996003688906</v>
      </c>
      <c r="D27" s="83">
        <v>1.7467024257709747</v>
      </c>
      <c r="E27" s="91">
        <f t="shared" si="4"/>
        <v>2019</v>
      </c>
      <c r="G27" s="84">
        <f t="shared" si="9"/>
        <v>2037</v>
      </c>
      <c r="H27" s="85">
        <f t="shared" si="5"/>
        <v>6.13</v>
      </c>
      <c r="I27" s="85">
        <f t="shared" si="6"/>
        <v>6.15</v>
      </c>
      <c r="K27" s="17">
        <f t="shared" si="10"/>
        <v>8</v>
      </c>
      <c r="L27" s="112">
        <f t="shared" si="11"/>
        <v>2019</v>
      </c>
      <c r="M27" s="86">
        <f t="shared" si="7"/>
        <v>43678</v>
      </c>
      <c r="N27" s="87">
        <v>30.684200000000001</v>
      </c>
      <c r="O27" s="87">
        <v>41.030500000000004</v>
      </c>
      <c r="P27" s="87">
        <v>20.613800000000001</v>
      </c>
      <c r="Q27" s="88">
        <v>24.993849999999998</v>
      </c>
      <c r="S27" s="109">
        <v>34.305453225806453</v>
      </c>
      <c r="T27" s="111">
        <f t="shared" si="12"/>
        <v>1.1960343368713928</v>
      </c>
      <c r="U27" s="111">
        <f t="shared" si="13"/>
        <v>0.72856784125499463</v>
      </c>
      <c r="W27" s="84">
        <f t="shared" si="14"/>
        <v>2037</v>
      </c>
      <c r="X27" s="89">
        <f t="shared" si="15"/>
        <v>62.41</v>
      </c>
      <c r="Y27" s="89">
        <f t="shared" si="15"/>
        <v>68.12</v>
      </c>
      <c r="Z27" s="89">
        <f t="shared" si="15"/>
        <v>54.62</v>
      </c>
      <c r="AA27" s="89">
        <f t="shared" si="15"/>
        <v>61.95</v>
      </c>
      <c r="AD27" s="209" t="str">
        <f t="shared" si="0"/>
        <v>Winter</v>
      </c>
      <c r="AE27">
        <f t="shared" si="1"/>
        <v>2</v>
      </c>
      <c r="AF27" s="207">
        <v>43497</v>
      </c>
      <c r="AG27" s="208">
        <v>384</v>
      </c>
      <c r="AH27" s="208">
        <v>288</v>
      </c>
      <c r="AI27">
        <f t="shared" si="2"/>
        <v>24</v>
      </c>
      <c r="AJ27">
        <f t="shared" si="3"/>
        <v>4</v>
      </c>
    </row>
    <row r="28" spans="2:41" x14ac:dyDescent="0.2">
      <c r="B28" s="90">
        <f t="shared" si="8"/>
        <v>43709</v>
      </c>
      <c r="C28" s="83">
        <v>1.8057942617071425</v>
      </c>
      <c r="D28" s="83">
        <v>1.7403599103809331</v>
      </c>
      <c r="E28" s="91">
        <f t="shared" si="4"/>
        <v>2019</v>
      </c>
      <c r="G28" s="84"/>
      <c r="H28" s="85"/>
      <c r="I28" s="85"/>
      <c r="K28" s="17">
        <f t="shared" si="10"/>
        <v>9</v>
      </c>
      <c r="L28" s="112">
        <f t="shared" si="11"/>
        <v>2019</v>
      </c>
      <c r="M28" s="86">
        <f t="shared" si="7"/>
        <v>43709</v>
      </c>
      <c r="N28" s="87">
        <v>27.6541</v>
      </c>
      <c r="O28" s="87">
        <v>33.013849999999998</v>
      </c>
      <c r="P28" s="87">
        <v>20.616599999999998</v>
      </c>
      <c r="Q28" s="88">
        <v>22.775300000000001</v>
      </c>
      <c r="S28" s="109">
        <v>28.235859999999999</v>
      </c>
      <c r="T28" s="111">
        <f t="shared" si="12"/>
        <v>1.1692170877741992</v>
      </c>
      <c r="U28" s="111">
        <f t="shared" si="13"/>
        <v>0.80660904254377241</v>
      </c>
      <c r="W28" s="84"/>
      <c r="X28" s="89"/>
      <c r="Y28" s="89"/>
      <c r="Z28" s="89"/>
      <c r="AA28" s="89"/>
      <c r="AD28" s="209" t="str">
        <f t="shared" si="0"/>
        <v>Winter</v>
      </c>
      <c r="AE28">
        <f t="shared" si="1"/>
        <v>3</v>
      </c>
      <c r="AF28" s="207">
        <v>43525</v>
      </c>
      <c r="AG28" s="208">
        <v>416</v>
      </c>
      <c r="AH28" s="208">
        <v>328</v>
      </c>
      <c r="AI28">
        <f t="shared" si="2"/>
        <v>26</v>
      </c>
      <c r="AJ28">
        <f t="shared" si="3"/>
        <v>5</v>
      </c>
    </row>
    <row r="29" spans="2:41" x14ac:dyDescent="0.2">
      <c r="B29" s="90">
        <f t="shared" si="8"/>
        <v>43739</v>
      </c>
      <c r="C29" s="83">
        <v>1.8155288656624655</v>
      </c>
      <c r="D29" s="83">
        <v>1.7695457942082791</v>
      </c>
      <c r="E29" s="91">
        <f t="shared" si="4"/>
        <v>2019</v>
      </c>
      <c r="G29" s="84"/>
      <c r="H29" s="85"/>
      <c r="I29" s="85"/>
      <c r="K29" s="17">
        <f t="shared" si="10"/>
        <v>10</v>
      </c>
      <c r="L29" s="112">
        <f t="shared" si="11"/>
        <v>2019</v>
      </c>
      <c r="M29" s="86">
        <f t="shared" si="7"/>
        <v>43739</v>
      </c>
      <c r="N29" s="87">
        <v>22.363800000000001</v>
      </c>
      <c r="O29" s="87">
        <v>24.903199999999998</v>
      </c>
      <c r="P29" s="87">
        <v>18.903700000000001</v>
      </c>
      <c r="Q29" s="88">
        <v>21.9374</v>
      </c>
      <c r="S29" s="109">
        <v>23.659477419354836</v>
      </c>
      <c r="T29" s="111">
        <f t="shared" si="12"/>
        <v>1.0525676268583906</v>
      </c>
      <c r="U29" s="111">
        <f t="shared" si="13"/>
        <v>0.92721405511915167</v>
      </c>
      <c r="W29" s="84"/>
      <c r="X29" s="89"/>
      <c r="Y29" s="89"/>
      <c r="Z29" s="89"/>
      <c r="AA29" s="89"/>
      <c r="AD29" s="209" t="str">
        <f t="shared" si="0"/>
        <v>Winter</v>
      </c>
      <c r="AE29">
        <f t="shared" si="1"/>
        <v>4</v>
      </c>
      <c r="AF29" s="207">
        <v>43556</v>
      </c>
      <c r="AG29" s="208">
        <v>416</v>
      </c>
      <c r="AH29" s="208">
        <v>304</v>
      </c>
      <c r="AI29">
        <f t="shared" si="2"/>
        <v>26</v>
      </c>
      <c r="AJ29">
        <f t="shared" si="3"/>
        <v>4</v>
      </c>
    </row>
    <row r="30" spans="2:41" x14ac:dyDescent="0.2">
      <c r="B30" s="90">
        <f t="shared" si="8"/>
        <v>43770</v>
      </c>
      <c r="C30" s="83">
        <v>2.13984488164771</v>
      </c>
      <c r="D30" s="83">
        <v>2.2319306356920356</v>
      </c>
      <c r="E30" s="91">
        <f t="shared" si="4"/>
        <v>2019</v>
      </c>
      <c r="G30" s="84"/>
      <c r="H30" s="85"/>
      <c r="I30" s="85"/>
      <c r="K30" s="17">
        <f t="shared" si="10"/>
        <v>11</v>
      </c>
      <c r="L30" s="112">
        <f t="shared" si="11"/>
        <v>2019</v>
      </c>
      <c r="M30" s="86">
        <f t="shared" si="7"/>
        <v>43770</v>
      </c>
      <c r="N30" s="87">
        <v>24.527750000000001</v>
      </c>
      <c r="O30" s="87">
        <v>25.0975</v>
      </c>
      <c r="P30" s="87">
        <v>21.370550000000001</v>
      </c>
      <c r="Q30" s="88">
        <v>21.594750000000001</v>
      </c>
      <c r="S30" s="109">
        <v>23.538023231622748</v>
      </c>
      <c r="T30" s="111">
        <f t="shared" si="12"/>
        <v>1.0662535147081567</v>
      </c>
      <c r="U30" s="111">
        <f t="shared" si="13"/>
        <v>0.91744110316740579</v>
      </c>
      <c r="W30" s="84"/>
      <c r="X30" s="89"/>
      <c r="Y30" s="89"/>
      <c r="Z30" s="89"/>
      <c r="AA30" s="89"/>
      <c r="AD30" s="209" t="str">
        <f t="shared" si="0"/>
        <v>Winter</v>
      </c>
      <c r="AE30">
        <f t="shared" si="1"/>
        <v>5</v>
      </c>
      <c r="AF30" s="207">
        <v>43586</v>
      </c>
      <c r="AG30" s="208">
        <v>416</v>
      </c>
      <c r="AH30" s="208">
        <v>328</v>
      </c>
      <c r="AI30">
        <f t="shared" si="2"/>
        <v>26</v>
      </c>
      <c r="AJ30">
        <f t="shared" si="3"/>
        <v>5</v>
      </c>
    </row>
    <row r="31" spans="2:41" x14ac:dyDescent="0.2">
      <c r="B31" s="92">
        <f t="shared" si="8"/>
        <v>43800</v>
      </c>
      <c r="C31" s="93">
        <v>2.3586172968541859</v>
      </c>
      <c r="D31" s="93">
        <v>2.4914581150260098</v>
      </c>
      <c r="E31" s="94">
        <f t="shared" si="4"/>
        <v>2019</v>
      </c>
      <c r="G31" s="84"/>
      <c r="H31" s="85"/>
      <c r="I31" s="85"/>
      <c r="K31" s="17">
        <f t="shared" si="10"/>
        <v>12</v>
      </c>
      <c r="L31" s="112">
        <f t="shared" si="11"/>
        <v>2019</v>
      </c>
      <c r="M31" s="95">
        <f t="shared" si="7"/>
        <v>43800</v>
      </c>
      <c r="N31" s="96">
        <v>29.597549999999998</v>
      </c>
      <c r="O31" s="96">
        <v>28.1875</v>
      </c>
      <c r="P31" s="96">
        <v>24.200299999999999</v>
      </c>
      <c r="Q31" s="97">
        <v>22.938199999999998</v>
      </c>
      <c r="S31" s="109">
        <v>25.760404301075269</v>
      </c>
      <c r="T31" s="111">
        <f t="shared" si="12"/>
        <v>1.0942180747847743</v>
      </c>
      <c r="U31" s="111">
        <f t="shared" si="13"/>
        <v>0.89044409908747169</v>
      </c>
      <c r="W31" s="84"/>
      <c r="X31" s="89"/>
      <c r="Y31" s="89"/>
      <c r="Z31" s="89"/>
      <c r="AA31" s="89"/>
      <c r="AD31" s="209" t="str">
        <f t="shared" si="0"/>
        <v>Summer</v>
      </c>
      <c r="AE31">
        <f t="shared" si="1"/>
        <v>6</v>
      </c>
      <c r="AF31" s="207">
        <v>43617</v>
      </c>
      <c r="AG31" s="208">
        <v>400</v>
      </c>
      <c r="AH31" s="208">
        <v>320</v>
      </c>
      <c r="AI31">
        <f t="shared" si="2"/>
        <v>25</v>
      </c>
      <c r="AJ31">
        <f t="shared" si="3"/>
        <v>5</v>
      </c>
    </row>
    <row r="32" spans="2:41" x14ac:dyDescent="0.2">
      <c r="B32" s="266">
        <f t="shared" si="8"/>
        <v>43831</v>
      </c>
      <c r="C32" s="83">
        <v>2.4897782764627525</v>
      </c>
      <c r="D32" s="83">
        <v>2.4320034788900924</v>
      </c>
      <c r="E32" s="265">
        <f t="shared" si="4"/>
        <v>2020</v>
      </c>
      <c r="G32" s="84"/>
      <c r="H32" s="99" t="s">
        <v>71</v>
      </c>
      <c r="I32" s="99" t="s">
        <v>71</v>
      </c>
      <c r="K32" s="17">
        <f t="shared" si="10"/>
        <v>1</v>
      </c>
      <c r="L32" s="112">
        <f t="shared" si="11"/>
        <v>2020</v>
      </c>
      <c r="M32" s="86">
        <f t="shared" si="7"/>
        <v>43831</v>
      </c>
      <c r="N32" s="264">
        <v>32.260150000000003</v>
      </c>
      <c r="O32" s="264">
        <v>28.725249999999999</v>
      </c>
      <c r="P32" s="264">
        <v>26.010349999999999</v>
      </c>
      <c r="Q32" s="263">
        <v>26.767150000000001</v>
      </c>
      <c r="S32" s="109">
        <v>27.862001612903224</v>
      </c>
      <c r="T32" s="111">
        <f t="shared" si="12"/>
        <v>1.0309829996814368</v>
      </c>
      <c r="U32" s="111">
        <f t="shared" si="13"/>
        <v>0.96070448820890941</v>
      </c>
      <c r="W32" s="84"/>
      <c r="X32" s="89"/>
      <c r="Y32" s="89"/>
      <c r="Z32" s="89"/>
      <c r="AA32" s="89"/>
      <c r="AD32" s="209" t="str">
        <f t="shared" si="0"/>
        <v>Summer</v>
      </c>
      <c r="AE32">
        <f t="shared" si="1"/>
        <v>7</v>
      </c>
      <c r="AF32" s="207">
        <v>43647</v>
      </c>
      <c r="AG32" s="208">
        <v>416</v>
      </c>
      <c r="AH32" s="208">
        <v>328</v>
      </c>
      <c r="AI32">
        <f t="shared" si="2"/>
        <v>26</v>
      </c>
      <c r="AJ32">
        <f t="shared" si="3"/>
        <v>5</v>
      </c>
    </row>
    <row r="33" spans="2:36" x14ac:dyDescent="0.2">
      <c r="B33" s="90">
        <f t="shared" si="8"/>
        <v>43862</v>
      </c>
      <c r="C33" s="83">
        <v>2.4800436725074291</v>
      </c>
      <c r="D33" s="83">
        <v>2.3848213522080766</v>
      </c>
      <c r="E33" s="91">
        <f t="shared" si="4"/>
        <v>2020</v>
      </c>
      <c r="G33" s="84"/>
      <c r="H33" s="101">
        <f>ROUND(AVERAGE(H8:H30)-AVERAGE(C8:C247),2)</f>
        <v>0</v>
      </c>
      <c r="I33" s="101">
        <f>ROUND(AVERAGE(I8:I30)-AVERAGE(D8:D247),2)</f>
        <v>0</v>
      </c>
      <c r="K33" s="17">
        <f t="shared" si="10"/>
        <v>2</v>
      </c>
      <c r="L33" s="112">
        <f t="shared" si="11"/>
        <v>2020</v>
      </c>
      <c r="M33" s="86">
        <f t="shared" si="7"/>
        <v>43862</v>
      </c>
      <c r="N33" s="87">
        <v>27.366800000000001</v>
      </c>
      <c r="O33" s="87">
        <v>28.036100000000001</v>
      </c>
      <c r="P33" s="87">
        <v>23.401</v>
      </c>
      <c r="Q33" s="88">
        <v>25.231449999999999</v>
      </c>
      <c r="S33" s="109">
        <v>26.843317816091954</v>
      </c>
      <c r="T33" s="111">
        <f t="shared" si="12"/>
        <v>1.044434976036867</v>
      </c>
      <c r="U33" s="111">
        <f t="shared" si="13"/>
        <v>0.93995273508531507</v>
      </c>
      <c r="W33" s="84"/>
      <c r="X33" s="89"/>
      <c r="Y33" s="89"/>
      <c r="Z33" s="89"/>
      <c r="AA33" s="89"/>
      <c r="AD33" s="209" t="str">
        <f t="shared" si="0"/>
        <v>Summer</v>
      </c>
      <c r="AE33">
        <f t="shared" si="1"/>
        <v>8</v>
      </c>
      <c r="AF33" s="207">
        <v>43678</v>
      </c>
      <c r="AG33" s="208">
        <v>432</v>
      </c>
      <c r="AH33" s="208">
        <v>312</v>
      </c>
      <c r="AI33">
        <f t="shared" si="2"/>
        <v>27</v>
      </c>
      <c r="AJ33">
        <f t="shared" si="3"/>
        <v>4</v>
      </c>
    </row>
    <row r="34" spans="2:36" x14ac:dyDescent="0.2">
      <c r="B34" s="90">
        <f t="shared" si="8"/>
        <v>43891</v>
      </c>
      <c r="C34" s="83">
        <v>2.286376288554155</v>
      </c>
      <c r="D34" s="83">
        <v>2.3039671722764905</v>
      </c>
      <c r="E34" s="91">
        <f t="shared" si="4"/>
        <v>2020</v>
      </c>
      <c r="G34" s="84"/>
      <c r="H34" s="85"/>
      <c r="I34" s="85"/>
      <c r="K34" s="17">
        <f t="shared" si="10"/>
        <v>3</v>
      </c>
      <c r="L34" s="112">
        <f t="shared" si="11"/>
        <v>2020</v>
      </c>
      <c r="M34" s="86">
        <f t="shared" si="7"/>
        <v>43891</v>
      </c>
      <c r="N34" s="87">
        <v>22.632000000000001</v>
      </c>
      <c r="O34" s="87">
        <v>24.79805</v>
      </c>
      <c r="P34" s="87">
        <v>19.526</v>
      </c>
      <c r="Q34" s="88">
        <v>23.336200000000002</v>
      </c>
      <c r="S34" s="109">
        <v>24.154678600269179</v>
      </c>
      <c r="T34" s="111">
        <f t="shared" si="12"/>
        <v>1.0266354775560396</v>
      </c>
      <c r="U34" s="111">
        <f t="shared" si="13"/>
        <v>0.96611511112136861</v>
      </c>
      <c r="W34" s="84"/>
      <c r="X34" s="89"/>
      <c r="Y34" s="89"/>
      <c r="Z34" s="89"/>
      <c r="AA34" s="89"/>
      <c r="AD34" s="209" t="str">
        <f t="shared" si="0"/>
        <v>Summer</v>
      </c>
      <c r="AE34">
        <f t="shared" si="1"/>
        <v>9</v>
      </c>
      <c r="AF34" s="207">
        <v>43709</v>
      </c>
      <c r="AG34" s="208">
        <v>384</v>
      </c>
      <c r="AH34" s="208">
        <v>336</v>
      </c>
      <c r="AI34">
        <f t="shared" si="2"/>
        <v>24</v>
      </c>
      <c r="AJ34">
        <f t="shared" si="3"/>
        <v>6</v>
      </c>
    </row>
    <row r="35" spans="2:36" x14ac:dyDescent="0.2">
      <c r="B35" s="90">
        <f t="shared" si="8"/>
        <v>43922</v>
      </c>
      <c r="C35" s="83">
        <v>1.8754735321241933</v>
      </c>
      <c r="D35" s="83">
        <v>1.6551742565244409</v>
      </c>
      <c r="E35" s="91">
        <f t="shared" si="4"/>
        <v>2020</v>
      </c>
      <c r="G35" s="84"/>
      <c r="K35" s="17">
        <f t="shared" si="10"/>
        <v>4</v>
      </c>
      <c r="L35" s="112">
        <f t="shared" si="11"/>
        <v>2020</v>
      </c>
      <c r="M35" s="86">
        <f t="shared" si="7"/>
        <v>43922</v>
      </c>
      <c r="N35" s="87">
        <v>20.423100000000002</v>
      </c>
      <c r="O35" s="87">
        <v>24.4894</v>
      </c>
      <c r="P35" s="87">
        <v>14.704650000000001</v>
      </c>
      <c r="Q35" s="88">
        <v>19.9359</v>
      </c>
      <c r="S35" s="109">
        <v>22.566811111111107</v>
      </c>
      <c r="T35" s="111">
        <f t="shared" si="12"/>
        <v>1.0851954172622236</v>
      </c>
      <c r="U35" s="111">
        <f t="shared" si="13"/>
        <v>0.88341679743064194</v>
      </c>
      <c r="X35" s="98"/>
      <c r="Y35" s="98"/>
      <c r="Z35" s="98"/>
      <c r="AA35" s="98"/>
      <c r="AD35" s="209" t="str">
        <f t="shared" si="0"/>
        <v>Winter</v>
      </c>
      <c r="AE35">
        <f t="shared" si="1"/>
        <v>10</v>
      </c>
      <c r="AF35" s="207">
        <v>43739</v>
      </c>
      <c r="AG35" s="208">
        <v>432</v>
      </c>
      <c r="AH35" s="208">
        <v>312</v>
      </c>
      <c r="AI35">
        <f t="shared" si="2"/>
        <v>27</v>
      </c>
      <c r="AJ35">
        <f t="shared" si="3"/>
        <v>4</v>
      </c>
    </row>
    <row r="36" spans="2:36" x14ac:dyDescent="0.2">
      <c r="B36" s="90">
        <f t="shared" si="8"/>
        <v>43952</v>
      </c>
      <c r="C36" s="83">
        <v>1.8616401475561024</v>
      </c>
      <c r="D36" s="83">
        <v>1.6392921854664508</v>
      </c>
      <c r="E36" s="91">
        <f t="shared" si="4"/>
        <v>2020</v>
      </c>
      <c r="G36" s="84"/>
      <c r="K36" s="17">
        <f t="shared" si="10"/>
        <v>5</v>
      </c>
      <c r="L36" s="112">
        <f t="shared" si="11"/>
        <v>2020</v>
      </c>
      <c r="M36" s="86">
        <f t="shared" si="7"/>
        <v>43952</v>
      </c>
      <c r="N36" s="87">
        <v>19.9314</v>
      </c>
      <c r="O36" s="87">
        <v>25.679649999999999</v>
      </c>
      <c r="P36" s="87">
        <v>12.69655</v>
      </c>
      <c r="Q36" s="88">
        <v>21.0608</v>
      </c>
      <c r="S36" s="109">
        <v>23.544052688172041</v>
      </c>
      <c r="T36" s="111">
        <f t="shared" si="12"/>
        <v>1.0907064446428474</v>
      </c>
      <c r="U36" s="111">
        <f t="shared" si="13"/>
        <v>0.89452738995017766</v>
      </c>
      <c r="X36" s="100" t="s">
        <v>71</v>
      </c>
      <c r="Y36" s="100"/>
      <c r="Z36" s="100"/>
      <c r="AA36" s="100"/>
      <c r="AD36" s="209" t="str">
        <f t="shared" si="0"/>
        <v>Winter</v>
      </c>
      <c r="AE36">
        <f t="shared" si="1"/>
        <v>11</v>
      </c>
      <c r="AF36" s="207">
        <v>43770</v>
      </c>
      <c r="AG36" s="208">
        <v>400</v>
      </c>
      <c r="AH36" s="208">
        <v>320</v>
      </c>
      <c r="AI36">
        <f t="shared" si="2"/>
        <v>25</v>
      </c>
      <c r="AJ36">
        <f t="shared" si="3"/>
        <v>5</v>
      </c>
    </row>
    <row r="37" spans="2:36" x14ac:dyDescent="0.2">
      <c r="B37" s="90">
        <f t="shared" si="8"/>
        <v>43983</v>
      </c>
      <c r="C37" s="83">
        <v>1.890331611845476</v>
      </c>
      <c r="D37" s="83">
        <v>1.6630121617218907</v>
      </c>
      <c r="E37" s="91">
        <f t="shared" si="4"/>
        <v>2020</v>
      </c>
      <c r="K37" s="17">
        <f t="shared" si="10"/>
        <v>6</v>
      </c>
      <c r="L37" s="112">
        <f t="shared" si="11"/>
        <v>2020</v>
      </c>
      <c r="M37" s="86">
        <f t="shared" si="7"/>
        <v>43983</v>
      </c>
      <c r="N37" s="87">
        <v>20.089500000000001</v>
      </c>
      <c r="O37" s="87">
        <v>29.9328</v>
      </c>
      <c r="P37" s="87">
        <v>11.33525</v>
      </c>
      <c r="Q37" s="88">
        <v>22.5931</v>
      </c>
      <c r="S37" s="109">
        <v>26.833815555555557</v>
      </c>
      <c r="T37" s="111">
        <f t="shared" si="12"/>
        <v>1.1154880280826422</v>
      </c>
      <c r="U37" s="111">
        <f t="shared" si="13"/>
        <v>0.84196375104480514</v>
      </c>
      <c r="X37" s="101">
        <f>ROUND(AVERAGE(X8:X34)-AVERAGE(N8:N247),2)</f>
        <v>0</v>
      </c>
      <c r="Y37" s="101">
        <f>ROUND(AVERAGE(Y8:Y34)-AVERAGE(O8:O247),2)</f>
        <v>0</v>
      </c>
      <c r="Z37" s="101">
        <f>ROUND(AVERAGE(Z8:Z34)-AVERAGE(P8:P247),2)</f>
        <v>0</v>
      </c>
      <c r="AA37" s="101">
        <f>ROUND(AVERAGE(AA8:AA34)-AVERAGE(Q8:Q247),2)</f>
        <v>0</v>
      </c>
      <c r="AD37" s="209" t="str">
        <f t="shared" si="0"/>
        <v>Winter</v>
      </c>
      <c r="AE37">
        <f t="shared" si="1"/>
        <v>12</v>
      </c>
      <c r="AF37" s="207">
        <v>43800</v>
      </c>
      <c r="AG37" s="208">
        <v>400</v>
      </c>
      <c r="AH37" s="208">
        <v>344</v>
      </c>
      <c r="AI37">
        <f t="shared" si="2"/>
        <v>25</v>
      </c>
      <c r="AJ37">
        <f t="shared" si="3"/>
        <v>6</v>
      </c>
    </row>
    <row r="38" spans="2:36" x14ac:dyDescent="0.2">
      <c r="B38" s="90">
        <f t="shared" si="8"/>
        <v>44013</v>
      </c>
      <c r="C38" s="83">
        <v>1.975893657137002</v>
      </c>
      <c r="D38" s="83">
        <v>1.8019802834793042</v>
      </c>
      <c r="E38" s="91">
        <f t="shared" si="4"/>
        <v>2020</v>
      </c>
      <c r="K38" s="17">
        <f t="shared" si="10"/>
        <v>7</v>
      </c>
      <c r="L38" s="112">
        <f t="shared" si="11"/>
        <v>2020</v>
      </c>
      <c r="M38" s="86">
        <f t="shared" si="7"/>
        <v>44013</v>
      </c>
      <c r="N38" s="87">
        <v>27.843499999999999</v>
      </c>
      <c r="O38" s="87">
        <v>40.603000000000002</v>
      </c>
      <c r="P38" s="87">
        <v>17.523250000000001</v>
      </c>
      <c r="Q38" s="88">
        <v>25.873449999999998</v>
      </c>
      <c r="S38" s="109">
        <v>34.109327419354841</v>
      </c>
      <c r="T38" s="111">
        <f t="shared" si="12"/>
        <v>1.1903782065477029</v>
      </c>
      <c r="U38" s="111">
        <f t="shared" si="13"/>
        <v>0.75854471364681575</v>
      </c>
      <c r="AD38" s="209" t="str">
        <f t="shared" si="0"/>
        <v>Winter</v>
      </c>
      <c r="AE38">
        <f t="shared" si="1"/>
        <v>1</v>
      </c>
      <c r="AF38" s="207">
        <v>43831</v>
      </c>
      <c r="AG38" s="208">
        <v>416</v>
      </c>
      <c r="AH38" s="208">
        <v>328</v>
      </c>
      <c r="AI38">
        <f t="shared" si="2"/>
        <v>26</v>
      </c>
      <c r="AJ38">
        <f t="shared" si="3"/>
        <v>5</v>
      </c>
    </row>
    <row r="39" spans="2:36" x14ac:dyDescent="0.2">
      <c r="B39" s="90">
        <f t="shared" si="8"/>
        <v>44044</v>
      </c>
      <c r="C39" s="83">
        <v>1.9789677425965777</v>
      </c>
      <c r="D39" s="83">
        <v>1.8115198391472527</v>
      </c>
      <c r="E39" s="91">
        <f t="shared" si="4"/>
        <v>2020</v>
      </c>
      <c r="K39" s="17">
        <f t="shared" si="10"/>
        <v>8</v>
      </c>
      <c r="L39" s="112">
        <f t="shared" si="11"/>
        <v>2020</v>
      </c>
      <c r="M39" s="86">
        <f t="shared" si="7"/>
        <v>44044</v>
      </c>
      <c r="N39" s="87">
        <v>31.59225</v>
      </c>
      <c r="O39" s="87">
        <v>39.594949999999997</v>
      </c>
      <c r="P39" s="87">
        <v>21.722100000000001</v>
      </c>
      <c r="Q39" s="88">
        <v>26.539349999999999</v>
      </c>
      <c r="S39" s="109">
        <v>33.839255376344084</v>
      </c>
      <c r="T39" s="111">
        <f t="shared" si="12"/>
        <v>1.1700892812103523</v>
      </c>
      <c r="U39" s="111">
        <f t="shared" si="13"/>
        <v>0.78427700919662635</v>
      </c>
      <c r="AD39" s="209" t="str">
        <f t="shared" si="0"/>
        <v>Winter</v>
      </c>
      <c r="AE39">
        <f t="shared" si="1"/>
        <v>2</v>
      </c>
      <c r="AF39" s="207">
        <v>43862</v>
      </c>
      <c r="AG39" s="208">
        <v>400</v>
      </c>
      <c r="AH39" s="208">
        <v>296</v>
      </c>
      <c r="AI39">
        <f t="shared" si="2"/>
        <v>25</v>
      </c>
      <c r="AJ39">
        <f t="shared" si="3"/>
        <v>4</v>
      </c>
    </row>
    <row r="40" spans="2:36" x14ac:dyDescent="0.2">
      <c r="B40" s="90">
        <f t="shared" si="8"/>
        <v>44075</v>
      </c>
      <c r="C40" s="83">
        <v>1.9661590531816786</v>
      </c>
      <c r="D40" s="83">
        <v>1.8160575737352498</v>
      </c>
      <c r="E40" s="91">
        <f t="shared" si="4"/>
        <v>2020</v>
      </c>
      <c r="K40" s="17">
        <f t="shared" si="10"/>
        <v>9</v>
      </c>
      <c r="L40" s="112">
        <f t="shared" si="11"/>
        <v>2020</v>
      </c>
      <c r="M40" s="86">
        <f t="shared" si="7"/>
        <v>44075</v>
      </c>
      <c r="N40" s="87">
        <v>28.176349999999999</v>
      </c>
      <c r="O40" s="87">
        <v>31.99305</v>
      </c>
      <c r="P40" s="87">
        <v>22.1556</v>
      </c>
      <c r="Q40" s="88">
        <v>24.788049999999998</v>
      </c>
      <c r="S40" s="109">
        <v>28.790827777777778</v>
      </c>
      <c r="T40" s="111">
        <f t="shared" si="12"/>
        <v>1.1112236941201761</v>
      </c>
      <c r="U40" s="111">
        <f t="shared" si="13"/>
        <v>0.86097038234977996</v>
      </c>
      <c r="AD40" s="209" t="str">
        <f t="shared" si="0"/>
        <v>Winter</v>
      </c>
      <c r="AE40">
        <f t="shared" si="1"/>
        <v>3</v>
      </c>
      <c r="AF40" s="207">
        <v>43891</v>
      </c>
      <c r="AG40" s="208">
        <v>416</v>
      </c>
      <c r="AH40" s="208">
        <v>328</v>
      </c>
      <c r="AI40">
        <f t="shared" si="2"/>
        <v>26</v>
      </c>
      <c r="AJ40">
        <f t="shared" si="3"/>
        <v>5</v>
      </c>
    </row>
    <row r="41" spans="2:36" x14ac:dyDescent="0.2">
      <c r="B41" s="90">
        <f t="shared" si="8"/>
        <v>44105</v>
      </c>
      <c r="C41" s="83">
        <v>2.0348136284455376</v>
      </c>
      <c r="D41" s="83">
        <v>1.8799983792933914</v>
      </c>
      <c r="E41" s="91">
        <f t="shared" si="4"/>
        <v>2020</v>
      </c>
      <c r="K41" s="17">
        <f t="shared" si="10"/>
        <v>10</v>
      </c>
      <c r="L41" s="112">
        <f t="shared" si="11"/>
        <v>2020</v>
      </c>
      <c r="M41" s="86">
        <f t="shared" si="7"/>
        <v>44105</v>
      </c>
      <c r="N41" s="87">
        <v>25.182500000000001</v>
      </c>
      <c r="O41" s="87">
        <v>29.076250000000002</v>
      </c>
      <c r="P41" s="87">
        <v>21.592500000000001</v>
      </c>
      <c r="Q41" s="88">
        <v>24.810549999999999</v>
      </c>
      <c r="S41" s="109">
        <v>27.287408064516129</v>
      </c>
      <c r="T41" s="111">
        <f t="shared" si="12"/>
        <v>1.0655555826795451</v>
      </c>
      <c r="U41" s="111">
        <f t="shared" si="13"/>
        <v>0.9092307316744761</v>
      </c>
      <c r="AD41" s="209" t="str">
        <f t="shared" si="0"/>
        <v>Winter</v>
      </c>
      <c r="AE41">
        <f t="shared" si="1"/>
        <v>4</v>
      </c>
      <c r="AF41" s="207">
        <v>43922</v>
      </c>
      <c r="AG41" s="208">
        <v>416</v>
      </c>
      <c r="AH41" s="208">
        <v>304</v>
      </c>
      <c r="AI41">
        <f t="shared" si="2"/>
        <v>26</v>
      </c>
      <c r="AJ41">
        <f t="shared" si="3"/>
        <v>4</v>
      </c>
    </row>
    <row r="42" spans="2:36" x14ac:dyDescent="0.2">
      <c r="B42" s="90">
        <f t="shared" si="8"/>
        <v>44136</v>
      </c>
      <c r="C42" s="83">
        <v>2.2320674454349834</v>
      </c>
      <c r="D42" s="83">
        <v>2.2854037125983204</v>
      </c>
      <c r="E42" s="91">
        <f t="shared" si="4"/>
        <v>2020</v>
      </c>
      <c r="K42" s="17">
        <f t="shared" si="10"/>
        <v>11</v>
      </c>
      <c r="L42" s="112">
        <f t="shared" si="11"/>
        <v>2020</v>
      </c>
      <c r="M42" s="86">
        <f t="shared" si="7"/>
        <v>44136</v>
      </c>
      <c r="N42" s="87">
        <v>27.615400000000001</v>
      </c>
      <c r="O42" s="87">
        <v>29.00525</v>
      </c>
      <c r="P42" s="87">
        <v>23.830349999999999</v>
      </c>
      <c r="Q42" s="88">
        <v>24.388249999999999</v>
      </c>
      <c r="S42" s="109">
        <v>26.847234743411928</v>
      </c>
      <c r="T42" s="111">
        <f t="shared" si="12"/>
        <v>1.0803812860882305</v>
      </c>
      <c r="U42" s="111">
        <f t="shared" si="13"/>
        <v>0.90840826748403425</v>
      </c>
      <c r="AD42" s="209" t="str">
        <f t="shared" si="0"/>
        <v>Winter</v>
      </c>
      <c r="AE42">
        <f t="shared" si="1"/>
        <v>5</v>
      </c>
      <c r="AF42" s="207">
        <v>43952</v>
      </c>
      <c r="AG42" s="208">
        <v>400</v>
      </c>
      <c r="AH42" s="208">
        <v>344</v>
      </c>
      <c r="AI42">
        <f t="shared" si="2"/>
        <v>25</v>
      </c>
      <c r="AJ42">
        <f t="shared" si="3"/>
        <v>6</v>
      </c>
    </row>
    <row r="43" spans="2:36" x14ac:dyDescent="0.2">
      <c r="B43" s="92">
        <f t="shared" si="8"/>
        <v>44166</v>
      </c>
      <c r="C43" s="93">
        <v>2.4513522082180552</v>
      </c>
      <c r="D43" s="93">
        <v>2.5512221421565631</v>
      </c>
      <c r="E43" s="94">
        <f t="shared" si="4"/>
        <v>2020</v>
      </c>
      <c r="K43" s="17">
        <f t="shared" si="10"/>
        <v>12</v>
      </c>
      <c r="L43" s="112">
        <f t="shared" si="11"/>
        <v>2020</v>
      </c>
      <c r="M43" s="95">
        <f t="shared" si="7"/>
        <v>44166</v>
      </c>
      <c r="N43" s="96">
        <v>33.285200000000003</v>
      </c>
      <c r="O43" s="96">
        <v>32.766950000000001</v>
      </c>
      <c r="P43" s="96">
        <v>27.592749999999999</v>
      </c>
      <c r="Q43" s="97">
        <v>27.344750000000001</v>
      </c>
      <c r="S43" s="109">
        <v>30.376517741935487</v>
      </c>
      <c r="T43" s="111">
        <f t="shared" si="12"/>
        <v>1.0786934262305012</v>
      </c>
      <c r="U43" s="111">
        <f t="shared" si="13"/>
        <v>0.90019370331741289</v>
      </c>
      <c r="AD43" s="209" t="str">
        <f t="shared" si="0"/>
        <v>Summer</v>
      </c>
      <c r="AE43">
        <f t="shared" si="1"/>
        <v>6</v>
      </c>
      <c r="AF43" s="207">
        <v>43983</v>
      </c>
      <c r="AG43" s="208">
        <v>416</v>
      </c>
      <c r="AH43" s="208">
        <v>304</v>
      </c>
      <c r="AI43">
        <f t="shared" si="2"/>
        <v>26</v>
      </c>
      <c r="AJ43">
        <f t="shared" si="3"/>
        <v>4</v>
      </c>
    </row>
    <row r="44" spans="2:36" x14ac:dyDescent="0.2">
      <c r="B44" s="266">
        <f t="shared" si="8"/>
        <v>44197</v>
      </c>
      <c r="C44" s="83">
        <v>2.5994206578542882</v>
      </c>
      <c r="D44" s="83">
        <v>2.5745811622515942</v>
      </c>
      <c r="E44" s="265">
        <f t="shared" si="4"/>
        <v>2021</v>
      </c>
      <c r="K44" s="17">
        <f t="shared" si="10"/>
        <v>1</v>
      </c>
      <c r="L44" s="112">
        <f t="shared" si="11"/>
        <v>2021</v>
      </c>
      <c r="M44" s="86">
        <f t="shared" si="7"/>
        <v>44197</v>
      </c>
      <c r="N44" s="264">
        <v>36.894199999999998</v>
      </c>
      <c r="O44" s="264">
        <v>33.383499999999998</v>
      </c>
      <c r="P44" s="264">
        <v>30.465399999999999</v>
      </c>
      <c r="Q44" s="263">
        <v>29.367699999999999</v>
      </c>
      <c r="S44" s="109">
        <v>31.526732258064513</v>
      </c>
      <c r="T44" s="111">
        <f t="shared" si="12"/>
        <v>1.0588950268215802</v>
      </c>
      <c r="U44" s="111">
        <f t="shared" si="13"/>
        <v>0.93151741067258131</v>
      </c>
      <c r="AD44" s="209" t="str">
        <f t="shared" si="0"/>
        <v>Summer</v>
      </c>
      <c r="AE44">
        <f t="shared" si="1"/>
        <v>7</v>
      </c>
      <c r="AF44" s="207">
        <v>44013</v>
      </c>
      <c r="AG44" s="208">
        <v>416</v>
      </c>
      <c r="AH44" s="208">
        <v>328</v>
      </c>
      <c r="AI44">
        <f t="shared" si="2"/>
        <v>26</v>
      </c>
      <c r="AJ44">
        <f t="shared" si="3"/>
        <v>5</v>
      </c>
    </row>
    <row r="45" spans="2:36" x14ac:dyDescent="0.2">
      <c r="B45" s="90">
        <f t="shared" si="8"/>
        <v>44228</v>
      </c>
      <c r="C45" s="83">
        <v>2.6122293472691873</v>
      </c>
      <c r="D45" s="83">
        <v>2.5036790593141385</v>
      </c>
      <c r="E45" s="91">
        <f t="shared" si="4"/>
        <v>2021</v>
      </c>
      <c r="K45" s="17">
        <f t="shared" si="10"/>
        <v>2</v>
      </c>
      <c r="L45" s="112">
        <f t="shared" si="11"/>
        <v>2021</v>
      </c>
      <c r="M45" s="86">
        <f t="shared" si="7"/>
        <v>44228</v>
      </c>
      <c r="N45" s="87">
        <v>31.14715</v>
      </c>
      <c r="O45" s="87">
        <v>32.738799999999998</v>
      </c>
      <c r="P45" s="87">
        <v>27.213999999999999</v>
      </c>
      <c r="Q45" s="88">
        <v>27.825949999999999</v>
      </c>
      <c r="S45" s="109">
        <v>30.633292857142855</v>
      </c>
      <c r="T45" s="111">
        <f t="shared" si="12"/>
        <v>1.0687326417266367</v>
      </c>
      <c r="U45" s="111">
        <f t="shared" si="13"/>
        <v>0.90835647769781758</v>
      </c>
      <c r="AD45" s="209" t="str">
        <f t="shared" si="0"/>
        <v>Summer</v>
      </c>
      <c r="AE45">
        <f t="shared" si="1"/>
        <v>8</v>
      </c>
      <c r="AF45" s="207">
        <v>44044</v>
      </c>
      <c r="AG45" s="208">
        <v>416</v>
      </c>
      <c r="AH45" s="208">
        <v>328</v>
      </c>
      <c r="AI45">
        <f t="shared" si="2"/>
        <v>26</v>
      </c>
      <c r="AJ45">
        <f t="shared" si="3"/>
        <v>5</v>
      </c>
    </row>
    <row r="46" spans="2:36" x14ac:dyDescent="0.2">
      <c r="B46" s="90">
        <f t="shared" si="8"/>
        <v>44256</v>
      </c>
      <c r="C46" s="83">
        <v>2.5174450455989348</v>
      </c>
      <c r="D46" s="83">
        <v>2.4102429789340154</v>
      </c>
      <c r="E46" s="91">
        <f t="shared" si="4"/>
        <v>2021</v>
      </c>
      <c r="K46" s="17">
        <f t="shared" si="10"/>
        <v>3</v>
      </c>
      <c r="L46" s="112">
        <f t="shared" si="11"/>
        <v>2021</v>
      </c>
      <c r="M46" s="86">
        <f t="shared" si="7"/>
        <v>44256</v>
      </c>
      <c r="N46" s="87">
        <v>25.573149999999998</v>
      </c>
      <c r="O46" s="87">
        <v>29.010549999999999</v>
      </c>
      <c r="P46" s="87">
        <v>22.506499999999999</v>
      </c>
      <c r="Q46" s="88">
        <v>25.887899999999998</v>
      </c>
      <c r="S46" s="109">
        <v>27.703491924629876</v>
      </c>
      <c r="T46" s="111">
        <f t="shared" si="12"/>
        <v>1.0471802644564123</v>
      </c>
      <c r="U46" s="111">
        <f t="shared" si="13"/>
        <v>0.93446342686440476</v>
      </c>
      <c r="AD46" s="209" t="str">
        <f t="shared" si="0"/>
        <v>Summer</v>
      </c>
      <c r="AE46">
        <f t="shared" si="1"/>
        <v>9</v>
      </c>
      <c r="AF46" s="207">
        <v>44075</v>
      </c>
      <c r="AG46" s="208">
        <v>400</v>
      </c>
      <c r="AH46" s="208">
        <v>320</v>
      </c>
      <c r="AI46">
        <f t="shared" si="2"/>
        <v>25</v>
      </c>
      <c r="AJ46">
        <f t="shared" si="3"/>
        <v>5</v>
      </c>
    </row>
    <row r="47" spans="2:36" x14ac:dyDescent="0.2">
      <c r="B47" s="90">
        <f t="shared" si="8"/>
        <v>44287</v>
      </c>
      <c r="C47" s="83">
        <v>2.0204678963008504</v>
      </c>
      <c r="D47" s="83">
        <v>1.7707833581868233</v>
      </c>
      <c r="E47" s="91">
        <f t="shared" si="4"/>
        <v>2021</v>
      </c>
      <c r="K47" s="17">
        <f t="shared" si="10"/>
        <v>4</v>
      </c>
      <c r="L47" s="112">
        <f t="shared" si="11"/>
        <v>2021</v>
      </c>
      <c r="M47" s="86">
        <f t="shared" si="7"/>
        <v>44287</v>
      </c>
      <c r="N47" s="87">
        <v>24.021750000000001</v>
      </c>
      <c r="O47" s="87">
        <v>26.894100000000002</v>
      </c>
      <c r="P47" s="87">
        <v>18.101099999999999</v>
      </c>
      <c r="Q47" s="88">
        <v>21.957049999999999</v>
      </c>
      <c r="S47" s="109">
        <v>24.809567777777776</v>
      </c>
      <c r="T47" s="111">
        <f t="shared" si="12"/>
        <v>1.0840213034299357</v>
      </c>
      <c r="U47" s="111">
        <f t="shared" si="13"/>
        <v>0.88502347951693017</v>
      </c>
      <c r="AD47" s="209" t="str">
        <f t="shared" si="0"/>
        <v>Winter</v>
      </c>
      <c r="AE47">
        <f t="shared" si="1"/>
        <v>10</v>
      </c>
      <c r="AF47" s="207">
        <v>44105</v>
      </c>
      <c r="AG47" s="208">
        <v>432</v>
      </c>
      <c r="AH47" s="208">
        <v>312</v>
      </c>
      <c r="AI47">
        <f t="shared" si="2"/>
        <v>27</v>
      </c>
      <c r="AJ47">
        <f t="shared" si="3"/>
        <v>4</v>
      </c>
    </row>
    <row r="48" spans="2:36" x14ac:dyDescent="0.2">
      <c r="B48" s="90">
        <f t="shared" si="8"/>
        <v>44317</v>
      </c>
      <c r="C48" s="83">
        <v>1.9236342043242138</v>
      </c>
      <c r="D48" s="83">
        <v>1.7442272978138855</v>
      </c>
      <c r="E48" s="91">
        <f t="shared" si="4"/>
        <v>2021</v>
      </c>
      <c r="K48" s="17">
        <f t="shared" si="10"/>
        <v>5</v>
      </c>
      <c r="L48" s="112">
        <f t="shared" si="11"/>
        <v>2021</v>
      </c>
      <c r="M48" s="86">
        <f t="shared" si="7"/>
        <v>44317</v>
      </c>
      <c r="N48" s="87">
        <v>22.726849999999999</v>
      </c>
      <c r="O48" s="87">
        <v>28.271100000000001</v>
      </c>
      <c r="P48" s="87">
        <v>15.19965</v>
      </c>
      <c r="Q48" s="88">
        <v>23.323350000000001</v>
      </c>
      <c r="S48" s="109">
        <v>25.983430645161288</v>
      </c>
      <c r="T48" s="111">
        <f t="shared" si="12"/>
        <v>1.0880433914243242</v>
      </c>
      <c r="U48" s="111">
        <f t="shared" si="13"/>
        <v>0.89762396346008855</v>
      </c>
      <c r="AD48" s="209" t="str">
        <f t="shared" si="0"/>
        <v>Winter</v>
      </c>
      <c r="AE48">
        <f t="shared" si="1"/>
        <v>11</v>
      </c>
      <c r="AF48" s="207">
        <v>44136</v>
      </c>
      <c r="AG48" s="208">
        <v>384</v>
      </c>
      <c r="AH48" s="208">
        <v>336</v>
      </c>
      <c r="AI48">
        <f t="shared" si="2"/>
        <v>24</v>
      </c>
      <c r="AJ48">
        <f t="shared" si="3"/>
        <v>6</v>
      </c>
    </row>
    <row r="49" spans="2:36" x14ac:dyDescent="0.2">
      <c r="B49" s="90">
        <f t="shared" si="8"/>
        <v>44348</v>
      </c>
      <c r="C49" s="83">
        <v>1.9620602725689109</v>
      </c>
      <c r="D49" s="83">
        <v>1.7758367444325476</v>
      </c>
      <c r="E49" s="91">
        <f t="shared" si="4"/>
        <v>2021</v>
      </c>
      <c r="K49" s="17">
        <f t="shared" si="10"/>
        <v>6</v>
      </c>
      <c r="L49" s="112">
        <f t="shared" si="11"/>
        <v>2021</v>
      </c>
      <c r="M49" s="86">
        <f t="shared" si="7"/>
        <v>44348</v>
      </c>
      <c r="N49" s="87">
        <v>23.09825</v>
      </c>
      <c r="O49" s="87">
        <v>32.9803</v>
      </c>
      <c r="P49" s="87">
        <v>13.676399999999999</v>
      </c>
      <c r="Q49" s="88">
        <v>24.730599999999999</v>
      </c>
      <c r="S49" s="109">
        <v>29.497093333333332</v>
      </c>
      <c r="T49" s="111">
        <f t="shared" si="12"/>
        <v>1.1180864374433277</v>
      </c>
      <c r="U49" s="111">
        <f t="shared" si="13"/>
        <v>0.83840803297228839</v>
      </c>
      <c r="AD49" s="209" t="str">
        <f t="shared" si="0"/>
        <v>Winter</v>
      </c>
      <c r="AE49">
        <f t="shared" si="1"/>
        <v>12</v>
      </c>
      <c r="AF49" s="207">
        <v>44166</v>
      </c>
      <c r="AG49" s="208">
        <v>416</v>
      </c>
      <c r="AH49" s="208">
        <v>328</v>
      </c>
      <c r="AI49">
        <f t="shared" si="2"/>
        <v>26</v>
      </c>
      <c r="AJ49">
        <f t="shared" si="3"/>
        <v>5</v>
      </c>
    </row>
    <row r="50" spans="2:36" x14ac:dyDescent="0.2">
      <c r="B50" s="90">
        <f t="shared" si="8"/>
        <v>44378</v>
      </c>
      <c r="C50" s="83">
        <v>2.0332765857157495</v>
      </c>
      <c r="D50" s="83">
        <v>1.8919614977526571</v>
      </c>
      <c r="E50" s="91">
        <f t="shared" si="4"/>
        <v>2021</v>
      </c>
      <c r="K50" s="17">
        <f t="shared" si="10"/>
        <v>7</v>
      </c>
      <c r="L50" s="112">
        <f t="shared" si="11"/>
        <v>2021</v>
      </c>
      <c r="M50" s="86">
        <f t="shared" si="7"/>
        <v>44378</v>
      </c>
      <c r="N50" s="87">
        <v>31.373149999999999</v>
      </c>
      <c r="O50" s="87">
        <v>43.126449999999998</v>
      </c>
      <c r="P50" s="87">
        <v>20.606449999999999</v>
      </c>
      <c r="Q50" s="88">
        <v>29.0947</v>
      </c>
      <c r="S50" s="109">
        <v>36.940409677419353</v>
      </c>
      <c r="T50" s="111">
        <f t="shared" si="12"/>
        <v>1.1674599815378333</v>
      </c>
      <c r="U50" s="111">
        <f t="shared" si="13"/>
        <v>0.78761173073250412</v>
      </c>
      <c r="AD50" s="209" t="str">
        <f t="shared" si="0"/>
        <v>Winter</v>
      </c>
      <c r="AE50">
        <f t="shared" si="1"/>
        <v>1</v>
      </c>
      <c r="AF50" s="207">
        <v>44197</v>
      </c>
      <c r="AG50" s="208">
        <v>400</v>
      </c>
      <c r="AH50" s="208">
        <v>344</v>
      </c>
      <c r="AI50">
        <f t="shared" si="2"/>
        <v>25</v>
      </c>
      <c r="AJ50">
        <f t="shared" si="3"/>
        <v>6</v>
      </c>
    </row>
    <row r="51" spans="2:36" x14ac:dyDescent="0.2">
      <c r="B51" s="90">
        <f t="shared" si="8"/>
        <v>44409</v>
      </c>
      <c r="C51" s="83">
        <v>2.043523537247669</v>
      </c>
      <c r="D51" s="83">
        <v>1.9093905237838278</v>
      </c>
      <c r="E51" s="91">
        <f t="shared" si="4"/>
        <v>2021</v>
      </c>
      <c r="K51" s="17">
        <f t="shared" si="10"/>
        <v>8</v>
      </c>
      <c r="L51" s="112">
        <f t="shared" si="11"/>
        <v>2021</v>
      </c>
      <c r="M51" s="86">
        <f t="shared" si="7"/>
        <v>44409</v>
      </c>
      <c r="N51" s="87">
        <v>35.253399999999999</v>
      </c>
      <c r="O51" s="87">
        <v>42.218649999999997</v>
      </c>
      <c r="P51" s="87">
        <v>25.168949999999999</v>
      </c>
      <c r="Q51" s="88">
        <v>30.020600000000002</v>
      </c>
      <c r="S51" s="109">
        <v>36.841015053763442</v>
      </c>
      <c r="T51" s="111">
        <f t="shared" si="12"/>
        <v>1.1459686965299076</v>
      </c>
      <c r="U51" s="111">
        <f t="shared" si="13"/>
        <v>0.81486897025475113</v>
      </c>
      <c r="AD51" s="209" t="str">
        <f t="shared" si="0"/>
        <v>Winter</v>
      </c>
      <c r="AE51">
        <f t="shared" si="1"/>
        <v>2</v>
      </c>
      <c r="AF51" s="207">
        <v>44228</v>
      </c>
      <c r="AG51" s="208">
        <v>384</v>
      </c>
      <c r="AH51" s="208">
        <v>288</v>
      </c>
      <c r="AI51">
        <f t="shared" si="2"/>
        <v>24</v>
      </c>
      <c r="AJ51">
        <f t="shared" si="3"/>
        <v>4</v>
      </c>
    </row>
    <row r="52" spans="2:36" x14ac:dyDescent="0.2">
      <c r="B52" s="90">
        <f t="shared" si="8"/>
        <v>44440</v>
      </c>
      <c r="C52" s="83">
        <v>2.053258141202992</v>
      </c>
      <c r="D52" s="83">
        <v>1.9314088495687687</v>
      </c>
      <c r="E52" s="91">
        <f t="shared" si="4"/>
        <v>2021</v>
      </c>
      <c r="K52" s="17">
        <f t="shared" si="10"/>
        <v>9</v>
      </c>
      <c r="L52" s="112">
        <f t="shared" si="11"/>
        <v>2021</v>
      </c>
      <c r="M52" s="86">
        <f t="shared" si="7"/>
        <v>44440</v>
      </c>
      <c r="N52" s="87">
        <v>31.762</v>
      </c>
      <c r="O52" s="87">
        <v>34.273850000000003</v>
      </c>
      <c r="P52" s="87">
        <v>25.4573</v>
      </c>
      <c r="Q52" s="88">
        <v>27.9374</v>
      </c>
      <c r="S52" s="109">
        <v>31.457650000000001</v>
      </c>
      <c r="T52" s="111">
        <f t="shared" si="12"/>
        <v>1.0895235340211364</v>
      </c>
      <c r="U52" s="111">
        <f t="shared" si="13"/>
        <v>0.88809558247357956</v>
      </c>
      <c r="AD52" s="209" t="str">
        <f t="shared" si="0"/>
        <v>Winter</v>
      </c>
      <c r="AE52">
        <f t="shared" si="1"/>
        <v>3</v>
      </c>
      <c r="AF52" s="207">
        <v>44256</v>
      </c>
      <c r="AG52" s="208">
        <v>432</v>
      </c>
      <c r="AH52" s="208">
        <v>312</v>
      </c>
      <c r="AI52">
        <f t="shared" si="2"/>
        <v>27</v>
      </c>
      <c r="AJ52">
        <f t="shared" si="3"/>
        <v>4</v>
      </c>
    </row>
    <row r="53" spans="2:36" x14ac:dyDescent="0.2">
      <c r="B53" s="90">
        <f t="shared" si="8"/>
        <v>44470</v>
      </c>
      <c r="C53" s="83">
        <v>2.0937335997540729</v>
      </c>
      <c r="D53" s="83">
        <v>2.1307082152802352</v>
      </c>
      <c r="E53" s="91">
        <f t="shared" si="4"/>
        <v>2021</v>
      </c>
      <c r="K53" s="17">
        <f t="shared" si="10"/>
        <v>10</v>
      </c>
      <c r="L53" s="112">
        <f t="shared" si="11"/>
        <v>2021</v>
      </c>
      <c r="M53" s="86">
        <f t="shared" si="7"/>
        <v>44470</v>
      </c>
      <c r="N53" s="87">
        <v>28.680199999999999</v>
      </c>
      <c r="O53" s="87">
        <v>32.5749</v>
      </c>
      <c r="P53" s="87">
        <v>24.79975</v>
      </c>
      <c r="Q53" s="88">
        <v>28.476649999999999</v>
      </c>
      <c r="S53" s="109">
        <v>30.768144623655914</v>
      </c>
      <c r="T53" s="111">
        <f t="shared" si="12"/>
        <v>1.0587216225886749</v>
      </c>
      <c r="U53" s="111">
        <f t="shared" si="13"/>
        <v>0.92552379574119292</v>
      </c>
      <c r="AD53" s="209" t="str">
        <f t="shared" si="0"/>
        <v>Winter</v>
      </c>
      <c r="AE53">
        <f t="shared" si="1"/>
        <v>4</v>
      </c>
      <c r="AF53" s="207">
        <v>44287</v>
      </c>
      <c r="AG53" s="208">
        <v>416</v>
      </c>
      <c r="AH53" s="208">
        <v>304</v>
      </c>
      <c r="AI53">
        <f t="shared" si="2"/>
        <v>26</v>
      </c>
      <c r="AJ53">
        <f t="shared" si="3"/>
        <v>4</v>
      </c>
    </row>
    <row r="54" spans="2:36" x14ac:dyDescent="0.2">
      <c r="B54" s="90">
        <f t="shared" si="8"/>
        <v>44501</v>
      </c>
      <c r="C54" s="83">
        <v>2.3709136386924889</v>
      </c>
      <c r="D54" s="83">
        <v>2.4973365439240967</v>
      </c>
      <c r="E54" s="91">
        <f t="shared" si="4"/>
        <v>2021</v>
      </c>
      <c r="K54" s="17">
        <f t="shared" si="10"/>
        <v>11</v>
      </c>
      <c r="L54" s="112">
        <f t="shared" si="11"/>
        <v>2021</v>
      </c>
      <c r="M54" s="86">
        <f t="shared" si="7"/>
        <v>44501</v>
      </c>
      <c r="N54" s="87">
        <v>31.269549999999999</v>
      </c>
      <c r="O54" s="87">
        <v>32.449750000000002</v>
      </c>
      <c r="P54" s="87">
        <v>27.352900000000002</v>
      </c>
      <c r="Q54" s="88">
        <v>28.152550000000002</v>
      </c>
      <c r="S54" s="109">
        <v>30.536572191400833</v>
      </c>
      <c r="T54" s="111">
        <f t="shared" si="12"/>
        <v>1.0626520159698187</v>
      </c>
      <c r="U54" s="111">
        <f t="shared" si="13"/>
        <v>0.92192895206253123</v>
      </c>
      <c r="AD54" s="209" t="str">
        <f t="shared" si="0"/>
        <v>Winter</v>
      </c>
      <c r="AE54">
        <f t="shared" si="1"/>
        <v>5</v>
      </c>
      <c r="AF54" s="207">
        <v>44317</v>
      </c>
      <c r="AG54" s="208">
        <v>400</v>
      </c>
      <c r="AH54" s="208">
        <v>344</v>
      </c>
      <c r="AI54">
        <f t="shared" si="2"/>
        <v>25</v>
      </c>
      <c r="AJ54">
        <f t="shared" si="3"/>
        <v>6</v>
      </c>
    </row>
    <row r="55" spans="2:36" x14ac:dyDescent="0.2">
      <c r="B55" s="92">
        <f t="shared" si="8"/>
        <v>44531</v>
      </c>
      <c r="C55" s="93">
        <v>2.5799514499436418</v>
      </c>
      <c r="D55" s="93">
        <v>2.6735862805351687</v>
      </c>
      <c r="E55" s="94">
        <f t="shared" si="4"/>
        <v>2021</v>
      </c>
      <c r="K55" s="17">
        <f t="shared" si="10"/>
        <v>12</v>
      </c>
      <c r="L55" s="112">
        <f t="shared" si="11"/>
        <v>2021</v>
      </c>
      <c r="M55" s="95">
        <f t="shared" si="7"/>
        <v>44531</v>
      </c>
      <c r="N55" s="96">
        <v>37.9268</v>
      </c>
      <c r="O55" s="96">
        <v>36.578400000000002</v>
      </c>
      <c r="P55" s="96">
        <v>31.72795</v>
      </c>
      <c r="Q55" s="97">
        <v>30.76125</v>
      </c>
      <c r="S55" s="109">
        <v>34.013849999999998</v>
      </c>
      <c r="T55" s="111">
        <f t="shared" si="12"/>
        <v>1.0753972278939317</v>
      </c>
      <c r="U55" s="111">
        <f t="shared" si="13"/>
        <v>0.90437424754916018</v>
      </c>
      <c r="AD55" s="209" t="str">
        <f t="shared" si="0"/>
        <v>Summer</v>
      </c>
      <c r="AE55">
        <f t="shared" si="1"/>
        <v>6</v>
      </c>
      <c r="AF55" s="207">
        <v>44348</v>
      </c>
      <c r="AG55" s="208">
        <v>416</v>
      </c>
      <c r="AH55" s="208">
        <v>304</v>
      </c>
      <c r="AI55">
        <f t="shared" si="2"/>
        <v>26</v>
      </c>
      <c r="AJ55">
        <f t="shared" si="3"/>
        <v>4</v>
      </c>
    </row>
    <row r="56" spans="2:36" x14ac:dyDescent="0.2">
      <c r="B56" s="266">
        <f t="shared" si="8"/>
        <v>44562</v>
      </c>
      <c r="C56" s="83">
        <v>2.6942049595245416</v>
      </c>
      <c r="D56" s="83">
        <v>2.6351702320345112</v>
      </c>
      <c r="E56" s="265">
        <f t="shared" si="4"/>
        <v>2022</v>
      </c>
      <c r="K56" s="17">
        <f t="shared" si="10"/>
        <v>1</v>
      </c>
      <c r="L56" s="112">
        <f t="shared" si="11"/>
        <v>2022</v>
      </c>
      <c r="M56" s="86">
        <f t="shared" si="7"/>
        <v>44562</v>
      </c>
      <c r="N56" s="264">
        <v>38.661900000000003</v>
      </c>
      <c r="O56" s="264">
        <v>34.9773</v>
      </c>
      <c r="P56" s="264">
        <v>32.158250000000002</v>
      </c>
      <c r="Q56" s="263">
        <v>31.156300000000002</v>
      </c>
      <c r="S56" s="109">
        <v>33.210601075268819</v>
      </c>
      <c r="T56" s="111">
        <f t="shared" si="12"/>
        <v>1.0531968367789284</v>
      </c>
      <c r="U56" s="111">
        <f t="shared" si="13"/>
        <v>0.9381432130477575</v>
      </c>
      <c r="AD56" s="209" t="str">
        <f t="shared" si="0"/>
        <v>Summer</v>
      </c>
      <c r="AE56">
        <f t="shared" si="1"/>
        <v>7</v>
      </c>
      <c r="AF56" s="207">
        <v>44378</v>
      </c>
      <c r="AG56" s="208">
        <v>416</v>
      </c>
      <c r="AH56" s="208">
        <v>328</v>
      </c>
      <c r="AI56">
        <f t="shared" si="2"/>
        <v>26</v>
      </c>
      <c r="AJ56">
        <f t="shared" si="3"/>
        <v>5</v>
      </c>
    </row>
    <row r="57" spans="2:36" x14ac:dyDescent="0.2">
      <c r="B57" s="90">
        <f t="shared" si="8"/>
        <v>44593</v>
      </c>
      <c r="C57" s="83">
        <v>2.6942049595245416</v>
      </c>
      <c r="D57" s="83">
        <v>2.5700434276635971</v>
      </c>
      <c r="E57" s="91">
        <f t="shared" si="4"/>
        <v>2022</v>
      </c>
      <c r="K57" s="17">
        <f t="shared" si="10"/>
        <v>2</v>
      </c>
      <c r="L57" s="112">
        <f t="shared" si="11"/>
        <v>2022</v>
      </c>
      <c r="M57" s="86">
        <f t="shared" si="7"/>
        <v>44593</v>
      </c>
      <c r="N57" s="87">
        <v>32.916699999999999</v>
      </c>
      <c r="O57" s="87">
        <v>34.282249999999998</v>
      </c>
      <c r="P57" s="87">
        <v>28.9085</v>
      </c>
      <c r="Q57" s="88">
        <v>29.4633</v>
      </c>
      <c r="S57" s="109">
        <v>32.216985714285713</v>
      </c>
      <c r="T57" s="111">
        <f t="shared" si="12"/>
        <v>1.0641048266908006</v>
      </c>
      <c r="U57" s="111">
        <f t="shared" si="13"/>
        <v>0.91452689774559925</v>
      </c>
      <c r="AD57" s="209" t="str">
        <f t="shared" si="0"/>
        <v>Summer</v>
      </c>
      <c r="AE57">
        <f t="shared" si="1"/>
        <v>8</v>
      </c>
      <c r="AF57" s="207">
        <v>44409</v>
      </c>
      <c r="AG57" s="208">
        <v>416</v>
      </c>
      <c r="AH57" s="208">
        <v>328</v>
      </c>
      <c r="AI57">
        <f t="shared" si="2"/>
        <v>26</v>
      </c>
      <c r="AJ57">
        <f t="shared" si="3"/>
        <v>5</v>
      </c>
    </row>
    <row r="58" spans="2:36" x14ac:dyDescent="0.2">
      <c r="B58" s="90">
        <f t="shared" si="8"/>
        <v>44621</v>
      </c>
      <c r="C58" s="83">
        <v>2.6378467260989855</v>
      </c>
      <c r="D58" s="83">
        <v>2.48630159844874</v>
      </c>
      <c r="E58" s="91">
        <f t="shared" si="4"/>
        <v>2022</v>
      </c>
      <c r="K58" s="17">
        <f t="shared" si="10"/>
        <v>3</v>
      </c>
      <c r="L58" s="112">
        <f t="shared" si="11"/>
        <v>2022</v>
      </c>
      <c r="M58" s="86">
        <f t="shared" si="7"/>
        <v>44621</v>
      </c>
      <c r="N58" s="87">
        <v>27.111799999999999</v>
      </c>
      <c r="O58" s="87">
        <v>30.286149999999999</v>
      </c>
      <c r="P58" s="87">
        <v>23.922999999999998</v>
      </c>
      <c r="Q58" s="88">
        <v>27.161899999999999</v>
      </c>
      <c r="S58" s="109">
        <v>28.978422207267833</v>
      </c>
      <c r="T58" s="111">
        <f t="shared" si="12"/>
        <v>1.0451276395719082</v>
      </c>
      <c r="U58" s="111">
        <f t="shared" si="13"/>
        <v>0.93731466143066111</v>
      </c>
      <c r="AD58" s="209" t="str">
        <f t="shared" si="0"/>
        <v>Summer</v>
      </c>
      <c r="AE58">
        <f t="shared" si="1"/>
        <v>9</v>
      </c>
      <c r="AF58" s="207">
        <v>44440</v>
      </c>
      <c r="AG58" s="208">
        <v>400</v>
      </c>
      <c r="AH58" s="208">
        <v>320</v>
      </c>
      <c r="AI58">
        <f t="shared" si="2"/>
        <v>25</v>
      </c>
      <c r="AJ58">
        <f t="shared" si="3"/>
        <v>5</v>
      </c>
    </row>
    <row r="59" spans="2:36" x14ac:dyDescent="0.2">
      <c r="B59" s="90">
        <f t="shared" si="8"/>
        <v>44652</v>
      </c>
      <c r="C59" s="83">
        <v>2.1280608873860025</v>
      </c>
      <c r="D59" s="83">
        <v>1.8681383911656719</v>
      </c>
      <c r="E59" s="91">
        <f t="shared" si="4"/>
        <v>2022</v>
      </c>
      <c r="K59" s="17">
        <f t="shared" si="10"/>
        <v>4</v>
      </c>
      <c r="L59" s="112">
        <f t="shared" si="11"/>
        <v>2022</v>
      </c>
      <c r="M59" s="86">
        <f t="shared" si="7"/>
        <v>44652</v>
      </c>
      <c r="N59" s="87">
        <v>27.828949999999999</v>
      </c>
      <c r="O59" s="87">
        <v>28.418749999999999</v>
      </c>
      <c r="P59" s="87">
        <v>21.475899999999999</v>
      </c>
      <c r="Q59" s="88">
        <v>23.228449999999999</v>
      </c>
      <c r="S59" s="109">
        <v>26.227289999999996</v>
      </c>
      <c r="T59" s="111">
        <f t="shared" si="12"/>
        <v>1.0835564787669638</v>
      </c>
      <c r="U59" s="111">
        <f t="shared" si="13"/>
        <v>0.88565955537152341</v>
      </c>
      <c r="AD59" s="209" t="str">
        <f t="shared" si="0"/>
        <v>Winter</v>
      </c>
      <c r="AE59">
        <f t="shared" si="1"/>
        <v>10</v>
      </c>
      <c r="AF59" s="207">
        <v>44470</v>
      </c>
      <c r="AG59" s="208">
        <v>416</v>
      </c>
      <c r="AH59" s="208">
        <v>328</v>
      </c>
      <c r="AI59">
        <f t="shared" si="2"/>
        <v>26</v>
      </c>
      <c r="AJ59">
        <f t="shared" si="3"/>
        <v>5</v>
      </c>
    </row>
    <row r="60" spans="2:36" x14ac:dyDescent="0.2">
      <c r="B60" s="90">
        <f t="shared" si="8"/>
        <v>44682</v>
      </c>
      <c r="C60" s="83">
        <v>2.044035884824265</v>
      </c>
      <c r="D60" s="83">
        <v>1.8499358876479104</v>
      </c>
      <c r="E60" s="91">
        <f t="shared" si="4"/>
        <v>2022</v>
      </c>
      <c r="K60" s="17">
        <f t="shared" si="10"/>
        <v>5</v>
      </c>
      <c r="L60" s="112">
        <f t="shared" si="11"/>
        <v>2022</v>
      </c>
      <c r="M60" s="86">
        <f t="shared" si="7"/>
        <v>44682</v>
      </c>
      <c r="N60" s="87">
        <v>26.447050000000001</v>
      </c>
      <c r="O60" s="87">
        <v>29.843150000000001</v>
      </c>
      <c r="P60" s="87">
        <v>18.213650000000001</v>
      </c>
      <c r="Q60" s="88">
        <v>24.743849999999998</v>
      </c>
      <c r="S60" s="109">
        <v>27.485409139784949</v>
      </c>
      <c r="T60" s="111">
        <f t="shared" si="12"/>
        <v>1.0857815449726103</v>
      </c>
      <c r="U60" s="111">
        <f t="shared" si="13"/>
        <v>0.90025401747370892</v>
      </c>
      <c r="AD60" s="209" t="str">
        <f t="shared" si="0"/>
        <v>Winter</v>
      </c>
      <c r="AE60">
        <f t="shared" si="1"/>
        <v>11</v>
      </c>
      <c r="AF60" s="207">
        <v>44501</v>
      </c>
      <c r="AG60" s="208">
        <v>400</v>
      </c>
      <c r="AH60" s="208">
        <v>320</v>
      </c>
      <c r="AI60">
        <f t="shared" si="2"/>
        <v>25</v>
      </c>
      <c r="AJ60">
        <f t="shared" si="3"/>
        <v>5</v>
      </c>
    </row>
    <row r="61" spans="2:36" x14ac:dyDescent="0.2">
      <c r="B61" s="90">
        <f t="shared" si="8"/>
        <v>44713</v>
      </c>
      <c r="C61" s="83">
        <v>2.0645297878881035</v>
      </c>
      <c r="D61" s="83">
        <v>1.8718510831013058</v>
      </c>
      <c r="E61" s="91">
        <f t="shared" si="4"/>
        <v>2022</v>
      </c>
      <c r="K61" s="17">
        <f t="shared" si="10"/>
        <v>6</v>
      </c>
      <c r="L61" s="112">
        <f t="shared" si="11"/>
        <v>2022</v>
      </c>
      <c r="M61" s="86">
        <f t="shared" si="7"/>
        <v>44713</v>
      </c>
      <c r="N61" s="87">
        <v>21.83</v>
      </c>
      <c r="O61" s="87">
        <v>33.64</v>
      </c>
      <c r="P61" s="87">
        <v>13.465</v>
      </c>
      <c r="Q61" s="88">
        <v>23.975000000000001</v>
      </c>
      <c r="S61" s="109">
        <v>29.559222222222221</v>
      </c>
      <c r="T61" s="111">
        <f t="shared" si="12"/>
        <v>1.1380543015340203</v>
      </c>
      <c r="U61" s="111">
        <f t="shared" si="13"/>
        <v>0.8110835873744987</v>
      </c>
      <c r="AD61" s="209" t="str">
        <f t="shared" si="0"/>
        <v>Winter</v>
      </c>
      <c r="AE61">
        <f t="shared" si="1"/>
        <v>12</v>
      </c>
      <c r="AF61" s="207">
        <v>44531</v>
      </c>
      <c r="AG61" s="208">
        <v>416</v>
      </c>
      <c r="AH61" s="208">
        <v>328</v>
      </c>
      <c r="AI61">
        <f t="shared" si="2"/>
        <v>26</v>
      </c>
      <c r="AJ61">
        <f t="shared" si="3"/>
        <v>5</v>
      </c>
    </row>
    <row r="62" spans="2:36" x14ac:dyDescent="0.2">
      <c r="B62" s="90">
        <f t="shared" si="8"/>
        <v>44743</v>
      </c>
      <c r="C62" s="83">
        <v>2.138307838917922</v>
      </c>
      <c r="D62" s="83">
        <v>1.9950918292980468</v>
      </c>
      <c r="E62" s="91">
        <f t="shared" si="4"/>
        <v>2022</v>
      </c>
      <c r="K62" s="17">
        <f t="shared" si="10"/>
        <v>7</v>
      </c>
      <c r="L62" s="112">
        <f t="shared" si="11"/>
        <v>2022</v>
      </c>
      <c r="M62" s="86">
        <f t="shared" si="7"/>
        <v>44743</v>
      </c>
      <c r="N62" s="87">
        <v>32.125</v>
      </c>
      <c r="O62" s="87">
        <v>46.39</v>
      </c>
      <c r="P62" s="87">
        <v>21.105</v>
      </c>
      <c r="Q62" s="88">
        <v>30.15</v>
      </c>
      <c r="S62" s="109">
        <v>38.881182795698926</v>
      </c>
      <c r="T62" s="111">
        <f t="shared" si="12"/>
        <v>1.1931221394101135</v>
      </c>
      <c r="U62" s="111">
        <f t="shared" si="13"/>
        <v>0.77543937277893771</v>
      </c>
      <c r="AD62" s="209" t="str">
        <f t="shared" si="0"/>
        <v>Winter</v>
      </c>
      <c r="AE62">
        <f t="shared" si="1"/>
        <v>1</v>
      </c>
      <c r="AF62" s="207">
        <v>44562</v>
      </c>
      <c r="AG62" s="208">
        <v>400</v>
      </c>
      <c r="AH62" s="208">
        <v>344</v>
      </c>
      <c r="AI62">
        <f t="shared" si="2"/>
        <v>25</v>
      </c>
      <c r="AJ62">
        <f t="shared" si="3"/>
        <v>6</v>
      </c>
    </row>
    <row r="63" spans="2:36" x14ac:dyDescent="0.2">
      <c r="B63" s="90">
        <f t="shared" si="8"/>
        <v>44774</v>
      </c>
      <c r="C63" s="83">
        <v>2.1567523516753764</v>
      </c>
      <c r="D63" s="83">
        <v>2.0188118055534869</v>
      </c>
      <c r="E63" s="91">
        <f t="shared" si="4"/>
        <v>2022</v>
      </c>
      <c r="K63" s="17">
        <f t="shared" si="10"/>
        <v>8</v>
      </c>
      <c r="L63" s="112">
        <f t="shared" si="11"/>
        <v>2022</v>
      </c>
      <c r="M63" s="86">
        <f t="shared" si="7"/>
        <v>44774</v>
      </c>
      <c r="N63" s="87">
        <v>37.57</v>
      </c>
      <c r="O63" s="87">
        <v>45.56</v>
      </c>
      <c r="P63" s="87">
        <v>26.05</v>
      </c>
      <c r="Q63" s="88">
        <v>32.58</v>
      </c>
      <c r="S63" s="109">
        <v>40.116774193548387</v>
      </c>
      <c r="T63" s="111">
        <f t="shared" si="12"/>
        <v>1.1356845338608257</v>
      </c>
      <c r="U63" s="111">
        <f t="shared" si="13"/>
        <v>0.81212910696193363</v>
      </c>
      <c r="AD63" s="209" t="str">
        <f t="shared" si="0"/>
        <v>Winter</v>
      </c>
      <c r="AE63">
        <f t="shared" si="1"/>
        <v>2</v>
      </c>
      <c r="AF63" s="207">
        <v>44593</v>
      </c>
      <c r="AG63" s="208">
        <v>384</v>
      </c>
      <c r="AH63" s="208">
        <v>288</v>
      </c>
      <c r="AI63">
        <f t="shared" si="2"/>
        <v>24</v>
      </c>
      <c r="AJ63">
        <f t="shared" si="3"/>
        <v>4</v>
      </c>
    </row>
    <row r="64" spans="2:36" x14ac:dyDescent="0.2">
      <c r="B64" s="90">
        <f t="shared" si="8"/>
        <v>44805</v>
      </c>
      <c r="C64" s="83">
        <v>2.1526535710626087</v>
      </c>
      <c r="D64" s="83">
        <v>2.0359830057557939</v>
      </c>
      <c r="E64" s="91">
        <f t="shared" si="4"/>
        <v>2022</v>
      </c>
      <c r="K64" s="17">
        <f t="shared" si="10"/>
        <v>9</v>
      </c>
      <c r="L64" s="112">
        <f t="shared" si="11"/>
        <v>2022</v>
      </c>
      <c r="M64" s="86">
        <f t="shared" si="7"/>
        <v>44805</v>
      </c>
      <c r="N64" s="87">
        <v>35.755000000000003</v>
      </c>
      <c r="O64" s="87">
        <v>39.75</v>
      </c>
      <c r="P64" s="87">
        <v>30.995000000000001</v>
      </c>
      <c r="Q64" s="88">
        <v>32.04</v>
      </c>
      <c r="S64" s="109">
        <v>36.323333333333338</v>
      </c>
      <c r="T64" s="111">
        <f t="shared" si="12"/>
        <v>1.0943378911627053</v>
      </c>
      <c r="U64" s="111">
        <f t="shared" si="13"/>
        <v>0.88207763604661815</v>
      </c>
      <c r="AD64" s="209" t="str">
        <f t="shared" si="0"/>
        <v>Winter</v>
      </c>
      <c r="AE64">
        <f t="shared" si="1"/>
        <v>3</v>
      </c>
      <c r="AF64" s="207">
        <v>44621</v>
      </c>
      <c r="AG64" s="208">
        <v>432</v>
      </c>
      <c r="AH64" s="208">
        <v>312</v>
      </c>
      <c r="AI64">
        <f t="shared" si="2"/>
        <v>27</v>
      </c>
      <c r="AJ64">
        <f t="shared" si="3"/>
        <v>4</v>
      </c>
    </row>
    <row r="65" spans="2:36" x14ac:dyDescent="0.2">
      <c r="B65" s="90">
        <f t="shared" si="8"/>
        <v>44835</v>
      </c>
      <c r="C65" s="83">
        <v>2.2110611947945484</v>
      </c>
      <c r="D65" s="83">
        <v>2.2327041131786256</v>
      </c>
      <c r="E65" s="91">
        <f t="shared" si="4"/>
        <v>2022</v>
      </c>
      <c r="K65" s="17">
        <f t="shared" si="10"/>
        <v>10</v>
      </c>
      <c r="L65" s="112">
        <f t="shared" si="11"/>
        <v>2022</v>
      </c>
      <c r="M65" s="86">
        <f t="shared" si="7"/>
        <v>44835</v>
      </c>
      <c r="N65" s="87">
        <v>32.9375</v>
      </c>
      <c r="O65" s="87">
        <v>33.685000000000002</v>
      </c>
      <c r="P65" s="87">
        <v>27.028600000000001</v>
      </c>
      <c r="Q65" s="88">
        <v>29.254999999999999</v>
      </c>
      <c r="S65" s="109">
        <v>31.73198924731183</v>
      </c>
      <c r="T65" s="111">
        <f t="shared" si="12"/>
        <v>1.0615470633582678</v>
      </c>
      <c r="U65" s="111">
        <f t="shared" si="13"/>
        <v>0.92194030988707498</v>
      </c>
      <c r="AD65" s="209" t="str">
        <f t="shared" si="0"/>
        <v>Winter</v>
      </c>
      <c r="AE65">
        <f t="shared" si="1"/>
        <v>4</v>
      </c>
      <c r="AF65" s="207">
        <v>44652</v>
      </c>
      <c r="AG65" s="208">
        <v>416</v>
      </c>
      <c r="AH65" s="208">
        <v>304</v>
      </c>
      <c r="AI65">
        <f t="shared" si="2"/>
        <v>26</v>
      </c>
      <c r="AJ65">
        <f t="shared" si="3"/>
        <v>4</v>
      </c>
    </row>
    <row r="66" spans="2:36" x14ac:dyDescent="0.2">
      <c r="B66" s="90">
        <f t="shared" si="8"/>
        <v>44866</v>
      </c>
      <c r="C66" s="83">
        <v>2.4595497694435906</v>
      </c>
      <c r="D66" s="83">
        <v>2.4924378531756908</v>
      </c>
      <c r="E66" s="91">
        <f t="shared" si="4"/>
        <v>2022</v>
      </c>
      <c r="K66" s="17">
        <f t="shared" si="10"/>
        <v>11</v>
      </c>
      <c r="L66" s="112">
        <f t="shared" si="11"/>
        <v>2022</v>
      </c>
      <c r="M66" s="86">
        <f t="shared" si="7"/>
        <v>44866</v>
      </c>
      <c r="N66" s="87">
        <v>33.907499999999999</v>
      </c>
      <c r="O66" s="87">
        <v>33.427500000000002</v>
      </c>
      <c r="P66" s="87">
        <v>29.934159999999999</v>
      </c>
      <c r="Q66" s="88">
        <v>28.587499999999999</v>
      </c>
      <c r="S66" s="109">
        <v>31.272659500693482</v>
      </c>
      <c r="T66" s="111">
        <f t="shared" si="12"/>
        <v>1.0689049327339344</v>
      </c>
      <c r="U66" s="111">
        <f t="shared" si="13"/>
        <v>0.9141371554717328</v>
      </c>
      <c r="AD66" s="209" t="str">
        <f t="shared" ref="AD66:AD129" si="16">IF(AND(AE66&gt;=6,AE66&lt;=9),"Summer","Winter")</f>
        <v>Winter</v>
      </c>
      <c r="AE66">
        <f t="shared" ref="AE66:AE129" si="17">MONTH(AF66)</f>
        <v>5</v>
      </c>
      <c r="AF66" s="207">
        <v>44682</v>
      </c>
      <c r="AG66" s="208">
        <v>400</v>
      </c>
      <c r="AH66" s="208">
        <v>344</v>
      </c>
      <c r="AI66">
        <f t="shared" ref="AI66:AI129" si="18">AG66/16</f>
        <v>25</v>
      </c>
      <c r="AJ66">
        <f t="shared" ref="AJ66:AJ129" si="19">EDATE(AF66,1)-AF66-AI66</f>
        <v>6</v>
      </c>
    </row>
    <row r="67" spans="2:36" x14ac:dyDescent="0.2">
      <c r="B67" s="92">
        <f t="shared" si="8"/>
        <v>44896</v>
      </c>
      <c r="C67" s="93">
        <v>2.649118372784097</v>
      </c>
      <c r="D67" s="93">
        <v>2.7219028408641837</v>
      </c>
      <c r="E67" s="94">
        <f t="shared" si="4"/>
        <v>2022</v>
      </c>
      <c r="K67" s="17">
        <f t="shared" si="10"/>
        <v>12</v>
      </c>
      <c r="L67" s="112">
        <f t="shared" si="11"/>
        <v>2022</v>
      </c>
      <c r="M67" s="95">
        <f t="shared" si="7"/>
        <v>44896</v>
      </c>
      <c r="N67" s="96">
        <v>35.604999999999997</v>
      </c>
      <c r="O67" s="96">
        <v>35.487499999999997</v>
      </c>
      <c r="P67" s="96">
        <v>30.349240000000002</v>
      </c>
      <c r="Q67" s="97">
        <v>31.2575</v>
      </c>
      <c r="S67" s="109">
        <v>33.622661290322583</v>
      </c>
      <c r="T67" s="111">
        <f t="shared" si="12"/>
        <v>1.0554637449300945</v>
      </c>
      <c r="U67" s="111">
        <f t="shared" si="13"/>
        <v>0.92965573813744085</v>
      </c>
      <c r="AD67" s="209" t="str">
        <f t="shared" si="16"/>
        <v>Summer</v>
      </c>
      <c r="AE67">
        <f t="shared" si="17"/>
        <v>6</v>
      </c>
      <c r="AF67" s="207">
        <v>44713</v>
      </c>
      <c r="AG67" s="208">
        <v>416</v>
      </c>
      <c r="AH67" s="208">
        <v>304</v>
      </c>
      <c r="AI67">
        <f t="shared" si="18"/>
        <v>26</v>
      </c>
      <c r="AJ67">
        <f t="shared" si="19"/>
        <v>4</v>
      </c>
    </row>
    <row r="68" spans="2:36" x14ac:dyDescent="0.2">
      <c r="B68" s="266">
        <f t="shared" si="8"/>
        <v>44927</v>
      </c>
      <c r="C68" s="83">
        <v>2.7531249308330774</v>
      </c>
      <c r="D68" s="83">
        <v>2.7492323787237125</v>
      </c>
      <c r="E68" s="265">
        <f t="shared" si="4"/>
        <v>2023</v>
      </c>
      <c r="K68" s="17">
        <f t="shared" si="10"/>
        <v>1</v>
      </c>
      <c r="L68" s="112">
        <f t="shared" si="11"/>
        <v>2023</v>
      </c>
      <c r="M68" s="86">
        <f t="shared" si="7"/>
        <v>44927</v>
      </c>
      <c r="N68" s="264">
        <v>35.225000000000001</v>
      </c>
      <c r="O68" s="264">
        <v>34.69</v>
      </c>
      <c r="P68" s="264">
        <v>30.06</v>
      </c>
      <c r="Q68" s="263">
        <v>32.15</v>
      </c>
      <c r="S68" s="109">
        <v>33.515591397849455</v>
      </c>
      <c r="T68" s="111">
        <f t="shared" si="12"/>
        <v>1.0350406647524024</v>
      </c>
      <c r="U68" s="111">
        <f t="shared" si="13"/>
        <v>0.95925504098557901</v>
      </c>
      <c r="AD68" s="209" t="str">
        <f t="shared" si="16"/>
        <v>Summer</v>
      </c>
      <c r="AE68">
        <f t="shared" si="17"/>
        <v>7</v>
      </c>
      <c r="AF68" s="207">
        <v>44743</v>
      </c>
      <c r="AG68" s="208">
        <v>400</v>
      </c>
      <c r="AH68" s="208">
        <v>344</v>
      </c>
      <c r="AI68">
        <f t="shared" si="18"/>
        <v>25</v>
      </c>
      <c r="AJ68">
        <f t="shared" si="19"/>
        <v>6</v>
      </c>
    </row>
    <row r="69" spans="2:36" x14ac:dyDescent="0.2">
      <c r="B69" s="90">
        <f t="shared" si="8"/>
        <v>44958</v>
      </c>
      <c r="C69" s="83">
        <v>2.7623471872118048</v>
      </c>
      <c r="D69" s="83">
        <v>2.6721424558935332</v>
      </c>
      <c r="E69" s="91">
        <f t="shared" si="4"/>
        <v>2023</v>
      </c>
      <c r="K69" s="17">
        <f t="shared" si="10"/>
        <v>2</v>
      </c>
      <c r="L69" s="112">
        <f t="shared" si="11"/>
        <v>2023</v>
      </c>
      <c r="M69" s="86">
        <f t="shared" si="7"/>
        <v>44958</v>
      </c>
      <c r="N69" s="87">
        <v>34.46</v>
      </c>
      <c r="O69" s="87">
        <v>34.145000000000003</v>
      </c>
      <c r="P69" s="87">
        <v>29.414999999999999</v>
      </c>
      <c r="Q69" s="88">
        <v>31.4</v>
      </c>
      <c r="S69" s="109">
        <v>32.96857142857143</v>
      </c>
      <c r="T69" s="111">
        <f t="shared" si="12"/>
        <v>1.0356833347777104</v>
      </c>
      <c r="U69" s="111">
        <f t="shared" si="13"/>
        <v>0.95242222029638612</v>
      </c>
      <c r="AD69" s="209" t="str">
        <f t="shared" si="16"/>
        <v>Summer</v>
      </c>
      <c r="AE69">
        <f t="shared" si="17"/>
        <v>8</v>
      </c>
      <c r="AF69" s="207">
        <v>44774</v>
      </c>
      <c r="AG69" s="208">
        <v>432</v>
      </c>
      <c r="AH69" s="208">
        <v>312</v>
      </c>
      <c r="AI69">
        <f t="shared" si="18"/>
        <v>27</v>
      </c>
      <c r="AJ69">
        <f t="shared" si="19"/>
        <v>4</v>
      </c>
    </row>
    <row r="70" spans="2:36" x14ac:dyDescent="0.2">
      <c r="B70" s="90">
        <f t="shared" si="8"/>
        <v>44986</v>
      </c>
      <c r="C70" s="83">
        <v>2.6829333128394302</v>
      </c>
      <c r="D70" s="83">
        <v>2.6057780875440741</v>
      </c>
      <c r="E70" s="91">
        <f t="shared" si="4"/>
        <v>2023</v>
      </c>
      <c r="K70" s="17">
        <f t="shared" si="10"/>
        <v>3</v>
      </c>
      <c r="L70" s="112">
        <f t="shared" si="11"/>
        <v>2023</v>
      </c>
      <c r="M70" s="86">
        <f t="shared" si="7"/>
        <v>44986</v>
      </c>
      <c r="N70" s="87">
        <v>32.164999999999999</v>
      </c>
      <c r="O70" s="87">
        <v>31.965</v>
      </c>
      <c r="P70" s="87">
        <v>28.125</v>
      </c>
      <c r="Q70" s="88">
        <v>29.9</v>
      </c>
      <c r="S70" s="109">
        <v>31.100646029609692</v>
      </c>
      <c r="T70" s="111">
        <f t="shared" si="12"/>
        <v>1.0277921548500115</v>
      </c>
      <c r="U70" s="111">
        <f t="shared" si="13"/>
        <v>0.96139482027265266</v>
      </c>
      <c r="AD70" s="209" t="str">
        <f t="shared" si="16"/>
        <v>Summer</v>
      </c>
      <c r="AE70">
        <f t="shared" si="17"/>
        <v>9</v>
      </c>
      <c r="AF70" s="207">
        <v>44805</v>
      </c>
      <c r="AG70" s="208">
        <v>400</v>
      </c>
      <c r="AH70" s="208">
        <v>320</v>
      </c>
      <c r="AI70">
        <f t="shared" si="18"/>
        <v>25</v>
      </c>
      <c r="AJ70">
        <f t="shared" si="19"/>
        <v>5</v>
      </c>
    </row>
    <row r="71" spans="2:36" x14ac:dyDescent="0.2">
      <c r="B71" s="90">
        <f t="shared" si="8"/>
        <v>45017</v>
      </c>
      <c r="C71" s="83">
        <v>2.2269439696690236</v>
      </c>
      <c r="D71" s="83">
        <v>2.0514525554876024</v>
      </c>
      <c r="E71" s="91">
        <f t="shared" si="4"/>
        <v>2023</v>
      </c>
      <c r="K71" s="17">
        <f t="shared" si="10"/>
        <v>4</v>
      </c>
      <c r="L71" s="112">
        <f t="shared" si="11"/>
        <v>2023</v>
      </c>
      <c r="M71" s="86">
        <f t="shared" si="7"/>
        <v>45017</v>
      </c>
      <c r="N71" s="87">
        <v>30</v>
      </c>
      <c r="O71" s="87">
        <v>32</v>
      </c>
      <c r="P71" s="87">
        <v>22.622499999999999</v>
      </c>
      <c r="Q71" s="88">
        <v>29.315000000000001</v>
      </c>
      <c r="S71" s="109">
        <v>30.806666666666672</v>
      </c>
      <c r="T71" s="111">
        <f t="shared" si="12"/>
        <v>1.0387362042847867</v>
      </c>
      <c r="U71" s="111">
        <f t="shared" si="13"/>
        <v>0.95157974464401629</v>
      </c>
      <c r="AD71" s="209" t="str">
        <f t="shared" si="16"/>
        <v>Winter</v>
      </c>
      <c r="AE71">
        <f t="shared" si="17"/>
        <v>10</v>
      </c>
      <c r="AF71" s="207">
        <v>44835</v>
      </c>
      <c r="AG71" s="208">
        <v>416</v>
      </c>
      <c r="AH71" s="208">
        <v>328</v>
      </c>
      <c r="AI71">
        <f t="shared" si="18"/>
        <v>26</v>
      </c>
      <c r="AJ71">
        <f t="shared" si="19"/>
        <v>5</v>
      </c>
    </row>
    <row r="72" spans="2:36" x14ac:dyDescent="0.2">
      <c r="B72" s="90">
        <f t="shared" si="8"/>
        <v>45047</v>
      </c>
      <c r="C72" s="83">
        <v>2.1454807049902653</v>
      </c>
      <c r="D72" s="83">
        <v>2.0358283102584762</v>
      </c>
      <c r="E72" s="91">
        <f t="shared" ref="E72:E135" si="20">YEAR(B72)</f>
        <v>2023</v>
      </c>
      <c r="K72" s="17">
        <f t="shared" si="10"/>
        <v>5</v>
      </c>
      <c r="L72" s="112">
        <f t="shared" si="11"/>
        <v>2023</v>
      </c>
      <c r="M72" s="86">
        <f t="shared" ref="M72:M135" si="21">B72</f>
        <v>45047</v>
      </c>
      <c r="N72" s="87">
        <v>25.17</v>
      </c>
      <c r="O72" s="87">
        <v>32.81</v>
      </c>
      <c r="P72" s="87">
        <v>17.8125</v>
      </c>
      <c r="Q72" s="88">
        <v>25.01</v>
      </c>
      <c r="S72" s="109">
        <v>29.371290322580649</v>
      </c>
      <c r="T72" s="111">
        <f t="shared" si="12"/>
        <v>1.1170772424245752</v>
      </c>
      <c r="U72" s="111">
        <f t="shared" si="13"/>
        <v>0.85151179009566058</v>
      </c>
      <c r="AD72" s="209" t="str">
        <f t="shared" si="16"/>
        <v>Winter</v>
      </c>
      <c r="AE72">
        <f t="shared" si="17"/>
        <v>11</v>
      </c>
      <c r="AF72" s="207">
        <v>44866</v>
      </c>
      <c r="AG72" s="208">
        <v>400</v>
      </c>
      <c r="AH72" s="208">
        <v>320</v>
      </c>
      <c r="AI72">
        <f t="shared" si="18"/>
        <v>25</v>
      </c>
      <c r="AJ72">
        <f t="shared" si="19"/>
        <v>5</v>
      </c>
    </row>
    <row r="73" spans="2:36" x14ac:dyDescent="0.2">
      <c r="B73" s="90">
        <f t="shared" ref="B73:B136" si="22">EDATE(B72,1)</f>
        <v>45078</v>
      </c>
      <c r="C73" s="83">
        <v>2.1736598217030436</v>
      </c>
      <c r="D73" s="83">
        <v>2.0512978599902842</v>
      </c>
      <c r="E73" s="91">
        <f t="shared" si="20"/>
        <v>2023</v>
      </c>
      <c r="K73" s="17">
        <f t="shared" ref="K73:K136" si="23">MONTH(M73)</f>
        <v>6</v>
      </c>
      <c r="L73" s="112">
        <f t="shared" ref="L73:L136" si="24">YEAR(M73)</f>
        <v>2023</v>
      </c>
      <c r="M73" s="86">
        <f t="shared" si="21"/>
        <v>45078</v>
      </c>
      <c r="N73" s="87">
        <v>24.48</v>
      </c>
      <c r="O73" s="87">
        <v>35.24</v>
      </c>
      <c r="P73" s="87">
        <v>17.164999999999999</v>
      </c>
      <c r="Q73" s="88">
        <v>25.625</v>
      </c>
      <c r="S73" s="109">
        <v>31.180333333333333</v>
      </c>
      <c r="T73" s="111">
        <f t="shared" ref="T73:T136" si="25">O73/S73</f>
        <v>1.1301995916229248</v>
      </c>
      <c r="U73" s="111">
        <f t="shared" ref="U73:U136" si="26">Q73/S73</f>
        <v>0.82183213777915565</v>
      </c>
      <c r="AD73" s="209" t="str">
        <f t="shared" si="16"/>
        <v>Winter</v>
      </c>
      <c r="AE73">
        <f t="shared" si="17"/>
        <v>12</v>
      </c>
      <c r="AF73" s="207">
        <v>44896</v>
      </c>
      <c r="AG73" s="208">
        <v>416</v>
      </c>
      <c r="AH73" s="208">
        <v>328</v>
      </c>
      <c r="AI73">
        <f t="shared" si="18"/>
        <v>26</v>
      </c>
      <c r="AJ73">
        <f t="shared" si="19"/>
        <v>5</v>
      </c>
    </row>
    <row r="74" spans="2:36" x14ac:dyDescent="0.2">
      <c r="B74" s="90">
        <f t="shared" si="22"/>
        <v>45108</v>
      </c>
      <c r="C74" s="83">
        <v>2.2166970181371042</v>
      </c>
      <c r="D74" s="83">
        <v>2.1848516393415647</v>
      </c>
      <c r="E74" s="91">
        <f t="shared" si="20"/>
        <v>2023</v>
      </c>
      <c r="K74" s="17">
        <f t="shared" si="23"/>
        <v>7</v>
      </c>
      <c r="L74" s="112">
        <f t="shared" si="24"/>
        <v>2023</v>
      </c>
      <c r="M74" s="86">
        <f t="shared" si="21"/>
        <v>45108</v>
      </c>
      <c r="N74" s="87">
        <v>33.825000000000003</v>
      </c>
      <c r="O74" s="87">
        <v>48.79</v>
      </c>
      <c r="P74" s="87">
        <v>22.855</v>
      </c>
      <c r="Q74" s="88">
        <v>31.8</v>
      </c>
      <c r="S74" s="109">
        <v>40.934408602150533</v>
      </c>
      <c r="T74" s="111">
        <f t="shared" si="25"/>
        <v>1.1919068008090574</v>
      </c>
      <c r="U74" s="111">
        <f t="shared" si="26"/>
        <v>0.77685255719877078</v>
      </c>
      <c r="AD74" s="209" t="str">
        <f t="shared" si="16"/>
        <v>Winter</v>
      </c>
      <c r="AE74">
        <f t="shared" si="17"/>
        <v>1</v>
      </c>
      <c r="AF74" s="207">
        <v>44927</v>
      </c>
      <c r="AG74" s="208">
        <v>400</v>
      </c>
      <c r="AH74" s="208">
        <v>344</v>
      </c>
      <c r="AI74">
        <f t="shared" si="18"/>
        <v>25</v>
      </c>
      <c r="AJ74">
        <f t="shared" si="19"/>
        <v>6</v>
      </c>
    </row>
    <row r="75" spans="2:36" x14ac:dyDescent="0.2">
      <c r="B75" s="90">
        <f t="shared" si="22"/>
        <v>45139</v>
      </c>
      <c r="C75" s="83">
        <v>2.2402650066605188</v>
      </c>
      <c r="D75" s="83">
        <v>2.2124390030299566</v>
      </c>
      <c r="E75" s="91">
        <f t="shared" si="20"/>
        <v>2023</v>
      </c>
      <c r="K75" s="17">
        <f t="shared" si="23"/>
        <v>8</v>
      </c>
      <c r="L75" s="112">
        <f t="shared" si="24"/>
        <v>2023</v>
      </c>
      <c r="M75" s="86">
        <f t="shared" si="21"/>
        <v>45139</v>
      </c>
      <c r="N75" s="87">
        <v>39.270000000000003</v>
      </c>
      <c r="O75" s="87">
        <v>47.96</v>
      </c>
      <c r="P75" s="87">
        <v>27.8</v>
      </c>
      <c r="Q75" s="88">
        <v>34.229999999999997</v>
      </c>
      <c r="S75" s="109">
        <v>42.20225806451613</v>
      </c>
      <c r="T75" s="111">
        <f t="shared" si="25"/>
        <v>1.1364320820625713</v>
      </c>
      <c r="U75" s="111">
        <f t="shared" si="26"/>
        <v>0.81109404022105525</v>
      </c>
      <c r="AD75" s="209" t="str">
        <f t="shared" si="16"/>
        <v>Winter</v>
      </c>
      <c r="AE75">
        <f t="shared" si="17"/>
        <v>2</v>
      </c>
      <c r="AF75" s="207">
        <v>44958</v>
      </c>
      <c r="AG75" s="208">
        <v>384</v>
      </c>
      <c r="AH75" s="208">
        <v>288</v>
      </c>
      <c r="AI75">
        <f t="shared" si="18"/>
        <v>24</v>
      </c>
      <c r="AJ75">
        <f t="shared" si="19"/>
        <v>4</v>
      </c>
    </row>
    <row r="76" spans="2:36" x14ac:dyDescent="0.2">
      <c r="B76" s="90">
        <f t="shared" si="22"/>
        <v>45170</v>
      </c>
      <c r="C76" s="83">
        <v>2.2448761348498825</v>
      </c>
      <c r="D76" s="83">
        <v>2.2280632482590832</v>
      </c>
      <c r="E76" s="91">
        <f t="shared" si="20"/>
        <v>2023</v>
      </c>
      <c r="K76" s="17">
        <f t="shared" si="23"/>
        <v>9</v>
      </c>
      <c r="L76" s="112">
        <f t="shared" si="24"/>
        <v>2023</v>
      </c>
      <c r="M76" s="86">
        <f t="shared" si="21"/>
        <v>45170</v>
      </c>
      <c r="N76" s="87">
        <v>37.454999999999998</v>
      </c>
      <c r="O76" s="87">
        <v>42.15</v>
      </c>
      <c r="P76" s="87">
        <v>32.744999999999997</v>
      </c>
      <c r="Q76" s="88">
        <v>33.69</v>
      </c>
      <c r="S76" s="109">
        <v>38.39</v>
      </c>
      <c r="T76" s="111">
        <f t="shared" si="25"/>
        <v>1.0979421724407397</v>
      </c>
      <c r="U76" s="111">
        <f t="shared" si="26"/>
        <v>0.8775722844490752</v>
      </c>
      <c r="AD76" s="209" t="str">
        <f t="shared" si="16"/>
        <v>Winter</v>
      </c>
      <c r="AE76">
        <f t="shared" si="17"/>
        <v>3</v>
      </c>
      <c r="AF76" s="207">
        <v>44986</v>
      </c>
      <c r="AG76" s="208">
        <v>432</v>
      </c>
      <c r="AH76" s="208">
        <v>312</v>
      </c>
      <c r="AI76">
        <f t="shared" si="18"/>
        <v>27</v>
      </c>
      <c r="AJ76">
        <f t="shared" si="19"/>
        <v>4</v>
      </c>
    </row>
    <row r="77" spans="2:36" x14ac:dyDescent="0.2">
      <c r="B77" s="90">
        <f t="shared" si="22"/>
        <v>45200</v>
      </c>
      <c r="C77" s="83">
        <v>2.3068701916179934</v>
      </c>
      <c r="D77" s="83">
        <v>2.4064787218326082</v>
      </c>
      <c r="E77" s="91">
        <f t="shared" si="20"/>
        <v>2023</v>
      </c>
      <c r="K77" s="17">
        <f t="shared" si="23"/>
        <v>10</v>
      </c>
      <c r="L77" s="112">
        <f t="shared" si="24"/>
        <v>2023</v>
      </c>
      <c r="M77" s="86">
        <f t="shared" si="21"/>
        <v>45200</v>
      </c>
      <c r="N77" s="87">
        <v>34.4375</v>
      </c>
      <c r="O77" s="87">
        <v>35.435000000000002</v>
      </c>
      <c r="P77" s="87">
        <v>28.578600000000002</v>
      </c>
      <c r="Q77" s="88">
        <v>30.805</v>
      </c>
      <c r="S77" s="109">
        <v>33.393817204301079</v>
      </c>
      <c r="T77" s="111">
        <f t="shared" si="25"/>
        <v>1.0611245723485609</v>
      </c>
      <c r="U77" s="111">
        <f t="shared" si="26"/>
        <v>0.92247615214328826</v>
      </c>
      <c r="AD77" s="209" t="str">
        <f t="shared" si="16"/>
        <v>Winter</v>
      </c>
      <c r="AE77">
        <f t="shared" si="17"/>
        <v>4</v>
      </c>
      <c r="AF77" s="207">
        <v>45017</v>
      </c>
      <c r="AG77" s="208">
        <v>400</v>
      </c>
      <c r="AH77" s="208">
        <v>320</v>
      </c>
      <c r="AI77">
        <f t="shared" si="18"/>
        <v>25</v>
      </c>
      <c r="AJ77">
        <f t="shared" si="19"/>
        <v>5</v>
      </c>
    </row>
    <row r="78" spans="2:36" x14ac:dyDescent="0.2">
      <c r="B78" s="90">
        <f t="shared" si="22"/>
        <v>45231</v>
      </c>
      <c r="C78" s="83">
        <v>2.5553587662670356</v>
      </c>
      <c r="D78" s="83">
        <v>2.5508611859961547</v>
      </c>
      <c r="E78" s="91">
        <f t="shared" si="20"/>
        <v>2023</v>
      </c>
      <c r="K78" s="17">
        <f t="shared" si="23"/>
        <v>11</v>
      </c>
      <c r="L78" s="112">
        <f t="shared" si="24"/>
        <v>2023</v>
      </c>
      <c r="M78" s="86">
        <f t="shared" si="21"/>
        <v>45231</v>
      </c>
      <c r="N78" s="87">
        <v>35.407499999999999</v>
      </c>
      <c r="O78" s="87">
        <v>35.177500000000002</v>
      </c>
      <c r="P78" s="87">
        <v>31.484159999999999</v>
      </c>
      <c r="Q78" s="88">
        <v>30.137499999999999</v>
      </c>
      <c r="S78" s="109">
        <v>32.933616504854371</v>
      </c>
      <c r="T78" s="111">
        <f t="shared" si="25"/>
        <v>1.0681335283908127</v>
      </c>
      <c r="U78" s="111">
        <f t="shared" si="26"/>
        <v>0.91509840698964151</v>
      </c>
      <c r="AD78" s="209" t="str">
        <f t="shared" si="16"/>
        <v>Winter</v>
      </c>
      <c r="AE78">
        <f t="shared" si="17"/>
        <v>5</v>
      </c>
      <c r="AF78" s="207">
        <v>45047</v>
      </c>
      <c r="AG78" s="208">
        <v>416</v>
      </c>
      <c r="AH78" s="208">
        <v>328</v>
      </c>
      <c r="AI78">
        <f t="shared" si="18"/>
        <v>26</v>
      </c>
      <c r="AJ78">
        <f t="shared" si="19"/>
        <v>5</v>
      </c>
    </row>
    <row r="79" spans="2:36" x14ac:dyDescent="0.2">
      <c r="B79" s="92">
        <f t="shared" si="22"/>
        <v>45261</v>
      </c>
      <c r="C79" s="93">
        <v>2.7218717286607235</v>
      </c>
      <c r="D79" s="93">
        <v>2.8073978857153126</v>
      </c>
      <c r="E79" s="94">
        <f t="shared" si="20"/>
        <v>2023</v>
      </c>
      <c r="K79" s="17">
        <f t="shared" si="23"/>
        <v>12</v>
      </c>
      <c r="L79" s="112">
        <f t="shared" si="24"/>
        <v>2023</v>
      </c>
      <c r="M79" s="95">
        <f t="shared" si="21"/>
        <v>45261</v>
      </c>
      <c r="N79" s="96">
        <v>37.104999999999997</v>
      </c>
      <c r="O79" s="96">
        <v>37.237499999999997</v>
      </c>
      <c r="P79" s="96">
        <v>31.899239999999999</v>
      </c>
      <c r="Q79" s="97">
        <v>32.807499999999997</v>
      </c>
      <c r="S79" s="109">
        <v>35.189220430107525</v>
      </c>
      <c r="T79" s="111">
        <f t="shared" si="25"/>
        <v>1.0582075858702453</v>
      </c>
      <c r="U79" s="111">
        <f t="shared" si="26"/>
        <v>0.93231676061599389</v>
      </c>
      <c r="AD79" s="209" t="str">
        <f t="shared" si="16"/>
        <v>Summer</v>
      </c>
      <c r="AE79">
        <f t="shared" si="17"/>
        <v>6</v>
      </c>
      <c r="AF79" s="207">
        <v>45078</v>
      </c>
      <c r="AG79" s="208">
        <v>416</v>
      </c>
      <c r="AH79" s="208">
        <v>304</v>
      </c>
      <c r="AI79">
        <f t="shared" si="18"/>
        <v>26</v>
      </c>
      <c r="AJ79">
        <f t="shared" si="19"/>
        <v>4</v>
      </c>
    </row>
    <row r="80" spans="2:36" x14ac:dyDescent="0.2">
      <c r="B80" s="266">
        <f t="shared" si="22"/>
        <v>45292</v>
      </c>
      <c r="C80" s="83">
        <v>2.8156313351777849</v>
      </c>
      <c r="D80" s="83">
        <v>2.8224549141209399</v>
      </c>
      <c r="E80" s="265">
        <f t="shared" si="20"/>
        <v>2024</v>
      </c>
      <c r="K80" s="17">
        <f t="shared" si="23"/>
        <v>1</v>
      </c>
      <c r="L80" s="112">
        <f t="shared" si="24"/>
        <v>2024</v>
      </c>
      <c r="M80" s="86">
        <f t="shared" si="21"/>
        <v>45292</v>
      </c>
      <c r="N80" s="264">
        <v>35.725000000000001</v>
      </c>
      <c r="O80" s="264">
        <v>36.29</v>
      </c>
      <c r="P80" s="264">
        <v>31.41</v>
      </c>
      <c r="Q80" s="263">
        <v>33.799999999999997</v>
      </c>
      <c r="S80" s="109">
        <v>35.192258064516125</v>
      </c>
      <c r="T80" s="111">
        <f t="shared" si="25"/>
        <v>1.0311927110068198</v>
      </c>
      <c r="U80" s="111">
        <f t="shared" si="26"/>
        <v>0.96043851286939952</v>
      </c>
      <c r="AD80" s="209" t="str">
        <f t="shared" si="16"/>
        <v>Summer</v>
      </c>
      <c r="AE80">
        <f t="shared" si="17"/>
        <v>7</v>
      </c>
      <c r="AF80" s="207">
        <v>45108</v>
      </c>
      <c r="AG80" s="208">
        <v>400</v>
      </c>
      <c r="AH80" s="208">
        <v>344</v>
      </c>
      <c r="AI80">
        <f t="shared" si="18"/>
        <v>25</v>
      </c>
      <c r="AJ80">
        <f t="shared" si="19"/>
        <v>6</v>
      </c>
    </row>
    <row r="81" spans="2:36" x14ac:dyDescent="0.2">
      <c r="B81" s="90">
        <f t="shared" si="22"/>
        <v>45323</v>
      </c>
      <c r="C81" s="83">
        <v>2.8228042012501282</v>
      </c>
      <c r="D81" s="83">
        <v>2.7433539498256243</v>
      </c>
      <c r="E81" s="91">
        <f t="shared" si="20"/>
        <v>2024</v>
      </c>
      <c r="K81" s="17">
        <f t="shared" si="23"/>
        <v>2</v>
      </c>
      <c r="L81" s="112">
        <f t="shared" si="24"/>
        <v>2024</v>
      </c>
      <c r="M81" s="86">
        <f t="shared" si="21"/>
        <v>45323</v>
      </c>
      <c r="N81" s="87">
        <v>34.96</v>
      </c>
      <c r="O81" s="87">
        <v>35.744999999999997</v>
      </c>
      <c r="P81" s="87">
        <v>30.765000000000001</v>
      </c>
      <c r="Q81" s="88">
        <v>33.049999999999997</v>
      </c>
      <c r="S81" s="109">
        <v>34.598850574712642</v>
      </c>
      <c r="T81" s="111">
        <f t="shared" si="25"/>
        <v>1.0331268064183914</v>
      </c>
      <c r="U81" s="111">
        <f t="shared" si="26"/>
        <v>0.95523404538055212</v>
      </c>
      <c r="AD81" s="209" t="str">
        <f t="shared" si="16"/>
        <v>Summer</v>
      </c>
      <c r="AE81">
        <f t="shared" si="17"/>
        <v>8</v>
      </c>
      <c r="AF81" s="207">
        <v>45139</v>
      </c>
      <c r="AG81" s="208">
        <v>432</v>
      </c>
      <c r="AH81" s="208">
        <v>312</v>
      </c>
      <c r="AI81">
        <f t="shared" si="18"/>
        <v>27</v>
      </c>
      <c r="AJ81">
        <f t="shared" si="19"/>
        <v>4</v>
      </c>
    </row>
    <row r="82" spans="2:36" x14ac:dyDescent="0.2">
      <c r="B82" s="90">
        <f t="shared" si="22"/>
        <v>45352</v>
      </c>
      <c r="C82" s="83">
        <v>2.743390326877754</v>
      </c>
      <c r="D82" s="83">
        <v>2.6769380163103942</v>
      </c>
      <c r="E82" s="91">
        <f t="shared" si="20"/>
        <v>2024</v>
      </c>
      <c r="K82" s="17">
        <f t="shared" si="23"/>
        <v>3</v>
      </c>
      <c r="L82" s="112">
        <f t="shared" si="24"/>
        <v>2024</v>
      </c>
      <c r="M82" s="86">
        <f t="shared" si="21"/>
        <v>45352</v>
      </c>
      <c r="N82" s="87">
        <v>32.664999999999999</v>
      </c>
      <c r="O82" s="87">
        <v>33.564999999999998</v>
      </c>
      <c r="P82" s="87">
        <v>29.475000000000001</v>
      </c>
      <c r="Q82" s="88">
        <v>31.55</v>
      </c>
      <c r="S82" s="109">
        <v>32.678183041722747</v>
      </c>
      <c r="T82" s="111">
        <f t="shared" si="25"/>
        <v>1.0271378906576594</v>
      </c>
      <c r="U82" s="111">
        <f t="shared" si="26"/>
        <v>0.9654759556159439</v>
      </c>
      <c r="AD82" s="209" t="str">
        <f t="shared" si="16"/>
        <v>Summer</v>
      </c>
      <c r="AE82">
        <f t="shared" si="17"/>
        <v>9</v>
      </c>
      <c r="AF82" s="207">
        <v>45170</v>
      </c>
      <c r="AG82" s="208">
        <v>400</v>
      </c>
      <c r="AH82" s="208">
        <v>320</v>
      </c>
      <c r="AI82">
        <f t="shared" si="18"/>
        <v>25</v>
      </c>
      <c r="AJ82">
        <f t="shared" si="19"/>
        <v>5</v>
      </c>
    </row>
    <row r="83" spans="2:36" x14ac:dyDescent="0.2">
      <c r="B83" s="90">
        <f t="shared" si="22"/>
        <v>45383</v>
      </c>
      <c r="C83" s="83">
        <v>2.277154032175428</v>
      </c>
      <c r="D83" s="83">
        <v>2.1122994510993829</v>
      </c>
      <c r="E83" s="91">
        <f t="shared" si="20"/>
        <v>2024</v>
      </c>
      <c r="K83" s="17">
        <f t="shared" si="23"/>
        <v>4</v>
      </c>
      <c r="L83" s="112">
        <f t="shared" si="24"/>
        <v>2024</v>
      </c>
      <c r="M83" s="86">
        <f t="shared" si="21"/>
        <v>45383</v>
      </c>
      <c r="N83" s="87">
        <v>29</v>
      </c>
      <c r="O83" s="87">
        <v>33.6</v>
      </c>
      <c r="P83" s="87">
        <v>20.522500000000001</v>
      </c>
      <c r="Q83" s="88">
        <v>30.965</v>
      </c>
      <c r="S83" s="109">
        <v>32.487444444444442</v>
      </c>
      <c r="T83" s="111">
        <f t="shared" si="25"/>
        <v>1.0342457085985357</v>
      </c>
      <c r="U83" s="111">
        <f t="shared" si="26"/>
        <v>0.95313745139147776</v>
      </c>
      <c r="AD83" s="209" t="str">
        <f t="shared" si="16"/>
        <v>Winter</v>
      </c>
      <c r="AE83">
        <f t="shared" si="17"/>
        <v>10</v>
      </c>
      <c r="AF83" s="207">
        <v>45200</v>
      </c>
      <c r="AG83" s="208">
        <v>416</v>
      </c>
      <c r="AH83" s="208">
        <v>328</v>
      </c>
      <c r="AI83">
        <f t="shared" si="18"/>
        <v>26</v>
      </c>
      <c r="AJ83">
        <f t="shared" si="19"/>
        <v>5</v>
      </c>
    </row>
    <row r="84" spans="2:36" x14ac:dyDescent="0.2">
      <c r="B84" s="90">
        <f t="shared" si="22"/>
        <v>45413</v>
      </c>
      <c r="C84" s="83">
        <v>2.8242387744645971</v>
      </c>
      <c r="D84" s="83">
        <v>2.7078255506082378</v>
      </c>
      <c r="E84" s="91">
        <f t="shared" si="20"/>
        <v>2024</v>
      </c>
      <c r="K84" s="17">
        <f t="shared" si="23"/>
        <v>5</v>
      </c>
      <c r="L84" s="112">
        <f t="shared" si="24"/>
        <v>2024</v>
      </c>
      <c r="M84" s="86">
        <f t="shared" si="21"/>
        <v>45413</v>
      </c>
      <c r="N84" s="87">
        <v>25.189640000000001</v>
      </c>
      <c r="O84" s="87">
        <v>36.047339999999998</v>
      </c>
      <c r="P84" s="87">
        <v>20.417459999999998</v>
      </c>
      <c r="Q84" s="88">
        <v>30.179600000000001</v>
      </c>
      <c r="S84" s="109">
        <v>33.460486881720428</v>
      </c>
      <c r="T84" s="111">
        <f t="shared" si="25"/>
        <v>1.0773106837155073</v>
      </c>
      <c r="U84" s="111">
        <f t="shared" si="26"/>
        <v>0.90194742553155183</v>
      </c>
      <c r="AD84" s="209" t="str">
        <f t="shared" si="16"/>
        <v>Winter</v>
      </c>
      <c r="AE84">
        <f t="shared" si="17"/>
        <v>11</v>
      </c>
      <c r="AF84" s="207">
        <v>45231</v>
      </c>
      <c r="AG84" s="208">
        <v>400</v>
      </c>
      <c r="AH84" s="208">
        <v>320</v>
      </c>
      <c r="AI84">
        <f t="shared" si="18"/>
        <v>25</v>
      </c>
      <c r="AJ84">
        <f t="shared" si="19"/>
        <v>5</v>
      </c>
    </row>
    <row r="85" spans="2:36" x14ac:dyDescent="0.2">
      <c r="B85" s="90">
        <f t="shared" si="22"/>
        <v>45444</v>
      </c>
      <c r="C85" s="83">
        <v>2.8503685008709914</v>
      </c>
      <c r="D85" s="83">
        <v>2.7389193455691734</v>
      </c>
      <c r="E85" s="91">
        <f t="shared" si="20"/>
        <v>2024</v>
      </c>
      <c r="K85" s="17">
        <f t="shared" si="23"/>
        <v>6</v>
      </c>
      <c r="L85" s="112">
        <f t="shared" si="24"/>
        <v>2024</v>
      </c>
      <c r="M85" s="86">
        <f t="shared" si="21"/>
        <v>45444</v>
      </c>
      <c r="N85" s="87">
        <v>26.726559999999999</v>
      </c>
      <c r="O85" s="87">
        <v>41.459910000000001</v>
      </c>
      <c r="P85" s="87">
        <v>20.667400000000001</v>
      </c>
      <c r="Q85" s="88">
        <v>31.48976</v>
      </c>
      <c r="S85" s="109">
        <v>37.028732222222224</v>
      </c>
      <c r="T85" s="111">
        <f t="shared" si="25"/>
        <v>1.1196686332976442</v>
      </c>
      <c r="U85" s="111">
        <f t="shared" si="26"/>
        <v>0.85041420837794457</v>
      </c>
      <c r="AD85" s="209" t="str">
        <f t="shared" si="16"/>
        <v>Winter</v>
      </c>
      <c r="AE85">
        <f t="shared" si="17"/>
        <v>12</v>
      </c>
      <c r="AF85" s="207">
        <v>45261</v>
      </c>
      <c r="AG85" s="208">
        <v>400</v>
      </c>
      <c r="AH85" s="208">
        <v>344</v>
      </c>
      <c r="AI85">
        <f t="shared" si="18"/>
        <v>25</v>
      </c>
      <c r="AJ85">
        <f t="shared" si="19"/>
        <v>6</v>
      </c>
    </row>
    <row r="86" spans="2:36" x14ac:dyDescent="0.2">
      <c r="B86" s="90">
        <f t="shared" si="22"/>
        <v>45474</v>
      </c>
      <c r="C86" s="83">
        <v>2.9394145096833695</v>
      </c>
      <c r="D86" s="83">
        <v>2.8890771082992606</v>
      </c>
      <c r="E86" s="91">
        <f t="shared" si="20"/>
        <v>2024</v>
      </c>
      <c r="K86" s="17">
        <f t="shared" si="23"/>
        <v>7</v>
      </c>
      <c r="L86" s="112">
        <f t="shared" si="24"/>
        <v>2024</v>
      </c>
      <c r="M86" s="86">
        <f t="shared" si="21"/>
        <v>45474</v>
      </c>
      <c r="N86" s="87">
        <v>39.47842</v>
      </c>
      <c r="O86" s="87">
        <v>51.927639999999997</v>
      </c>
      <c r="P86" s="87">
        <v>29.42127</v>
      </c>
      <c r="Q86" s="88">
        <v>36.860500000000002</v>
      </c>
      <c r="S86" s="109">
        <v>45.285137419354832</v>
      </c>
      <c r="T86" s="111">
        <f t="shared" si="25"/>
        <v>1.1466817361982027</v>
      </c>
      <c r="U86" s="111">
        <f t="shared" si="26"/>
        <v>0.81396462726081631</v>
      </c>
      <c r="AD86" s="209" t="str">
        <f t="shared" si="16"/>
        <v>Winter</v>
      </c>
      <c r="AE86">
        <f t="shared" si="17"/>
        <v>1</v>
      </c>
      <c r="AF86" s="207">
        <v>45292</v>
      </c>
      <c r="AG86" s="208">
        <v>416</v>
      </c>
      <c r="AH86" s="208">
        <v>328</v>
      </c>
      <c r="AI86">
        <f t="shared" si="18"/>
        <v>26</v>
      </c>
      <c r="AJ86">
        <f t="shared" si="19"/>
        <v>5</v>
      </c>
    </row>
    <row r="87" spans="2:36" x14ac:dyDescent="0.2">
      <c r="B87" s="90">
        <f t="shared" si="22"/>
        <v>45505</v>
      </c>
      <c r="C87" s="83">
        <v>2.9710775899169999</v>
      </c>
      <c r="D87" s="83">
        <v>2.9128486497204742</v>
      </c>
      <c r="E87" s="91">
        <f t="shared" si="20"/>
        <v>2024</v>
      </c>
      <c r="K87" s="17">
        <f t="shared" si="23"/>
        <v>8</v>
      </c>
      <c r="L87" s="112">
        <f t="shared" si="24"/>
        <v>2024</v>
      </c>
      <c r="M87" s="86">
        <f t="shared" si="21"/>
        <v>45505</v>
      </c>
      <c r="N87" s="87">
        <v>44.781930000000003</v>
      </c>
      <c r="O87" s="87">
        <v>52.476210000000002</v>
      </c>
      <c r="P87" s="87">
        <v>34.29898</v>
      </c>
      <c r="Q87" s="88">
        <v>39.284880000000001</v>
      </c>
      <c r="S87" s="109">
        <v>46.944361935483869</v>
      </c>
      <c r="T87" s="111">
        <f t="shared" si="25"/>
        <v>1.117838390734091</v>
      </c>
      <c r="U87" s="111">
        <f t="shared" si="26"/>
        <v>0.83683915129125885</v>
      </c>
      <c r="AD87" s="209" t="str">
        <f t="shared" si="16"/>
        <v>Winter</v>
      </c>
      <c r="AE87">
        <f t="shared" si="17"/>
        <v>2</v>
      </c>
      <c r="AF87" s="207">
        <v>45323</v>
      </c>
      <c r="AG87" s="208">
        <v>400</v>
      </c>
      <c r="AH87" s="208">
        <v>296</v>
      </c>
      <c r="AI87">
        <f t="shared" si="18"/>
        <v>25</v>
      </c>
      <c r="AJ87">
        <f t="shared" si="19"/>
        <v>4</v>
      </c>
    </row>
    <row r="88" spans="2:36" x14ac:dyDescent="0.2">
      <c r="B88" s="90">
        <f t="shared" si="22"/>
        <v>45536</v>
      </c>
      <c r="C88" s="83">
        <v>2.9721022850701919</v>
      </c>
      <c r="D88" s="83">
        <v>2.9272868961368284</v>
      </c>
      <c r="E88" s="91">
        <f t="shared" si="20"/>
        <v>2024</v>
      </c>
      <c r="K88" s="17">
        <f t="shared" si="23"/>
        <v>9</v>
      </c>
      <c r="L88" s="112">
        <f t="shared" si="24"/>
        <v>2024</v>
      </c>
      <c r="M88" s="86">
        <f t="shared" si="21"/>
        <v>45536</v>
      </c>
      <c r="N88" s="87">
        <v>43.531300000000002</v>
      </c>
      <c r="O88" s="87">
        <v>43.949820000000003</v>
      </c>
      <c r="P88" s="87">
        <v>38.167149999999999</v>
      </c>
      <c r="Q88" s="88">
        <v>36.481490000000001</v>
      </c>
      <c r="S88" s="109">
        <v>40.464599333333339</v>
      </c>
      <c r="T88" s="111">
        <f t="shared" si="25"/>
        <v>1.0861301167955877</v>
      </c>
      <c r="U88" s="111">
        <f t="shared" si="26"/>
        <v>0.90156558080504234</v>
      </c>
      <c r="AD88" s="209" t="str">
        <f t="shared" si="16"/>
        <v>Winter</v>
      </c>
      <c r="AE88">
        <f t="shared" si="17"/>
        <v>3</v>
      </c>
      <c r="AF88" s="207">
        <v>45352</v>
      </c>
      <c r="AG88" s="208">
        <v>416</v>
      </c>
      <c r="AH88" s="208">
        <v>328</v>
      </c>
      <c r="AI88">
        <f t="shared" si="18"/>
        <v>26</v>
      </c>
      <c r="AJ88">
        <f t="shared" si="19"/>
        <v>5</v>
      </c>
    </row>
    <row r="89" spans="2:36" x14ac:dyDescent="0.2">
      <c r="B89" s="90">
        <f t="shared" si="22"/>
        <v>45566</v>
      </c>
      <c r="C89" s="83">
        <v>2.9845010964238141</v>
      </c>
      <c r="D89" s="83">
        <v>3.0198463686988157</v>
      </c>
      <c r="E89" s="91">
        <f t="shared" si="20"/>
        <v>2024</v>
      </c>
      <c r="K89" s="17">
        <f t="shared" si="23"/>
        <v>10</v>
      </c>
      <c r="L89" s="112">
        <f t="shared" si="24"/>
        <v>2024</v>
      </c>
      <c r="M89" s="86">
        <f t="shared" si="21"/>
        <v>45566</v>
      </c>
      <c r="N89" s="87">
        <v>36.089089999999999</v>
      </c>
      <c r="O89" s="87">
        <v>37.285429999999998</v>
      </c>
      <c r="P89" s="87">
        <v>29.362839999999998</v>
      </c>
      <c r="Q89" s="88">
        <v>33.060809999999996</v>
      </c>
      <c r="S89" s="109">
        <v>35.513815161290317</v>
      </c>
      <c r="T89" s="111">
        <f t="shared" si="25"/>
        <v>1.0498852300341057</v>
      </c>
      <c r="U89" s="111">
        <f t="shared" si="26"/>
        <v>0.93092814302969984</v>
      </c>
      <c r="AD89" s="209" t="str">
        <f t="shared" si="16"/>
        <v>Winter</v>
      </c>
      <c r="AE89">
        <f t="shared" si="17"/>
        <v>4</v>
      </c>
      <c r="AF89" s="207">
        <v>45383</v>
      </c>
      <c r="AG89" s="208">
        <v>416</v>
      </c>
      <c r="AH89" s="208">
        <v>304</v>
      </c>
      <c r="AI89">
        <f t="shared" si="18"/>
        <v>26</v>
      </c>
      <c r="AJ89">
        <f t="shared" si="19"/>
        <v>4</v>
      </c>
    </row>
    <row r="90" spans="2:36" x14ac:dyDescent="0.2">
      <c r="B90" s="90">
        <f t="shared" si="22"/>
        <v>45597</v>
      </c>
      <c r="C90" s="83">
        <v>3.26926387949585</v>
      </c>
      <c r="D90" s="83">
        <v>3.2687514238836153</v>
      </c>
      <c r="E90" s="91">
        <f t="shared" si="20"/>
        <v>2024</v>
      </c>
      <c r="K90" s="17">
        <f t="shared" si="23"/>
        <v>11</v>
      </c>
      <c r="L90" s="112">
        <f t="shared" si="24"/>
        <v>2024</v>
      </c>
      <c r="M90" s="86">
        <f t="shared" si="21"/>
        <v>45597</v>
      </c>
      <c r="N90" s="87">
        <v>38.063780000000001</v>
      </c>
      <c r="O90" s="87">
        <v>37.348559999999999</v>
      </c>
      <c r="P90" s="87">
        <v>32.649590000000003</v>
      </c>
      <c r="Q90" s="88">
        <v>33.215699999999998</v>
      </c>
      <c r="S90" s="109">
        <v>35.508548821081831</v>
      </c>
      <c r="T90" s="111">
        <f t="shared" si="25"/>
        <v>1.0518188222275571</v>
      </c>
      <c r="U90" s="111">
        <f t="shared" si="26"/>
        <v>0.93542825890647097</v>
      </c>
      <c r="AD90" s="209" t="str">
        <f t="shared" si="16"/>
        <v>Winter</v>
      </c>
      <c r="AE90">
        <f t="shared" si="17"/>
        <v>5</v>
      </c>
      <c r="AF90" s="207">
        <v>45413</v>
      </c>
      <c r="AG90" s="208">
        <v>416</v>
      </c>
      <c r="AH90" s="208">
        <v>328</v>
      </c>
      <c r="AI90">
        <f t="shared" si="18"/>
        <v>26</v>
      </c>
      <c r="AJ90">
        <f t="shared" si="19"/>
        <v>5</v>
      </c>
    </row>
    <row r="91" spans="2:36" x14ac:dyDescent="0.2">
      <c r="B91" s="92">
        <f t="shared" si="22"/>
        <v>45627</v>
      </c>
      <c r="C91" s="93">
        <v>3.4215335792601702</v>
      </c>
      <c r="D91" s="93">
        <v>3.5403967171741724</v>
      </c>
      <c r="E91" s="94">
        <f t="shared" si="20"/>
        <v>2024</v>
      </c>
      <c r="K91" s="17">
        <f t="shared" si="23"/>
        <v>12</v>
      </c>
      <c r="L91" s="112">
        <f t="shared" si="24"/>
        <v>2024</v>
      </c>
      <c r="M91" s="95">
        <f t="shared" si="21"/>
        <v>45627</v>
      </c>
      <c r="N91" s="96">
        <v>39.288069999999998</v>
      </c>
      <c r="O91" s="96">
        <v>39.70252</v>
      </c>
      <c r="P91" s="96">
        <v>32.490130000000001</v>
      </c>
      <c r="Q91" s="97">
        <v>35.43732</v>
      </c>
      <c r="S91" s="109">
        <v>37.730438279569888</v>
      </c>
      <c r="T91" s="111">
        <f t="shared" si="25"/>
        <v>1.052267660020741</v>
      </c>
      <c r="U91" s="111">
        <f t="shared" si="26"/>
        <v>0.93922365113867345</v>
      </c>
      <c r="AD91" s="209" t="str">
        <f t="shared" si="16"/>
        <v>Summer</v>
      </c>
      <c r="AE91">
        <f t="shared" si="17"/>
        <v>6</v>
      </c>
      <c r="AF91" s="207">
        <v>45444</v>
      </c>
      <c r="AG91" s="208">
        <v>400</v>
      </c>
      <c r="AH91" s="208">
        <v>320</v>
      </c>
      <c r="AI91">
        <f t="shared" si="18"/>
        <v>25</v>
      </c>
      <c r="AJ91">
        <f t="shared" si="19"/>
        <v>5</v>
      </c>
    </row>
    <row r="92" spans="2:36" x14ac:dyDescent="0.2">
      <c r="B92" s="266">
        <f t="shared" si="22"/>
        <v>45658</v>
      </c>
      <c r="C92" s="83">
        <v>3.5517723332308639</v>
      </c>
      <c r="D92" s="83">
        <v>3.5626213036222047</v>
      </c>
      <c r="E92" s="265">
        <f t="shared" si="20"/>
        <v>2025</v>
      </c>
      <c r="K92" s="17">
        <f t="shared" si="23"/>
        <v>1</v>
      </c>
      <c r="L92" s="112">
        <f t="shared" si="24"/>
        <v>2025</v>
      </c>
      <c r="M92" s="86">
        <f t="shared" si="21"/>
        <v>45658</v>
      </c>
      <c r="N92" s="264">
        <v>38.102179999999997</v>
      </c>
      <c r="O92" s="264">
        <v>38.679430000000004</v>
      </c>
      <c r="P92" s="264">
        <v>32.25864</v>
      </c>
      <c r="Q92" s="263">
        <v>35.707380000000001</v>
      </c>
      <c r="S92" s="109">
        <v>37.369171397849463</v>
      </c>
      <c r="T92" s="111">
        <f t="shared" si="25"/>
        <v>1.0350625543232126</v>
      </c>
      <c r="U92" s="111">
        <f t="shared" si="26"/>
        <v>0.95553041890714507</v>
      </c>
      <c r="AD92" s="209" t="str">
        <f t="shared" si="16"/>
        <v>Summer</v>
      </c>
      <c r="AE92">
        <f t="shared" si="17"/>
        <v>7</v>
      </c>
      <c r="AF92" s="207">
        <v>45474</v>
      </c>
      <c r="AG92" s="208">
        <v>416</v>
      </c>
      <c r="AH92" s="208">
        <v>328</v>
      </c>
      <c r="AI92">
        <f t="shared" si="18"/>
        <v>26</v>
      </c>
      <c r="AJ92">
        <f t="shared" si="19"/>
        <v>5</v>
      </c>
    </row>
    <row r="93" spans="2:36" x14ac:dyDescent="0.2">
      <c r="B93" s="90">
        <f t="shared" si="22"/>
        <v>45689</v>
      </c>
      <c r="C93" s="83">
        <v>3.4826054103904092</v>
      </c>
      <c r="D93" s="83">
        <v>3.4616567090392674</v>
      </c>
      <c r="E93" s="91">
        <f t="shared" si="20"/>
        <v>2025</v>
      </c>
      <c r="K93" s="17">
        <f t="shared" si="23"/>
        <v>2</v>
      </c>
      <c r="L93" s="112">
        <f t="shared" si="24"/>
        <v>2025</v>
      </c>
      <c r="M93" s="86">
        <f t="shared" si="21"/>
        <v>45689</v>
      </c>
      <c r="N93" s="87">
        <v>38.377029999999998</v>
      </c>
      <c r="O93" s="87">
        <v>38.123489999999997</v>
      </c>
      <c r="P93" s="87">
        <v>33.662979999999997</v>
      </c>
      <c r="Q93" s="88">
        <v>35.3185</v>
      </c>
      <c r="S93" s="109">
        <v>36.921351428571427</v>
      </c>
      <c r="T93" s="111">
        <f t="shared" si="25"/>
        <v>1.0325594412153154</v>
      </c>
      <c r="U93" s="111">
        <f t="shared" si="26"/>
        <v>0.95658741171291295</v>
      </c>
      <c r="AD93" s="209" t="str">
        <f t="shared" si="16"/>
        <v>Summer</v>
      </c>
      <c r="AE93">
        <f t="shared" si="17"/>
        <v>8</v>
      </c>
      <c r="AF93" s="207">
        <v>45505</v>
      </c>
      <c r="AG93" s="208">
        <v>432</v>
      </c>
      <c r="AH93" s="208">
        <v>312</v>
      </c>
      <c r="AI93">
        <f t="shared" si="18"/>
        <v>27</v>
      </c>
      <c r="AJ93">
        <f t="shared" si="19"/>
        <v>4</v>
      </c>
    </row>
    <row r="94" spans="2:36" x14ac:dyDescent="0.2">
      <c r="B94" s="90">
        <f t="shared" si="22"/>
        <v>45717</v>
      </c>
      <c r="C94" s="83">
        <v>3.2922170509273494</v>
      </c>
      <c r="D94" s="83">
        <v>3.1999119275770673</v>
      </c>
      <c r="E94" s="91">
        <f t="shared" si="20"/>
        <v>2025</v>
      </c>
      <c r="K94" s="17">
        <f t="shared" si="23"/>
        <v>3</v>
      </c>
      <c r="L94" s="112">
        <f t="shared" si="24"/>
        <v>2025</v>
      </c>
      <c r="M94" s="86">
        <f t="shared" si="21"/>
        <v>45717</v>
      </c>
      <c r="N94" s="87">
        <v>32.925400000000003</v>
      </c>
      <c r="O94" s="87">
        <v>35.806429999999999</v>
      </c>
      <c r="P94" s="87">
        <v>29.081219999999998</v>
      </c>
      <c r="Q94" s="88">
        <v>34.047919999999998</v>
      </c>
      <c r="S94" s="109">
        <v>35.03249625841184</v>
      </c>
      <c r="T94" s="111">
        <f t="shared" si="25"/>
        <v>1.0220918810888997</v>
      </c>
      <c r="U94" s="111">
        <f t="shared" si="26"/>
        <v>0.9718953439358341</v>
      </c>
      <c r="AD94" s="209" t="str">
        <f t="shared" si="16"/>
        <v>Summer</v>
      </c>
      <c r="AE94">
        <f t="shared" si="17"/>
        <v>9</v>
      </c>
      <c r="AF94" s="207">
        <v>45536</v>
      </c>
      <c r="AG94" s="208">
        <v>384</v>
      </c>
      <c r="AH94" s="208">
        <v>336</v>
      </c>
      <c r="AI94">
        <f t="shared" si="18"/>
        <v>24</v>
      </c>
      <c r="AJ94">
        <f t="shared" si="19"/>
        <v>6</v>
      </c>
    </row>
    <row r="95" spans="2:36" x14ac:dyDescent="0.2">
      <c r="B95" s="90">
        <f t="shared" si="22"/>
        <v>45748</v>
      </c>
      <c r="C95" s="83">
        <v>2.9199453017727226</v>
      </c>
      <c r="D95" s="83">
        <v>2.7197371039017306</v>
      </c>
      <c r="E95" s="91">
        <f t="shared" si="20"/>
        <v>2025</v>
      </c>
      <c r="K95" s="17">
        <f t="shared" si="23"/>
        <v>4</v>
      </c>
      <c r="L95" s="112">
        <f t="shared" si="24"/>
        <v>2025</v>
      </c>
      <c r="M95" s="86">
        <f t="shared" si="21"/>
        <v>45748</v>
      </c>
      <c r="N95" s="87">
        <v>31.704650000000001</v>
      </c>
      <c r="O95" s="87">
        <v>35.892020000000002</v>
      </c>
      <c r="P95" s="87">
        <v>25.455729999999999</v>
      </c>
      <c r="Q95" s="88">
        <v>33.265360000000001</v>
      </c>
      <c r="S95" s="109">
        <v>34.782985777777775</v>
      </c>
      <c r="T95" s="111">
        <f t="shared" si="25"/>
        <v>1.0318843882266935</v>
      </c>
      <c r="U95" s="111">
        <f t="shared" si="26"/>
        <v>0.95636873190031435</v>
      </c>
      <c r="AD95" s="209" t="str">
        <f t="shared" si="16"/>
        <v>Winter</v>
      </c>
      <c r="AE95">
        <f t="shared" si="17"/>
        <v>10</v>
      </c>
      <c r="AF95" s="207">
        <v>45566</v>
      </c>
      <c r="AG95" s="208">
        <v>432</v>
      </c>
      <c r="AH95" s="208">
        <v>312</v>
      </c>
      <c r="AI95">
        <f t="shared" si="18"/>
        <v>27</v>
      </c>
      <c r="AJ95">
        <f t="shared" si="19"/>
        <v>4</v>
      </c>
    </row>
    <row r="96" spans="2:36" x14ac:dyDescent="0.2">
      <c r="B96" s="90">
        <f t="shared" si="22"/>
        <v>45778</v>
      </c>
      <c r="C96" s="83">
        <v>3.5029968439389285</v>
      </c>
      <c r="D96" s="83">
        <v>3.3797712257922274</v>
      </c>
      <c r="E96" s="91">
        <f t="shared" si="20"/>
        <v>2025</v>
      </c>
      <c r="K96" s="17">
        <f t="shared" si="23"/>
        <v>5</v>
      </c>
      <c r="L96" s="112">
        <f t="shared" si="24"/>
        <v>2025</v>
      </c>
      <c r="M96" s="86">
        <f t="shared" si="21"/>
        <v>45778</v>
      </c>
      <c r="N96" s="87">
        <v>25.20927</v>
      </c>
      <c r="O96" s="87">
        <v>39.284689999999998</v>
      </c>
      <c r="P96" s="87">
        <v>23.022410000000001</v>
      </c>
      <c r="Q96" s="88">
        <v>35.349200000000003</v>
      </c>
      <c r="S96" s="109">
        <v>37.549689032258065</v>
      </c>
      <c r="T96" s="111">
        <f t="shared" si="25"/>
        <v>1.0462054683396029</v>
      </c>
      <c r="U96" s="111">
        <f t="shared" si="26"/>
        <v>0.94139794259367438</v>
      </c>
      <c r="AD96" s="209" t="str">
        <f t="shared" si="16"/>
        <v>Winter</v>
      </c>
      <c r="AE96">
        <f t="shared" si="17"/>
        <v>11</v>
      </c>
      <c r="AF96" s="207">
        <v>45597</v>
      </c>
      <c r="AG96" s="208">
        <v>400</v>
      </c>
      <c r="AH96" s="208">
        <v>320</v>
      </c>
      <c r="AI96">
        <f t="shared" si="18"/>
        <v>25</v>
      </c>
      <c r="AJ96">
        <f t="shared" si="19"/>
        <v>5</v>
      </c>
    </row>
    <row r="97" spans="2:36" x14ac:dyDescent="0.2">
      <c r="B97" s="90">
        <f t="shared" si="22"/>
        <v>45809</v>
      </c>
      <c r="C97" s="83">
        <v>3.5269747105236195</v>
      </c>
      <c r="D97" s="83">
        <v>3.4264892659822892</v>
      </c>
      <c r="E97" s="91">
        <f t="shared" si="20"/>
        <v>2025</v>
      </c>
      <c r="K97" s="17">
        <f t="shared" si="23"/>
        <v>6</v>
      </c>
      <c r="L97" s="112">
        <f t="shared" si="24"/>
        <v>2025</v>
      </c>
      <c r="M97" s="86">
        <f t="shared" si="21"/>
        <v>45809</v>
      </c>
      <c r="N97" s="87">
        <v>28.973130000000001</v>
      </c>
      <c r="O97" s="87">
        <v>47.679819999999999</v>
      </c>
      <c r="P97" s="87">
        <v>24.169799999999999</v>
      </c>
      <c r="Q97" s="88">
        <v>37.354529999999997</v>
      </c>
      <c r="S97" s="109">
        <v>43.090802222222223</v>
      </c>
      <c r="T97" s="111">
        <f t="shared" si="25"/>
        <v>1.1064964572743829</v>
      </c>
      <c r="U97" s="111">
        <f t="shared" si="26"/>
        <v>0.86687942840702115</v>
      </c>
      <c r="AD97" s="209" t="str">
        <f t="shared" si="16"/>
        <v>Winter</v>
      </c>
      <c r="AE97">
        <f t="shared" si="17"/>
        <v>12</v>
      </c>
      <c r="AF97" s="207">
        <v>45627</v>
      </c>
      <c r="AG97" s="208">
        <v>400</v>
      </c>
      <c r="AH97" s="208">
        <v>344</v>
      </c>
      <c r="AI97">
        <f t="shared" si="18"/>
        <v>25</v>
      </c>
      <c r="AJ97">
        <f t="shared" si="19"/>
        <v>6</v>
      </c>
    </row>
    <row r="98" spans="2:36" x14ac:dyDescent="0.2">
      <c r="B98" s="90">
        <f t="shared" si="22"/>
        <v>45839</v>
      </c>
      <c r="C98" s="83">
        <v>3.6620295317143152</v>
      </c>
      <c r="D98" s="83">
        <v>3.593199446925412</v>
      </c>
      <c r="E98" s="91">
        <f t="shared" si="20"/>
        <v>2025</v>
      </c>
      <c r="K98" s="17">
        <f t="shared" si="23"/>
        <v>7</v>
      </c>
      <c r="L98" s="112">
        <f t="shared" si="24"/>
        <v>2025</v>
      </c>
      <c r="M98" s="86">
        <f t="shared" si="21"/>
        <v>45839</v>
      </c>
      <c r="N98" s="87">
        <v>45.131839999999997</v>
      </c>
      <c r="O98" s="87">
        <v>55.065280000000001</v>
      </c>
      <c r="P98" s="87">
        <v>35.987540000000003</v>
      </c>
      <c r="Q98" s="88">
        <v>41.921010000000003</v>
      </c>
      <c r="S98" s="109">
        <v>49.270494301075267</v>
      </c>
      <c r="T98" s="111">
        <f t="shared" si="25"/>
        <v>1.1176116818214725</v>
      </c>
      <c r="U98" s="111">
        <f t="shared" si="26"/>
        <v>0.85083396451910831</v>
      </c>
      <c r="AD98" s="209" t="str">
        <f t="shared" si="16"/>
        <v>Winter</v>
      </c>
      <c r="AE98">
        <f t="shared" si="17"/>
        <v>1</v>
      </c>
      <c r="AF98" s="207">
        <v>45658</v>
      </c>
      <c r="AG98" s="208">
        <v>416</v>
      </c>
      <c r="AH98" s="208">
        <v>328</v>
      </c>
      <c r="AI98">
        <f t="shared" si="18"/>
        <v>26</v>
      </c>
      <c r="AJ98">
        <f t="shared" si="19"/>
        <v>5</v>
      </c>
    </row>
    <row r="99" spans="2:36" x14ac:dyDescent="0.2">
      <c r="B99" s="90">
        <f t="shared" si="22"/>
        <v>45870</v>
      </c>
      <c r="C99" s="83">
        <v>3.7017877036581619</v>
      </c>
      <c r="D99" s="83">
        <v>3.6132067312452185</v>
      </c>
      <c r="E99" s="91">
        <f t="shared" si="20"/>
        <v>2025</v>
      </c>
      <c r="K99" s="17">
        <f t="shared" si="23"/>
        <v>8</v>
      </c>
      <c r="L99" s="112">
        <f t="shared" si="24"/>
        <v>2025</v>
      </c>
      <c r="M99" s="86">
        <f t="shared" si="21"/>
        <v>45870</v>
      </c>
      <c r="N99" s="87">
        <v>50.293869999999998</v>
      </c>
      <c r="O99" s="87">
        <v>56.992420000000003</v>
      </c>
      <c r="P99" s="87">
        <v>40.797969999999999</v>
      </c>
      <c r="Q99" s="88">
        <v>44.339759999999998</v>
      </c>
      <c r="S99" s="109">
        <v>51.414365591397846</v>
      </c>
      <c r="T99" s="111">
        <f t="shared" si="25"/>
        <v>1.1084921372546397</v>
      </c>
      <c r="U99" s="111">
        <f t="shared" si="26"/>
        <v>0.86240021616484741</v>
      </c>
      <c r="AD99" s="209" t="str">
        <f t="shared" si="16"/>
        <v>Winter</v>
      </c>
      <c r="AE99">
        <f t="shared" si="17"/>
        <v>2</v>
      </c>
      <c r="AF99" s="207">
        <v>45689</v>
      </c>
      <c r="AG99" s="208">
        <v>384</v>
      </c>
      <c r="AH99" s="208">
        <v>288</v>
      </c>
      <c r="AI99">
        <f t="shared" si="18"/>
        <v>24</v>
      </c>
      <c r="AJ99">
        <f t="shared" si="19"/>
        <v>4</v>
      </c>
    </row>
    <row r="100" spans="2:36" x14ac:dyDescent="0.2">
      <c r="B100" s="90">
        <f t="shared" si="22"/>
        <v>45901</v>
      </c>
      <c r="C100" s="83">
        <v>3.6992259657751823</v>
      </c>
      <c r="D100" s="83">
        <v>3.6265621091803464</v>
      </c>
      <c r="E100" s="91">
        <f t="shared" si="20"/>
        <v>2025</v>
      </c>
      <c r="K100" s="17">
        <f t="shared" si="23"/>
        <v>9</v>
      </c>
      <c r="L100" s="112">
        <f t="shared" si="24"/>
        <v>2025</v>
      </c>
      <c r="M100" s="86">
        <f t="shared" si="21"/>
        <v>45901</v>
      </c>
      <c r="N100" s="87">
        <v>49.607599999999998</v>
      </c>
      <c r="O100" s="87">
        <v>45.749650000000003</v>
      </c>
      <c r="P100" s="87">
        <v>43.589300000000001</v>
      </c>
      <c r="Q100" s="88">
        <v>39.272979999999997</v>
      </c>
      <c r="S100" s="109">
        <v>42.871130000000001</v>
      </c>
      <c r="T100" s="111">
        <f t="shared" si="25"/>
        <v>1.0671435532490046</v>
      </c>
      <c r="U100" s="111">
        <f t="shared" si="26"/>
        <v>0.91607055843874408</v>
      </c>
      <c r="AD100" s="209" t="str">
        <f t="shared" si="16"/>
        <v>Winter</v>
      </c>
      <c r="AE100">
        <f t="shared" si="17"/>
        <v>3</v>
      </c>
      <c r="AF100" s="207">
        <v>45717</v>
      </c>
      <c r="AG100" s="208">
        <v>416</v>
      </c>
      <c r="AH100" s="208">
        <v>328</v>
      </c>
      <c r="AI100">
        <f t="shared" si="18"/>
        <v>26</v>
      </c>
      <c r="AJ100">
        <f t="shared" si="19"/>
        <v>5</v>
      </c>
    </row>
    <row r="101" spans="2:36" x14ac:dyDescent="0.2">
      <c r="B101" s="90">
        <f t="shared" si="22"/>
        <v>45931</v>
      </c>
      <c r="C101" s="83">
        <v>3.6620295317143152</v>
      </c>
      <c r="D101" s="83">
        <v>3.6332140155650237</v>
      </c>
      <c r="E101" s="91">
        <f t="shared" si="20"/>
        <v>2025</v>
      </c>
      <c r="K101" s="17">
        <f t="shared" si="23"/>
        <v>10</v>
      </c>
      <c r="L101" s="112">
        <f t="shared" si="24"/>
        <v>2025</v>
      </c>
      <c r="M101" s="86">
        <f t="shared" si="21"/>
        <v>45931</v>
      </c>
      <c r="N101" s="87">
        <v>37.740679999999998</v>
      </c>
      <c r="O101" s="87">
        <v>39.135860000000001</v>
      </c>
      <c r="P101" s="87">
        <v>30.147089999999999</v>
      </c>
      <c r="Q101" s="88">
        <v>35.316630000000004</v>
      </c>
      <c r="S101" s="109">
        <v>37.534247419354834</v>
      </c>
      <c r="T101" s="111">
        <f t="shared" si="25"/>
        <v>1.0426706991817634</v>
      </c>
      <c r="U101" s="111">
        <f t="shared" si="26"/>
        <v>0.9409174934406358</v>
      </c>
      <c r="AD101" s="209" t="str">
        <f t="shared" si="16"/>
        <v>Winter</v>
      </c>
      <c r="AE101">
        <f t="shared" si="17"/>
        <v>4</v>
      </c>
      <c r="AF101" s="207">
        <v>45748</v>
      </c>
      <c r="AG101" s="208">
        <v>416</v>
      </c>
      <c r="AH101" s="208">
        <v>304</v>
      </c>
      <c r="AI101">
        <f t="shared" si="18"/>
        <v>26</v>
      </c>
      <c r="AJ101">
        <f t="shared" si="19"/>
        <v>4</v>
      </c>
    </row>
    <row r="102" spans="2:36" x14ac:dyDescent="0.2">
      <c r="B102" s="90">
        <f t="shared" si="22"/>
        <v>45962</v>
      </c>
      <c r="C102" s="83">
        <v>3.9831689927246643</v>
      </c>
      <c r="D102" s="83">
        <v>3.9866932269368487</v>
      </c>
      <c r="E102" s="91">
        <f t="shared" si="20"/>
        <v>2025</v>
      </c>
      <c r="K102" s="17">
        <f t="shared" si="23"/>
        <v>11</v>
      </c>
      <c r="L102" s="112">
        <f t="shared" si="24"/>
        <v>2025</v>
      </c>
      <c r="M102" s="86">
        <f t="shared" si="21"/>
        <v>45962</v>
      </c>
      <c r="N102" s="87">
        <v>40.720050000000001</v>
      </c>
      <c r="O102" s="87">
        <v>39.519629999999999</v>
      </c>
      <c r="P102" s="87">
        <v>33.815010000000001</v>
      </c>
      <c r="Q102" s="88">
        <v>36.293900000000001</v>
      </c>
      <c r="S102" s="109">
        <v>38.011903217753122</v>
      </c>
      <c r="T102" s="111">
        <f t="shared" si="25"/>
        <v>1.039664595945375</v>
      </c>
      <c r="U102" s="111">
        <f t="shared" si="26"/>
        <v>0.95480354645986931</v>
      </c>
      <c r="AD102" s="209" t="str">
        <f t="shared" si="16"/>
        <v>Winter</v>
      </c>
      <c r="AE102">
        <f t="shared" si="17"/>
        <v>5</v>
      </c>
      <c r="AF102" s="207">
        <v>45778</v>
      </c>
      <c r="AG102" s="208">
        <v>416</v>
      </c>
      <c r="AH102" s="208">
        <v>328</v>
      </c>
      <c r="AI102">
        <f t="shared" si="18"/>
        <v>26</v>
      </c>
      <c r="AJ102">
        <f t="shared" si="19"/>
        <v>5</v>
      </c>
    </row>
    <row r="103" spans="2:36" x14ac:dyDescent="0.2">
      <c r="B103" s="92">
        <f t="shared" si="22"/>
        <v>45992</v>
      </c>
      <c r="C103" s="93">
        <v>4.1211954298596174</v>
      </c>
      <c r="D103" s="93">
        <v>4.2734471137988059</v>
      </c>
      <c r="E103" s="94">
        <f t="shared" si="20"/>
        <v>2025</v>
      </c>
      <c r="K103" s="17">
        <f t="shared" si="23"/>
        <v>12</v>
      </c>
      <c r="L103" s="112">
        <f t="shared" si="24"/>
        <v>2025</v>
      </c>
      <c r="M103" s="95">
        <f t="shared" si="21"/>
        <v>45992</v>
      </c>
      <c r="N103" s="96">
        <v>41.471150000000002</v>
      </c>
      <c r="O103" s="96">
        <v>42.167549999999999</v>
      </c>
      <c r="P103" s="96">
        <v>33.081020000000002</v>
      </c>
      <c r="Q103" s="97">
        <v>38.067140000000002</v>
      </c>
      <c r="S103" s="109">
        <v>40.359842365591398</v>
      </c>
      <c r="T103" s="111">
        <f t="shared" si="25"/>
        <v>1.0447897595345852</v>
      </c>
      <c r="U103" s="111">
        <f t="shared" si="26"/>
        <v>0.94319347571223344</v>
      </c>
      <c r="AD103" s="209" t="str">
        <f t="shared" si="16"/>
        <v>Summer</v>
      </c>
      <c r="AE103">
        <f t="shared" si="17"/>
        <v>6</v>
      </c>
      <c r="AF103" s="207">
        <v>45809</v>
      </c>
      <c r="AG103" s="208">
        <v>400</v>
      </c>
      <c r="AH103" s="208">
        <v>320</v>
      </c>
      <c r="AI103">
        <f t="shared" si="18"/>
        <v>25</v>
      </c>
      <c r="AJ103">
        <f t="shared" si="19"/>
        <v>5</v>
      </c>
    </row>
    <row r="104" spans="2:36" x14ac:dyDescent="0.2">
      <c r="B104" s="266">
        <f t="shared" si="22"/>
        <v>46023</v>
      </c>
      <c r="C104" s="83">
        <v>4.2878108617686239</v>
      </c>
      <c r="D104" s="83">
        <v>4.3027876931234692</v>
      </c>
      <c r="E104" s="265">
        <f t="shared" si="20"/>
        <v>2026</v>
      </c>
      <c r="K104" s="17">
        <f t="shared" si="23"/>
        <v>1</v>
      </c>
      <c r="L104" s="112">
        <f t="shared" si="24"/>
        <v>2026</v>
      </c>
      <c r="M104" s="86">
        <f t="shared" si="21"/>
        <v>46023</v>
      </c>
      <c r="N104" s="264">
        <v>40.479349999999997</v>
      </c>
      <c r="O104" s="264">
        <v>41.068860000000001</v>
      </c>
      <c r="P104" s="264">
        <v>33.107280000000003</v>
      </c>
      <c r="Q104" s="263">
        <v>37.614759999999997</v>
      </c>
      <c r="S104" s="109">
        <v>39.546084731182795</v>
      </c>
      <c r="T104" s="111">
        <f t="shared" si="25"/>
        <v>1.038506347193872</v>
      </c>
      <c r="U104" s="111">
        <f t="shared" si="26"/>
        <v>0.95116268160777206</v>
      </c>
      <c r="AD104" s="209" t="str">
        <f t="shared" si="16"/>
        <v>Summer</v>
      </c>
      <c r="AE104">
        <f t="shared" si="17"/>
        <v>7</v>
      </c>
      <c r="AF104" s="207">
        <v>45839</v>
      </c>
      <c r="AG104" s="208">
        <v>416</v>
      </c>
      <c r="AH104" s="208">
        <v>328</v>
      </c>
      <c r="AI104">
        <f t="shared" si="18"/>
        <v>26</v>
      </c>
      <c r="AJ104">
        <f t="shared" si="19"/>
        <v>5</v>
      </c>
    </row>
    <row r="105" spans="2:36" x14ac:dyDescent="0.2">
      <c r="B105" s="90">
        <f t="shared" si="22"/>
        <v>46054</v>
      </c>
      <c r="C105" s="83">
        <v>4.142304150015371</v>
      </c>
      <c r="D105" s="83">
        <v>4.1799594682529104</v>
      </c>
      <c r="E105" s="91">
        <f t="shared" si="20"/>
        <v>2026</v>
      </c>
      <c r="K105" s="17">
        <f t="shared" si="23"/>
        <v>2</v>
      </c>
      <c r="L105" s="112">
        <f t="shared" si="24"/>
        <v>2026</v>
      </c>
      <c r="M105" s="86">
        <f t="shared" si="21"/>
        <v>46054</v>
      </c>
      <c r="N105" s="87">
        <v>41.794060000000002</v>
      </c>
      <c r="O105" s="87">
        <v>40.501980000000003</v>
      </c>
      <c r="P105" s="87">
        <v>36.560949999999998</v>
      </c>
      <c r="Q105" s="88">
        <v>37.587000000000003</v>
      </c>
      <c r="S105" s="109">
        <v>39.252702857142857</v>
      </c>
      <c r="T105" s="111">
        <f t="shared" si="25"/>
        <v>1.0318265253581083</v>
      </c>
      <c r="U105" s="111">
        <f t="shared" si="26"/>
        <v>0.9575646328558558</v>
      </c>
      <c r="AD105" s="209" t="str">
        <f t="shared" si="16"/>
        <v>Summer</v>
      </c>
      <c r="AE105">
        <f t="shared" si="17"/>
        <v>8</v>
      </c>
      <c r="AF105" s="207">
        <v>45870</v>
      </c>
      <c r="AG105" s="208">
        <v>416</v>
      </c>
      <c r="AH105" s="208">
        <v>328</v>
      </c>
      <c r="AI105">
        <f t="shared" si="18"/>
        <v>26</v>
      </c>
      <c r="AJ105">
        <f t="shared" si="19"/>
        <v>5</v>
      </c>
    </row>
    <row r="106" spans="2:36" x14ac:dyDescent="0.2">
      <c r="B106" s="90">
        <f t="shared" si="22"/>
        <v>46082</v>
      </c>
      <c r="C106" s="83">
        <v>3.8410437749769444</v>
      </c>
      <c r="D106" s="83">
        <v>3.7228858388437405</v>
      </c>
      <c r="E106" s="91">
        <f t="shared" si="20"/>
        <v>2026</v>
      </c>
      <c r="K106" s="17">
        <f t="shared" si="23"/>
        <v>3</v>
      </c>
      <c r="L106" s="112">
        <f t="shared" si="24"/>
        <v>2026</v>
      </c>
      <c r="M106" s="86">
        <f t="shared" si="21"/>
        <v>46082</v>
      </c>
      <c r="N106" s="87">
        <v>33.185789999999997</v>
      </c>
      <c r="O106" s="87">
        <v>38.047870000000003</v>
      </c>
      <c r="P106" s="87">
        <v>28.687439999999999</v>
      </c>
      <c r="Q106" s="88">
        <v>36.545830000000002</v>
      </c>
      <c r="S106" s="109">
        <v>37.386810672947512</v>
      </c>
      <c r="T106" s="111">
        <f t="shared" si="25"/>
        <v>1.0176816186016857</v>
      </c>
      <c r="U106" s="111">
        <f t="shared" si="26"/>
        <v>0.97750595309388</v>
      </c>
      <c r="AD106" s="209" t="str">
        <f t="shared" si="16"/>
        <v>Summer</v>
      </c>
      <c r="AE106">
        <f t="shared" si="17"/>
        <v>9</v>
      </c>
      <c r="AF106" s="207">
        <v>45901</v>
      </c>
      <c r="AG106" s="208">
        <v>400</v>
      </c>
      <c r="AH106" s="208">
        <v>320</v>
      </c>
      <c r="AI106">
        <f t="shared" si="18"/>
        <v>25</v>
      </c>
      <c r="AJ106">
        <f t="shared" si="19"/>
        <v>5</v>
      </c>
    </row>
    <row r="107" spans="2:36" x14ac:dyDescent="0.2">
      <c r="B107" s="90">
        <f t="shared" si="22"/>
        <v>46113</v>
      </c>
      <c r="C107" s="83">
        <v>3.5627365713700176</v>
      </c>
      <c r="D107" s="83">
        <v>3.3271747567040784</v>
      </c>
      <c r="E107" s="91">
        <f t="shared" si="20"/>
        <v>2026</v>
      </c>
      <c r="K107" s="17">
        <f t="shared" si="23"/>
        <v>4</v>
      </c>
      <c r="L107" s="112">
        <f t="shared" si="24"/>
        <v>2026</v>
      </c>
      <c r="M107" s="86">
        <f t="shared" si="21"/>
        <v>46113</v>
      </c>
      <c r="N107" s="87">
        <v>34.409300000000002</v>
      </c>
      <c r="O107" s="87">
        <v>38.18403</v>
      </c>
      <c r="P107" s="87">
        <v>30.388960000000001</v>
      </c>
      <c r="Q107" s="88">
        <v>35.565730000000002</v>
      </c>
      <c r="S107" s="109">
        <v>37.078525555555558</v>
      </c>
      <c r="T107" s="111">
        <f t="shared" si="25"/>
        <v>1.0298152212872662</v>
      </c>
      <c r="U107" s="111">
        <f t="shared" si="26"/>
        <v>0.9592002235016357</v>
      </c>
      <c r="AD107" s="209" t="str">
        <f t="shared" si="16"/>
        <v>Winter</v>
      </c>
      <c r="AE107">
        <f t="shared" si="17"/>
        <v>10</v>
      </c>
      <c r="AF107" s="207">
        <v>45931</v>
      </c>
      <c r="AG107" s="208">
        <v>432</v>
      </c>
      <c r="AH107" s="208">
        <v>312</v>
      </c>
      <c r="AI107">
        <f t="shared" si="18"/>
        <v>27</v>
      </c>
      <c r="AJ107">
        <f t="shared" si="19"/>
        <v>4</v>
      </c>
    </row>
    <row r="108" spans="2:36" x14ac:dyDescent="0.2">
      <c r="B108" s="90">
        <f t="shared" si="22"/>
        <v>46143</v>
      </c>
      <c r="C108" s="83">
        <v>3.5295364484065992</v>
      </c>
      <c r="D108" s="83">
        <v>3.374924100209594</v>
      </c>
      <c r="E108" s="91">
        <f t="shared" si="20"/>
        <v>2026</v>
      </c>
      <c r="K108" s="17">
        <f t="shared" si="23"/>
        <v>5</v>
      </c>
      <c r="L108" s="112">
        <f t="shared" si="24"/>
        <v>2026</v>
      </c>
      <c r="M108" s="86">
        <f t="shared" si="21"/>
        <v>46143</v>
      </c>
      <c r="N108" s="87">
        <v>25.388349999999999</v>
      </c>
      <c r="O108" s="87">
        <v>38.570790000000002</v>
      </c>
      <c r="P108" s="87">
        <v>23.681799999999999</v>
      </c>
      <c r="Q108" s="88">
        <v>35.061799999999998</v>
      </c>
      <c r="S108" s="109">
        <v>36.948353763440856</v>
      </c>
      <c r="T108" s="111">
        <f t="shared" si="25"/>
        <v>1.0439109208206319</v>
      </c>
      <c r="U108" s="111">
        <f t="shared" si="26"/>
        <v>0.94894078974345164</v>
      </c>
      <c r="AD108" s="209" t="str">
        <f t="shared" si="16"/>
        <v>Winter</v>
      </c>
      <c r="AE108">
        <f t="shared" si="17"/>
        <v>11</v>
      </c>
      <c r="AF108" s="207">
        <v>45962</v>
      </c>
      <c r="AG108" s="208">
        <v>384</v>
      </c>
      <c r="AH108" s="208">
        <v>336</v>
      </c>
      <c r="AI108">
        <f t="shared" si="18"/>
        <v>24</v>
      </c>
      <c r="AJ108">
        <f t="shared" si="19"/>
        <v>6</v>
      </c>
    </row>
    <row r="109" spans="2:36" x14ac:dyDescent="0.2">
      <c r="B109" s="90">
        <f t="shared" si="22"/>
        <v>46174</v>
      </c>
      <c r="C109" s="83">
        <v>3.5541291320832054</v>
      </c>
      <c r="D109" s="83">
        <v>3.4431448145268697</v>
      </c>
      <c r="E109" s="91">
        <f t="shared" si="20"/>
        <v>2026</v>
      </c>
      <c r="K109" s="17">
        <f t="shared" si="23"/>
        <v>6</v>
      </c>
      <c r="L109" s="112">
        <f t="shared" si="24"/>
        <v>2026</v>
      </c>
      <c r="M109" s="86">
        <f t="shared" si="21"/>
        <v>46174</v>
      </c>
      <c r="N109" s="87">
        <v>30.078410000000002</v>
      </c>
      <c r="O109" s="87">
        <v>49.491889999999998</v>
      </c>
      <c r="P109" s="87">
        <v>24.438120000000001</v>
      </c>
      <c r="Q109" s="88">
        <v>38.574570000000001</v>
      </c>
      <c r="S109" s="109">
        <v>44.882354888888884</v>
      </c>
      <c r="T109" s="111">
        <f t="shared" si="25"/>
        <v>1.1027026126976296</v>
      </c>
      <c r="U109" s="111">
        <f t="shared" si="26"/>
        <v>0.85945958262429667</v>
      </c>
      <c r="AD109" s="209" t="str">
        <f t="shared" si="16"/>
        <v>Winter</v>
      </c>
      <c r="AE109">
        <f t="shared" si="17"/>
        <v>12</v>
      </c>
      <c r="AF109" s="207">
        <v>45992</v>
      </c>
      <c r="AG109" s="208">
        <v>416</v>
      </c>
      <c r="AH109" s="208">
        <v>328</v>
      </c>
      <c r="AI109">
        <f t="shared" si="18"/>
        <v>26</v>
      </c>
      <c r="AJ109">
        <f t="shared" si="19"/>
        <v>5</v>
      </c>
    </row>
    <row r="110" spans="2:36" x14ac:dyDescent="0.2">
      <c r="B110" s="90">
        <f t="shared" si="22"/>
        <v>46204</v>
      </c>
      <c r="C110" s="83">
        <v>3.7329384363151967</v>
      </c>
      <c r="D110" s="83">
        <v>3.6750849301724529</v>
      </c>
      <c r="E110" s="91">
        <f t="shared" si="20"/>
        <v>2026</v>
      </c>
      <c r="K110" s="17">
        <f t="shared" si="23"/>
        <v>7</v>
      </c>
      <c r="L110" s="112">
        <f t="shared" si="24"/>
        <v>2026</v>
      </c>
      <c r="M110" s="86">
        <f t="shared" si="21"/>
        <v>46204</v>
      </c>
      <c r="N110" s="87">
        <v>47.13353</v>
      </c>
      <c r="O110" s="87">
        <v>57.125660000000003</v>
      </c>
      <c r="P110" s="87">
        <v>37.979649999999999</v>
      </c>
      <c r="Q110" s="88">
        <v>43.654780000000002</v>
      </c>
      <c r="S110" s="109">
        <v>51.18688494623656</v>
      </c>
      <c r="T110" s="111">
        <f t="shared" si="25"/>
        <v>1.1160214195491902</v>
      </c>
      <c r="U110" s="111">
        <f t="shared" si="26"/>
        <v>0.85285088252297825</v>
      </c>
      <c r="AD110" s="209" t="str">
        <f t="shared" si="16"/>
        <v>Winter</v>
      </c>
      <c r="AE110">
        <f t="shared" si="17"/>
        <v>1</v>
      </c>
      <c r="AF110" s="207">
        <v>46023</v>
      </c>
      <c r="AG110" s="208">
        <v>416</v>
      </c>
      <c r="AH110" s="208">
        <v>328</v>
      </c>
      <c r="AI110">
        <f t="shared" si="18"/>
        <v>26</v>
      </c>
      <c r="AJ110">
        <f t="shared" si="19"/>
        <v>5</v>
      </c>
    </row>
    <row r="111" spans="2:36" x14ac:dyDescent="0.2">
      <c r="B111" s="90">
        <f t="shared" si="22"/>
        <v>46235</v>
      </c>
      <c r="C111" s="83">
        <v>3.7464644123373296</v>
      </c>
      <c r="D111" s="83">
        <v>3.668278328290457</v>
      </c>
      <c r="E111" s="91">
        <f t="shared" si="20"/>
        <v>2026</v>
      </c>
      <c r="K111" s="17">
        <f t="shared" si="23"/>
        <v>8</v>
      </c>
      <c r="L111" s="112">
        <f t="shared" si="24"/>
        <v>2026</v>
      </c>
      <c r="M111" s="86">
        <f t="shared" si="21"/>
        <v>46235</v>
      </c>
      <c r="N111" s="87">
        <v>50.847430000000003</v>
      </c>
      <c r="O111" s="87">
        <v>57.269120000000001</v>
      </c>
      <c r="P111" s="87">
        <v>41.469859999999997</v>
      </c>
      <c r="Q111" s="88">
        <v>45.185099999999998</v>
      </c>
      <c r="S111" s="109">
        <v>51.941756344086016</v>
      </c>
      <c r="T111" s="111">
        <f t="shared" si="25"/>
        <v>1.1025641801679382</v>
      </c>
      <c r="U111" s="111">
        <f t="shared" si="26"/>
        <v>0.86991860076261518</v>
      </c>
      <c r="AD111" s="209" t="str">
        <f t="shared" si="16"/>
        <v>Winter</v>
      </c>
      <c r="AE111">
        <f t="shared" si="17"/>
        <v>2</v>
      </c>
      <c r="AF111" s="207">
        <v>46054</v>
      </c>
      <c r="AG111" s="208">
        <v>384</v>
      </c>
      <c r="AH111" s="208">
        <v>288</v>
      </c>
      <c r="AI111">
        <f t="shared" si="18"/>
        <v>24</v>
      </c>
      <c r="AJ111">
        <f t="shared" si="19"/>
        <v>4</v>
      </c>
    </row>
    <row r="112" spans="2:36" x14ac:dyDescent="0.2">
      <c r="B112" s="90">
        <f t="shared" si="22"/>
        <v>46266</v>
      </c>
      <c r="C112" s="83">
        <v>3.74390267445435</v>
      </c>
      <c r="D112" s="83">
        <v>3.6546651245264647</v>
      </c>
      <c r="E112" s="91">
        <f t="shared" si="20"/>
        <v>2026</v>
      </c>
      <c r="K112" s="17">
        <f t="shared" si="23"/>
        <v>9</v>
      </c>
      <c r="L112" s="112">
        <f t="shared" si="24"/>
        <v>2026</v>
      </c>
      <c r="M112" s="86">
        <f t="shared" si="21"/>
        <v>46266</v>
      </c>
      <c r="N112" s="87">
        <v>50.769959999999998</v>
      </c>
      <c r="O112" s="87">
        <v>45.732340000000001</v>
      </c>
      <c r="P112" s="87">
        <v>43.86347</v>
      </c>
      <c r="Q112" s="88">
        <v>39.767389999999999</v>
      </c>
      <c r="S112" s="109">
        <v>43.081251111111115</v>
      </c>
      <c r="T112" s="111">
        <f t="shared" si="25"/>
        <v>1.0615369521663018</v>
      </c>
      <c r="U112" s="111">
        <f t="shared" si="26"/>
        <v>0.92307880979212242</v>
      </c>
      <c r="AD112" s="209" t="str">
        <f t="shared" si="16"/>
        <v>Winter</v>
      </c>
      <c r="AE112">
        <f t="shared" si="17"/>
        <v>3</v>
      </c>
      <c r="AF112" s="207">
        <v>46082</v>
      </c>
      <c r="AG112" s="208">
        <v>416</v>
      </c>
      <c r="AH112" s="208">
        <v>328</v>
      </c>
      <c r="AI112">
        <f t="shared" si="18"/>
        <v>26</v>
      </c>
      <c r="AJ112">
        <f t="shared" si="19"/>
        <v>5</v>
      </c>
    </row>
    <row r="113" spans="2:36" x14ac:dyDescent="0.2">
      <c r="B113" s="90">
        <f t="shared" si="22"/>
        <v>46296</v>
      </c>
      <c r="C113" s="83">
        <v>3.7057840147556105</v>
      </c>
      <c r="D113" s="83">
        <v>3.6819430972202207</v>
      </c>
      <c r="E113" s="91">
        <f t="shared" si="20"/>
        <v>2026</v>
      </c>
      <c r="K113" s="17">
        <f t="shared" si="23"/>
        <v>10</v>
      </c>
      <c r="L113" s="112">
        <f t="shared" si="24"/>
        <v>2026</v>
      </c>
      <c r="M113" s="86">
        <f t="shared" si="21"/>
        <v>46296</v>
      </c>
      <c r="N113" s="87">
        <v>38.395220000000002</v>
      </c>
      <c r="O113" s="87">
        <v>39.727989999999998</v>
      </c>
      <c r="P113" s="87">
        <v>31.488109999999999</v>
      </c>
      <c r="Q113" s="88">
        <v>35.604329999999997</v>
      </c>
      <c r="S113" s="109">
        <v>37.998713225806448</v>
      </c>
      <c r="T113" s="111">
        <f t="shared" si="25"/>
        <v>1.0455088245730155</v>
      </c>
      <c r="U113" s="111">
        <f t="shared" si="26"/>
        <v>0.93698778136044014</v>
      </c>
      <c r="AD113" s="209" t="str">
        <f t="shared" si="16"/>
        <v>Winter</v>
      </c>
      <c r="AE113">
        <f t="shared" si="17"/>
        <v>4</v>
      </c>
      <c r="AF113" s="207">
        <v>46113</v>
      </c>
      <c r="AG113" s="208">
        <v>416</v>
      </c>
      <c r="AH113" s="208">
        <v>304</v>
      </c>
      <c r="AI113">
        <f t="shared" si="18"/>
        <v>26</v>
      </c>
      <c r="AJ113">
        <f t="shared" si="19"/>
        <v>4</v>
      </c>
    </row>
    <row r="114" spans="2:36" x14ac:dyDescent="0.2">
      <c r="B114" s="90">
        <f t="shared" si="22"/>
        <v>46327</v>
      </c>
      <c r="C114" s="83">
        <v>4.0616606414591656</v>
      </c>
      <c r="D114" s="83">
        <v>4.0844607812418792</v>
      </c>
      <c r="E114" s="91">
        <f t="shared" si="20"/>
        <v>2026</v>
      </c>
      <c r="K114" s="17">
        <f t="shared" si="23"/>
        <v>11</v>
      </c>
      <c r="L114" s="112">
        <f t="shared" si="24"/>
        <v>2026</v>
      </c>
      <c r="M114" s="86">
        <f t="shared" si="21"/>
        <v>46327</v>
      </c>
      <c r="N114" s="87">
        <v>43.22269</v>
      </c>
      <c r="O114" s="87">
        <v>42.008719999999997</v>
      </c>
      <c r="P114" s="87">
        <v>36.403419999999997</v>
      </c>
      <c r="Q114" s="88">
        <v>37.792389999999997</v>
      </c>
      <c r="S114" s="109">
        <v>40.037980457697643</v>
      </c>
      <c r="T114" s="111">
        <f t="shared" si="25"/>
        <v>1.049221751940874</v>
      </c>
      <c r="U114" s="111">
        <f t="shared" si="26"/>
        <v>0.9439134933374016</v>
      </c>
      <c r="AD114" s="209" t="str">
        <f t="shared" si="16"/>
        <v>Winter</v>
      </c>
      <c r="AE114">
        <f t="shared" si="17"/>
        <v>5</v>
      </c>
      <c r="AF114" s="207">
        <v>46143</v>
      </c>
      <c r="AG114" s="208">
        <v>400</v>
      </c>
      <c r="AH114" s="208">
        <v>344</v>
      </c>
      <c r="AI114">
        <f t="shared" si="18"/>
        <v>25</v>
      </c>
      <c r="AJ114">
        <f t="shared" si="19"/>
        <v>6</v>
      </c>
    </row>
    <row r="115" spans="2:36" x14ac:dyDescent="0.2">
      <c r="B115" s="92">
        <f t="shared" si="22"/>
        <v>46357</v>
      </c>
      <c r="C115" s="93">
        <v>4.2437489701813709</v>
      </c>
      <c r="D115" s="93">
        <v>4.4528938906877862</v>
      </c>
      <c r="E115" s="94">
        <f t="shared" si="20"/>
        <v>2026</v>
      </c>
      <c r="K115" s="17">
        <f t="shared" si="23"/>
        <v>12</v>
      </c>
      <c r="L115" s="112">
        <f t="shared" si="24"/>
        <v>2026</v>
      </c>
      <c r="M115" s="95">
        <f t="shared" si="21"/>
        <v>46357</v>
      </c>
      <c r="N115" s="96">
        <v>43.026350000000001</v>
      </c>
      <c r="O115" s="96">
        <v>42.80254</v>
      </c>
      <c r="P115" s="96">
        <v>35.37997</v>
      </c>
      <c r="Q115" s="97">
        <v>39.365220000000001</v>
      </c>
      <c r="S115" s="109">
        <v>41.287162365591406</v>
      </c>
      <c r="T115" s="111">
        <f t="shared" si="25"/>
        <v>1.0367033612286105</v>
      </c>
      <c r="U115" s="111">
        <f t="shared" si="26"/>
        <v>0.95344939551493257</v>
      </c>
      <c r="AD115" s="209" t="str">
        <f t="shared" si="16"/>
        <v>Summer</v>
      </c>
      <c r="AE115">
        <f t="shared" si="17"/>
        <v>6</v>
      </c>
      <c r="AF115" s="207">
        <v>46174</v>
      </c>
      <c r="AG115" s="208">
        <v>416</v>
      </c>
      <c r="AH115" s="208">
        <v>304</v>
      </c>
      <c r="AI115">
        <f t="shared" si="18"/>
        <v>26</v>
      </c>
      <c r="AJ115">
        <f t="shared" si="19"/>
        <v>4</v>
      </c>
    </row>
    <row r="116" spans="2:36" x14ac:dyDescent="0.2">
      <c r="B116" s="266">
        <f t="shared" si="22"/>
        <v>46388</v>
      </c>
      <c r="C116" s="83">
        <v>4.3808531816784502</v>
      </c>
      <c r="D116" s="83">
        <v>4.4455200719822887</v>
      </c>
      <c r="E116" s="265">
        <f t="shared" si="20"/>
        <v>2027</v>
      </c>
      <c r="K116" s="17">
        <f t="shared" si="23"/>
        <v>1</v>
      </c>
      <c r="L116" s="112">
        <f t="shared" si="24"/>
        <v>2027</v>
      </c>
      <c r="M116" s="86">
        <f t="shared" si="21"/>
        <v>46388</v>
      </c>
      <c r="N116" s="264">
        <v>41.668799999999997</v>
      </c>
      <c r="O116" s="264">
        <v>42.390329999999999</v>
      </c>
      <c r="P116" s="264">
        <v>34.754829999999998</v>
      </c>
      <c r="Q116" s="263">
        <v>38.811720000000001</v>
      </c>
      <c r="S116" s="109">
        <v>40.73570387096774</v>
      </c>
      <c r="T116" s="111">
        <f t="shared" si="25"/>
        <v>1.0406185722056838</v>
      </c>
      <c r="U116" s="111">
        <f t="shared" si="26"/>
        <v>0.95276910208641419</v>
      </c>
      <c r="AD116" s="209" t="str">
        <f t="shared" si="16"/>
        <v>Summer</v>
      </c>
      <c r="AE116">
        <f t="shared" si="17"/>
        <v>7</v>
      </c>
      <c r="AF116" s="207">
        <v>46204</v>
      </c>
      <c r="AG116" s="208">
        <v>416</v>
      </c>
      <c r="AH116" s="208">
        <v>328</v>
      </c>
      <c r="AI116">
        <f t="shared" si="18"/>
        <v>26</v>
      </c>
      <c r="AJ116">
        <f t="shared" si="19"/>
        <v>5</v>
      </c>
    </row>
    <row r="117" spans="2:36" x14ac:dyDescent="0.2">
      <c r="B117" s="90">
        <f t="shared" si="22"/>
        <v>46419</v>
      </c>
      <c r="C117" s="83">
        <v>4.2206933292345523</v>
      </c>
      <c r="D117" s="83">
        <v>4.2991781315193798</v>
      </c>
      <c r="E117" s="91">
        <f t="shared" si="20"/>
        <v>2027</v>
      </c>
      <c r="K117" s="17">
        <f t="shared" si="23"/>
        <v>2</v>
      </c>
      <c r="L117" s="112">
        <f t="shared" si="24"/>
        <v>2027</v>
      </c>
      <c r="M117" s="86">
        <f t="shared" si="21"/>
        <v>46419</v>
      </c>
      <c r="N117" s="87">
        <v>42.714689999999997</v>
      </c>
      <c r="O117" s="87">
        <v>41.670020000000001</v>
      </c>
      <c r="P117" s="87">
        <v>37.474159999999998</v>
      </c>
      <c r="Q117" s="88">
        <v>38.482019999999999</v>
      </c>
      <c r="S117" s="109">
        <v>40.303734285714285</v>
      </c>
      <c r="T117" s="111">
        <f t="shared" si="25"/>
        <v>1.0338997300994512</v>
      </c>
      <c r="U117" s="111">
        <f t="shared" si="26"/>
        <v>0.95480035986739831</v>
      </c>
      <c r="AD117" s="209" t="str">
        <f t="shared" si="16"/>
        <v>Summer</v>
      </c>
      <c r="AE117">
        <f t="shared" si="17"/>
        <v>8</v>
      </c>
      <c r="AF117" s="207">
        <v>46235</v>
      </c>
      <c r="AG117" s="208">
        <v>416</v>
      </c>
      <c r="AH117" s="208">
        <v>328</v>
      </c>
      <c r="AI117">
        <f t="shared" si="18"/>
        <v>26</v>
      </c>
      <c r="AJ117">
        <f t="shared" si="19"/>
        <v>5</v>
      </c>
    </row>
    <row r="118" spans="2:36" x14ac:dyDescent="0.2">
      <c r="B118" s="90">
        <f t="shared" si="22"/>
        <v>46447</v>
      </c>
      <c r="C118" s="83">
        <v>3.9381848754995392</v>
      </c>
      <c r="D118" s="83">
        <v>3.8598429191360188</v>
      </c>
      <c r="E118" s="91">
        <f t="shared" si="20"/>
        <v>2027</v>
      </c>
      <c r="K118" s="17">
        <f t="shared" si="23"/>
        <v>3</v>
      </c>
      <c r="L118" s="112">
        <f t="shared" si="24"/>
        <v>2027</v>
      </c>
      <c r="M118" s="86">
        <f t="shared" si="21"/>
        <v>46447</v>
      </c>
      <c r="N118" s="87">
        <v>34.44229</v>
      </c>
      <c r="O118" s="87">
        <v>37.036920000000002</v>
      </c>
      <c r="P118" s="87">
        <v>29.798200000000001</v>
      </c>
      <c r="Q118" s="88">
        <v>35.825769999999999</v>
      </c>
      <c r="S118" s="109">
        <v>36.529964885598922</v>
      </c>
      <c r="T118" s="111">
        <f t="shared" si="25"/>
        <v>1.0138777881662004</v>
      </c>
      <c r="U118" s="111">
        <f t="shared" si="26"/>
        <v>0.98072281515177329</v>
      </c>
      <c r="AD118" s="209" t="str">
        <f t="shared" si="16"/>
        <v>Summer</v>
      </c>
      <c r="AE118">
        <f t="shared" si="17"/>
        <v>9</v>
      </c>
      <c r="AF118" s="207">
        <v>46266</v>
      </c>
      <c r="AG118" s="208">
        <v>400</v>
      </c>
      <c r="AH118" s="208">
        <v>320</v>
      </c>
      <c r="AI118">
        <f t="shared" si="18"/>
        <v>25</v>
      </c>
      <c r="AJ118">
        <f t="shared" si="19"/>
        <v>5</v>
      </c>
    </row>
    <row r="119" spans="2:36" x14ac:dyDescent="0.2">
      <c r="B119" s="90">
        <f t="shared" si="22"/>
        <v>46478</v>
      </c>
      <c r="C119" s="83">
        <v>3.6951271851624146</v>
      </c>
      <c r="D119" s="83">
        <v>3.5112108333468273</v>
      </c>
      <c r="E119" s="91">
        <f t="shared" si="20"/>
        <v>2027</v>
      </c>
      <c r="K119" s="17">
        <f t="shared" si="23"/>
        <v>4</v>
      </c>
      <c r="L119" s="112">
        <f t="shared" si="24"/>
        <v>2027</v>
      </c>
      <c r="M119" s="86">
        <f t="shared" si="21"/>
        <v>46478</v>
      </c>
      <c r="N119" s="87">
        <v>31.606439999999999</v>
      </c>
      <c r="O119" s="87">
        <v>37.510779999999997</v>
      </c>
      <c r="P119" s="87">
        <v>27.48368</v>
      </c>
      <c r="Q119" s="88">
        <v>35.30594</v>
      </c>
      <c r="S119" s="109">
        <v>36.579847555555553</v>
      </c>
      <c r="T119" s="111">
        <f t="shared" si="25"/>
        <v>1.02544932542517</v>
      </c>
      <c r="U119" s="111">
        <f t="shared" si="26"/>
        <v>0.96517460731292526</v>
      </c>
      <c r="AD119" s="209" t="str">
        <f t="shared" si="16"/>
        <v>Winter</v>
      </c>
      <c r="AE119">
        <f t="shared" si="17"/>
        <v>10</v>
      </c>
      <c r="AF119" s="207">
        <v>46296</v>
      </c>
      <c r="AG119" s="208">
        <v>432</v>
      </c>
      <c r="AH119" s="208">
        <v>312</v>
      </c>
      <c r="AI119">
        <f t="shared" si="18"/>
        <v>27</v>
      </c>
      <c r="AJ119">
        <f t="shared" si="19"/>
        <v>4</v>
      </c>
    </row>
    <row r="120" spans="2:36" x14ac:dyDescent="0.2">
      <c r="B120" s="90">
        <f t="shared" si="22"/>
        <v>46508</v>
      </c>
      <c r="C120" s="83">
        <v>3.662849287836869</v>
      </c>
      <c r="D120" s="83">
        <v>3.5321462906505414</v>
      </c>
      <c r="E120" s="91">
        <f t="shared" si="20"/>
        <v>2027</v>
      </c>
      <c r="K120" s="17">
        <f t="shared" si="23"/>
        <v>5</v>
      </c>
      <c r="L120" s="112">
        <f t="shared" si="24"/>
        <v>2027</v>
      </c>
      <c r="M120" s="86">
        <f t="shared" si="21"/>
        <v>46508</v>
      </c>
      <c r="N120" s="87">
        <v>26.411359999999998</v>
      </c>
      <c r="O120" s="87">
        <v>39.787190000000002</v>
      </c>
      <c r="P120" s="87">
        <v>24.495899999999999</v>
      </c>
      <c r="Q120" s="88">
        <v>36.386890000000001</v>
      </c>
      <c r="S120" s="109">
        <v>38.215008279569886</v>
      </c>
      <c r="T120" s="111">
        <f t="shared" si="25"/>
        <v>1.0411404260056283</v>
      </c>
      <c r="U120" s="111">
        <f t="shared" si="26"/>
        <v>0.95216229534229313</v>
      </c>
      <c r="AD120" s="209" t="str">
        <f t="shared" si="16"/>
        <v>Winter</v>
      </c>
      <c r="AE120">
        <f t="shared" si="17"/>
        <v>11</v>
      </c>
      <c r="AF120" s="207">
        <v>46327</v>
      </c>
      <c r="AG120" s="208">
        <v>384</v>
      </c>
      <c r="AH120" s="208">
        <v>336</v>
      </c>
      <c r="AI120">
        <f t="shared" si="18"/>
        <v>24</v>
      </c>
      <c r="AJ120">
        <f t="shared" si="19"/>
        <v>6</v>
      </c>
    </row>
    <row r="121" spans="2:36" x14ac:dyDescent="0.2">
      <c r="B121" s="90">
        <f t="shared" si="22"/>
        <v>46539</v>
      </c>
      <c r="C121" s="83">
        <v>3.6880567886053903</v>
      </c>
      <c r="D121" s="83">
        <v>3.5042495359675137</v>
      </c>
      <c r="E121" s="91">
        <f t="shared" si="20"/>
        <v>2027</v>
      </c>
      <c r="K121" s="17">
        <f t="shared" si="23"/>
        <v>6</v>
      </c>
      <c r="L121" s="112">
        <f t="shared" si="24"/>
        <v>2027</v>
      </c>
      <c r="M121" s="86">
        <f t="shared" si="21"/>
        <v>46539</v>
      </c>
      <c r="N121" s="87">
        <v>31.172339999999998</v>
      </c>
      <c r="O121" s="87">
        <v>51.077120000000001</v>
      </c>
      <c r="P121" s="87">
        <v>25.449359999999999</v>
      </c>
      <c r="Q121" s="88">
        <v>40.08907</v>
      </c>
      <c r="S121" s="109">
        <v>46.437721111111109</v>
      </c>
      <c r="T121" s="111">
        <f t="shared" si="25"/>
        <v>1.0999058260802299</v>
      </c>
      <c r="U121" s="111">
        <f t="shared" si="26"/>
        <v>0.86328676431126428</v>
      </c>
      <c r="AD121" s="209" t="str">
        <f t="shared" si="16"/>
        <v>Winter</v>
      </c>
      <c r="AE121">
        <f t="shared" si="17"/>
        <v>12</v>
      </c>
      <c r="AF121" s="207">
        <v>46357</v>
      </c>
      <c r="AG121" s="208">
        <v>416</v>
      </c>
      <c r="AH121" s="208">
        <v>328</v>
      </c>
      <c r="AI121">
        <f t="shared" si="18"/>
        <v>26</v>
      </c>
      <c r="AJ121">
        <f t="shared" si="19"/>
        <v>5</v>
      </c>
    </row>
    <row r="122" spans="2:36" x14ac:dyDescent="0.2">
      <c r="B122" s="90">
        <f t="shared" si="22"/>
        <v>46569</v>
      </c>
      <c r="C122" s="83">
        <v>3.8845933189876014</v>
      </c>
      <c r="D122" s="83">
        <v>3.7831655176320216</v>
      </c>
      <c r="E122" s="91">
        <f t="shared" si="20"/>
        <v>2027</v>
      </c>
      <c r="K122" s="17">
        <f t="shared" si="23"/>
        <v>7</v>
      </c>
      <c r="L122" s="112">
        <f t="shared" si="24"/>
        <v>2027</v>
      </c>
      <c r="M122" s="86">
        <f t="shared" si="21"/>
        <v>46569</v>
      </c>
      <c r="N122" s="87">
        <v>48.237580000000001</v>
      </c>
      <c r="O122" s="87">
        <v>57.86336</v>
      </c>
      <c r="P122" s="87">
        <v>39.118589999999998</v>
      </c>
      <c r="Q122" s="88">
        <v>45.215670000000003</v>
      </c>
      <c r="S122" s="109">
        <v>52.287496666666669</v>
      </c>
      <c r="T122" s="111">
        <f t="shared" si="25"/>
        <v>1.1066385596709576</v>
      </c>
      <c r="U122" s="111">
        <f t="shared" si="26"/>
        <v>0.8647510950514683</v>
      </c>
      <c r="AD122" s="209" t="str">
        <f t="shared" si="16"/>
        <v>Winter</v>
      </c>
      <c r="AE122">
        <f t="shared" si="17"/>
        <v>1</v>
      </c>
      <c r="AF122" s="207">
        <v>46388</v>
      </c>
      <c r="AG122" s="208">
        <v>400</v>
      </c>
      <c r="AH122" s="208">
        <v>344</v>
      </c>
      <c r="AI122">
        <f t="shared" si="18"/>
        <v>25</v>
      </c>
      <c r="AJ122">
        <f t="shared" si="19"/>
        <v>6</v>
      </c>
    </row>
    <row r="123" spans="2:36" x14ac:dyDescent="0.2">
      <c r="B123" s="90">
        <f t="shared" si="22"/>
        <v>46600</v>
      </c>
      <c r="C123" s="83">
        <v>3.8984267035556921</v>
      </c>
      <c r="D123" s="83">
        <v>3.7970881123906488</v>
      </c>
      <c r="E123" s="91">
        <f t="shared" si="20"/>
        <v>2027</v>
      </c>
      <c r="K123" s="17">
        <f t="shared" si="23"/>
        <v>8</v>
      </c>
      <c r="L123" s="112">
        <f t="shared" si="24"/>
        <v>2027</v>
      </c>
      <c r="M123" s="86">
        <f t="shared" si="21"/>
        <v>46600</v>
      </c>
      <c r="N123" s="87">
        <v>52.416139999999999</v>
      </c>
      <c r="O123" s="87">
        <v>58.605670000000003</v>
      </c>
      <c r="P123" s="87">
        <v>42.600569999999998</v>
      </c>
      <c r="Q123" s="88">
        <v>46.460650000000001</v>
      </c>
      <c r="S123" s="109">
        <v>53.251413870967745</v>
      </c>
      <c r="T123" s="111">
        <f t="shared" si="25"/>
        <v>1.1005467412002625</v>
      </c>
      <c r="U123" s="111">
        <f t="shared" si="26"/>
        <v>0.87247730384356958</v>
      </c>
      <c r="AD123" s="209" t="str">
        <f t="shared" si="16"/>
        <v>Winter</v>
      </c>
      <c r="AE123">
        <f t="shared" si="17"/>
        <v>2</v>
      </c>
      <c r="AF123" s="207">
        <v>46419</v>
      </c>
      <c r="AG123" s="208">
        <v>384</v>
      </c>
      <c r="AH123" s="208">
        <v>288</v>
      </c>
      <c r="AI123">
        <f t="shared" si="18"/>
        <v>24</v>
      </c>
      <c r="AJ123">
        <f t="shared" si="19"/>
        <v>4</v>
      </c>
    </row>
    <row r="124" spans="2:36" x14ac:dyDescent="0.2">
      <c r="B124" s="90">
        <f t="shared" si="22"/>
        <v>46631</v>
      </c>
      <c r="C124" s="83">
        <v>3.8680957270212115</v>
      </c>
      <c r="D124" s="83">
        <v>3.7692429228733935</v>
      </c>
      <c r="E124" s="91">
        <f t="shared" si="20"/>
        <v>2027</v>
      </c>
      <c r="K124" s="17">
        <f t="shared" si="23"/>
        <v>9</v>
      </c>
      <c r="L124" s="112">
        <f t="shared" si="24"/>
        <v>2027</v>
      </c>
      <c r="M124" s="86">
        <f t="shared" si="21"/>
        <v>46631</v>
      </c>
      <c r="N124" s="87">
        <v>52.150779999999997</v>
      </c>
      <c r="O124" s="87">
        <v>48.19717</v>
      </c>
      <c r="P124" s="87">
        <v>45.444519999999997</v>
      </c>
      <c r="Q124" s="88">
        <v>42.130310000000001</v>
      </c>
      <c r="S124" s="109">
        <v>45.500787777777781</v>
      </c>
      <c r="T124" s="111">
        <f t="shared" si="25"/>
        <v>1.0592601217234114</v>
      </c>
      <c r="U124" s="111">
        <f t="shared" si="26"/>
        <v>0.9259248478457357</v>
      </c>
      <c r="AD124" s="209" t="str">
        <f t="shared" si="16"/>
        <v>Winter</v>
      </c>
      <c r="AE124">
        <f t="shared" si="17"/>
        <v>3</v>
      </c>
      <c r="AF124" s="207">
        <v>46447</v>
      </c>
      <c r="AG124" s="208">
        <v>432</v>
      </c>
      <c r="AH124" s="208">
        <v>312</v>
      </c>
      <c r="AI124">
        <f t="shared" si="18"/>
        <v>27</v>
      </c>
      <c r="AJ124">
        <f t="shared" si="19"/>
        <v>4</v>
      </c>
    </row>
    <row r="125" spans="2:36" x14ac:dyDescent="0.2">
      <c r="B125" s="90">
        <f t="shared" si="22"/>
        <v>46661</v>
      </c>
      <c r="C125" s="83">
        <v>3.8429906957680089</v>
      </c>
      <c r="D125" s="83">
        <v>3.7970881123906488</v>
      </c>
      <c r="E125" s="91">
        <f t="shared" si="20"/>
        <v>2027</v>
      </c>
      <c r="K125" s="17">
        <f t="shared" si="23"/>
        <v>10</v>
      </c>
      <c r="L125" s="112">
        <f t="shared" si="24"/>
        <v>2027</v>
      </c>
      <c r="M125" s="86">
        <f t="shared" si="21"/>
        <v>46661</v>
      </c>
      <c r="N125" s="87">
        <v>42.820929999999997</v>
      </c>
      <c r="O125" s="87">
        <v>41.90719</v>
      </c>
      <c r="P125" s="87">
        <v>35.378509999999999</v>
      </c>
      <c r="Q125" s="88">
        <v>37.968679999999999</v>
      </c>
      <c r="S125" s="109">
        <v>40.170857634408605</v>
      </c>
      <c r="T125" s="111">
        <f t="shared" si="25"/>
        <v>1.043223681739474</v>
      </c>
      <c r="U125" s="111">
        <f t="shared" si="26"/>
        <v>0.94517972072066703</v>
      </c>
      <c r="AD125" s="209" t="str">
        <f t="shared" si="16"/>
        <v>Winter</v>
      </c>
      <c r="AE125">
        <f t="shared" si="17"/>
        <v>4</v>
      </c>
      <c r="AF125" s="207">
        <v>46478</v>
      </c>
      <c r="AG125" s="208">
        <v>416</v>
      </c>
      <c r="AH125" s="208">
        <v>304</v>
      </c>
      <c r="AI125">
        <f t="shared" si="18"/>
        <v>26</v>
      </c>
      <c r="AJ125">
        <f t="shared" si="19"/>
        <v>4</v>
      </c>
    </row>
    <row r="126" spans="2:36" x14ac:dyDescent="0.2">
      <c r="B126" s="90">
        <f t="shared" si="22"/>
        <v>46692</v>
      </c>
      <c r="C126" s="83">
        <v>4.1652573214468696</v>
      </c>
      <c r="D126" s="83">
        <v>4.250294354366865</v>
      </c>
      <c r="E126" s="91">
        <f t="shared" si="20"/>
        <v>2027</v>
      </c>
      <c r="K126" s="17">
        <f t="shared" si="23"/>
        <v>11</v>
      </c>
      <c r="L126" s="112">
        <f t="shared" si="24"/>
        <v>2027</v>
      </c>
      <c r="M126" s="86">
        <f t="shared" si="21"/>
        <v>46692</v>
      </c>
      <c r="N126" s="87">
        <v>44.937469999999998</v>
      </c>
      <c r="O126" s="87">
        <v>41.750140000000002</v>
      </c>
      <c r="P126" s="87">
        <v>37.591050000000003</v>
      </c>
      <c r="Q126" s="88">
        <v>37.968229999999998</v>
      </c>
      <c r="S126" s="109">
        <v>40.066377018030515</v>
      </c>
      <c r="T126" s="111">
        <f t="shared" si="25"/>
        <v>1.0420243382927228</v>
      </c>
      <c r="U126" s="111">
        <f t="shared" si="26"/>
        <v>0.94763322331124877</v>
      </c>
      <c r="AD126" s="209" t="str">
        <f t="shared" si="16"/>
        <v>Winter</v>
      </c>
      <c r="AE126">
        <f t="shared" si="17"/>
        <v>5</v>
      </c>
      <c r="AF126" s="207">
        <v>46508</v>
      </c>
      <c r="AG126" s="208">
        <v>400</v>
      </c>
      <c r="AH126" s="208">
        <v>344</v>
      </c>
      <c r="AI126">
        <f t="shared" si="18"/>
        <v>25</v>
      </c>
      <c r="AJ126">
        <f t="shared" si="19"/>
        <v>6</v>
      </c>
    </row>
    <row r="127" spans="2:36" x14ac:dyDescent="0.2">
      <c r="B127" s="92">
        <f t="shared" si="22"/>
        <v>46722</v>
      </c>
      <c r="C127" s="93">
        <v>4.3931495235167537</v>
      </c>
      <c r="D127" s="93">
        <v>4.6407973547634853</v>
      </c>
      <c r="E127" s="94">
        <f t="shared" si="20"/>
        <v>2027</v>
      </c>
      <c r="K127" s="17">
        <f t="shared" si="23"/>
        <v>12</v>
      </c>
      <c r="L127" s="112">
        <f t="shared" si="24"/>
        <v>2027</v>
      </c>
      <c r="M127" s="95">
        <f t="shared" si="21"/>
        <v>46722</v>
      </c>
      <c r="N127" s="96">
        <v>44.639220000000002</v>
      </c>
      <c r="O127" s="96">
        <v>44.23874</v>
      </c>
      <c r="P127" s="96">
        <v>36.921039999999998</v>
      </c>
      <c r="Q127" s="97">
        <v>40.826889999999999</v>
      </c>
      <c r="S127" s="109">
        <v>42.73459107526881</v>
      </c>
      <c r="T127" s="111">
        <f t="shared" si="25"/>
        <v>1.0351974568349542</v>
      </c>
      <c r="U127" s="111">
        <f t="shared" si="26"/>
        <v>0.95535932303859517</v>
      </c>
      <c r="AD127" s="209" t="str">
        <f t="shared" si="16"/>
        <v>Summer</v>
      </c>
      <c r="AE127">
        <f t="shared" si="17"/>
        <v>6</v>
      </c>
      <c r="AF127" s="207">
        <v>46539</v>
      </c>
      <c r="AG127" s="208">
        <v>416</v>
      </c>
      <c r="AH127" s="208">
        <v>304</v>
      </c>
      <c r="AI127">
        <f t="shared" si="18"/>
        <v>26</v>
      </c>
      <c r="AJ127">
        <f t="shared" si="19"/>
        <v>4</v>
      </c>
    </row>
    <row r="128" spans="2:36" x14ac:dyDescent="0.2">
      <c r="B128" s="266">
        <f t="shared" si="22"/>
        <v>46753</v>
      </c>
      <c r="C128" s="83">
        <v>4.5326105338661753</v>
      </c>
      <c r="D128" s="83">
        <v>4.6495118677790712</v>
      </c>
      <c r="E128" s="265">
        <f t="shared" si="20"/>
        <v>2028</v>
      </c>
      <c r="K128" s="17">
        <f t="shared" si="23"/>
        <v>1</v>
      </c>
      <c r="L128" s="112">
        <f t="shared" si="24"/>
        <v>2028</v>
      </c>
      <c r="M128" s="86">
        <f t="shared" si="21"/>
        <v>46753</v>
      </c>
      <c r="N128" s="264">
        <v>43.360939999999999</v>
      </c>
      <c r="O128" s="264">
        <v>44.041539999999998</v>
      </c>
      <c r="P128" s="264">
        <v>36.438510000000001</v>
      </c>
      <c r="Q128" s="263">
        <v>40.519950000000001</v>
      </c>
      <c r="S128" s="109">
        <v>42.413277956989248</v>
      </c>
      <c r="T128" s="111">
        <f t="shared" si="25"/>
        <v>1.0383903843664701</v>
      </c>
      <c r="U128" s="111">
        <f t="shared" si="26"/>
        <v>0.95536001817852312</v>
      </c>
      <c r="AD128" s="209" t="str">
        <f t="shared" si="16"/>
        <v>Summer</v>
      </c>
      <c r="AE128">
        <f t="shared" si="17"/>
        <v>7</v>
      </c>
      <c r="AF128" s="207">
        <v>46569</v>
      </c>
      <c r="AG128" s="208">
        <v>416</v>
      </c>
      <c r="AH128" s="208">
        <v>328</v>
      </c>
      <c r="AI128">
        <f t="shared" si="18"/>
        <v>26</v>
      </c>
      <c r="AJ128">
        <f t="shared" si="19"/>
        <v>5</v>
      </c>
    </row>
    <row r="129" spans="2:36" x14ac:dyDescent="0.2">
      <c r="B129" s="90">
        <f t="shared" si="22"/>
        <v>46784</v>
      </c>
      <c r="C129" s="83">
        <v>4.3428369914950302</v>
      </c>
      <c r="D129" s="83">
        <v>4.4500062414045143</v>
      </c>
      <c r="E129" s="91">
        <f t="shared" si="20"/>
        <v>2028</v>
      </c>
      <c r="K129" s="17">
        <f t="shared" si="23"/>
        <v>2</v>
      </c>
      <c r="L129" s="112">
        <f t="shared" si="24"/>
        <v>2028</v>
      </c>
      <c r="M129" s="86">
        <f t="shared" si="21"/>
        <v>46784</v>
      </c>
      <c r="N129" s="87">
        <v>43.958660000000002</v>
      </c>
      <c r="O129" s="87">
        <v>42.775950000000002</v>
      </c>
      <c r="P129" s="87">
        <v>38.732250000000001</v>
      </c>
      <c r="Q129" s="88">
        <v>39.86806</v>
      </c>
      <c r="S129" s="109">
        <v>41.539261149425286</v>
      </c>
      <c r="T129" s="111">
        <f t="shared" si="25"/>
        <v>1.0297715658958422</v>
      </c>
      <c r="U129" s="111">
        <f t="shared" si="26"/>
        <v>0.95976815419480788</v>
      </c>
      <c r="AD129" s="209" t="str">
        <f t="shared" si="16"/>
        <v>Summer</v>
      </c>
      <c r="AE129">
        <f t="shared" si="17"/>
        <v>8</v>
      </c>
      <c r="AF129" s="207">
        <v>46600</v>
      </c>
      <c r="AG129" s="208">
        <v>416</v>
      </c>
      <c r="AH129" s="208">
        <v>328</v>
      </c>
      <c r="AI129">
        <f t="shared" si="18"/>
        <v>26</v>
      </c>
      <c r="AJ129">
        <f t="shared" si="19"/>
        <v>5</v>
      </c>
    </row>
    <row r="130" spans="2:36" x14ac:dyDescent="0.2">
      <c r="B130" s="90">
        <f t="shared" si="22"/>
        <v>46813</v>
      </c>
      <c r="C130" s="83">
        <v>4.1651548519315504</v>
      </c>
      <c r="D130" s="83">
        <v>4.1364384683407556</v>
      </c>
      <c r="E130" s="91">
        <f t="shared" si="20"/>
        <v>2028</v>
      </c>
      <c r="K130" s="17">
        <f t="shared" si="23"/>
        <v>3</v>
      </c>
      <c r="L130" s="112">
        <f t="shared" si="24"/>
        <v>2028</v>
      </c>
      <c r="M130" s="86">
        <f t="shared" si="21"/>
        <v>46813</v>
      </c>
      <c r="N130" s="87">
        <v>36.487070000000003</v>
      </c>
      <c r="O130" s="87">
        <v>38.892760000000003</v>
      </c>
      <c r="P130" s="87">
        <v>31.652550000000002</v>
      </c>
      <c r="Q130" s="88">
        <v>37.697490000000002</v>
      </c>
      <c r="S130" s="109">
        <v>38.39245183041723</v>
      </c>
      <c r="T130" s="111">
        <f t="shared" si="25"/>
        <v>1.0130314201289534</v>
      </c>
      <c r="U130" s="111">
        <f t="shared" si="26"/>
        <v>0.98189847750576253</v>
      </c>
      <c r="AD130" s="209" t="str">
        <f t="shared" ref="AD130:AD193" si="27">IF(AND(AE130&gt;=6,AE130&lt;=9),"Summer","Winter")</f>
        <v>Summer</v>
      </c>
      <c r="AE130">
        <f t="shared" ref="AE130:AE193" si="28">MONTH(AF130)</f>
        <v>9</v>
      </c>
      <c r="AF130" s="207">
        <v>46631</v>
      </c>
      <c r="AG130" s="208">
        <v>400</v>
      </c>
      <c r="AH130" s="208">
        <v>320</v>
      </c>
      <c r="AI130">
        <f t="shared" ref="AI130:AI193" si="29">AG130/16</f>
        <v>25</v>
      </c>
      <c r="AJ130">
        <f t="shared" ref="AJ130:AJ193" si="30">EDATE(AF130,1)-AF130-AI130</f>
        <v>5</v>
      </c>
    </row>
    <row r="131" spans="2:36" x14ac:dyDescent="0.2">
      <c r="B131" s="90">
        <f t="shared" si="22"/>
        <v>46844</v>
      </c>
      <c r="C131" s="83">
        <v>3.9024230146531411</v>
      </c>
      <c r="D131" s="83">
        <v>3.7089116789193399</v>
      </c>
      <c r="E131" s="91">
        <f t="shared" si="20"/>
        <v>2028</v>
      </c>
      <c r="K131" s="17">
        <f t="shared" si="23"/>
        <v>4</v>
      </c>
      <c r="L131" s="112">
        <f t="shared" si="24"/>
        <v>2028</v>
      </c>
      <c r="M131" s="86">
        <f t="shared" si="21"/>
        <v>46844</v>
      </c>
      <c r="N131" s="87">
        <v>33.041989999999998</v>
      </c>
      <c r="O131" s="87">
        <v>38.869100000000003</v>
      </c>
      <c r="P131" s="87">
        <v>29.09404</v>
      </c>
      <c r="Q131" s="88">
        <v>36.954419999999999</v>
      </c>
      <c r="S131" s="109">
        <v>38.018131111111117</v>
      </c>
      <c r="T131" s="111">
        <f t="shared" si="25"/>
        <v>1.0223832383133684</v>
      </c>
      <c r="U131" s="111">
        <f t="shared" si="26"/>
        <v>0.9720209521082892</v>
      </c>
      <c r="AD131" s="209" t="str">
        <f t="shared" si="27"/>
        <v>Winter</v>
      </c>
      <c r="AE131">
        <f t="shared" si="28"/>
        <v>10</v>
      </c>
      <c r="AF131" s="207">
        <v>46661</v>
      </c>
      <c r="AG131" s="208">
        <v>416</v>
      </c>
      <c r="AH131" s="208">
        <v>328</v>
      </c>
      <c r="AI131">
        <f t="shared" si="29"/>
        <v>26</v>
      </c>
      <c r="AJ131">
        <f t="shared" si="30"/>
        <v>5</v>
      </c>
    </row>
    <row r="132" spans="2:36" x14ac:dyDescent="0.2">
      <c r="B132" s="90">
        <f t="shared" si="22"/>
        <v>46874</v>
      </c>
      <c r="C132" s="83">
        <v>3.8286449636233222</v>
      </c>
      <c r="D132" s="83">
        <v>3.7160276717959722</v>
      </c>
      <c r="E132" s="91">
        <f t="shared" si="20"/>
        <v>2028</v>
      </c>
      <c r="K132" s="17">
        <f t="shared" si="23"/>
        <v>5</v>
      </c>
      <c r="L132" s="112">
        <f t="shared" si="24"/>
        <v>2028</v>
      </c>
      <c r="M132" s="86">
        <f t="shared" si="21"/>
        <v>46874</v>
      </c>
      <c r="N132" s="87">
        <v>28.40063</v>
      </c>
      <c r="O132" s="87">
        <v>43.835540000000002</v>
      </c>
      <c r="P132" s="87">
        <v>25.57432</v>
      </c>
      <c r="Q132" s="88">
        <v>39.781089999999999</v>
      </c>
      <c r="S132" s="109">
        <v>42.048094301075267</v>
      </c>
      <c r="T132" s="111">
        <f t="shared" si="25"/>
        <v>1.0425095531351827</v>
      </c>
      <c r="U132" s="111">
        <f t="shared" si="26"/>
        <v>0.94608544480415857</v>
      </c>
      <c r="AD132" s="209" t="str">
        <f t="shared" si="27"/>
        <v>Winter</v>
      </c>
      <c r="AE132">
        <f t="shared" si="28"/>
        <v>11</v>
      </c>
      <c r="AF132" s="207">
        <v>46692</v>
      </c>
      <c r="AG132" s="208">
        <v>400</v>
      </c>
      <c r="AH132" s="208">
        <v>320</v>
      </c>
      <c r="AI132">
        <f t="shared" si="29"/>
        <v>25</v>
      </c>
      <c r="AJ132">
        <f t="shared" si="30"/>
        <v>5</v>
      </c>
    </row>
    <row r="133" spans="2:36" x14ac:dyDescent="0.2">
      <c r="B133" s="90">
        <f t="shared" si="22"/>
        <v>46905</v>
      </c>
      <c r="C133" s="83">
        <v>3.8543648119684399</v>
      </c>
      <c r="D133" s="83">
        <v>3.7445432084682726</v>
      </c>
      <c r="E133" s="91">
        <f t="shared" si="20"/>
        <v>2028</v>
      </c>
      <c r="K133" s="17">
        <f t="shared" si="23"/>
        <v>6</v>
      </c>
      <c r="L133" s="112">
        <f t="shared" si="24"/>
        <v>2028</v>
      </c>
      <c r="M133" s="86">
        <f t="shared" si="21"/>
        <v>46905</v>
      </c>
      <c r="N133" s="87">
        <v>32.986159999999998</v>
      </c>
      <c r="O133" s="87">
        <v>53.418439999999997</v>
      </c>
      <c r="P133" s="87">
        <v>27.001359999999998</v>
      </c>
      <c r="Q133" s="88">
        <v>42.025790000000001</v>
      </c>
      <c r="S133" s="109">
        <v>48.60821</v>
      </c>
      <c r="T133" s="111">
        <f t="shared" si="25"/>
        <v>1.0989592087427205</v>
      </c>
      <c r="U133" s="111">
        <f t="shared" si="26"/>
        <v>0.86458213540469808</v>
      </c>
      <c r="AD133" s="209" t="str">
        <f t="shared" si="27"/>
        <v>Winter</v>
      </c>
      <c r="AE133">
        <f t="shared" si="28"/>
        <v>12</v>
      </c>
      <c r="AF133" s="207">
        <v>46722</v>
      </c>
      <c r="AG133" s="208">
        <v>416</v>
      </c>
      <c r="AH133" s="208">
        <v>328</v>
      </c>
      <c r="AI133">
        <f t="shared" si="29"/>
        <v>26</v>
      </c>
      <c r="AJ133">
        <f t="shared" si="30"/>
        <v>5</v>
      </c>
    </row>
    <row r="134" spans="2:36" x14ac:dyDescent="0.2">
      <c r="B134" s="90">
        <f t="shared" si="22"/>
        <v>46935</v>
      </c>
      <c r="C134" s="83">
        <v>4.0268210062506409</v>
      </c>
      <c r="D134" s="83">
        <v>4.0580594163662589</v>
      </c>
      <c r="E134" s="91">
        <f t="shared" si="20"/>
        <v>2028</v>
      </c>
      <c r="K134" s="17">
        <f t="shared" si="23"/>
        <v>7</v>
      </c>
      <c r="L134" s="112">
        <f t="shared" si="24"/>
        <v>2028</v>
      </c>
      <c r="M134" s="86">
        <f t="shared" si="21"/>
        <v>46935</v>
      </c>
      <c r="N134" s="87">
        <v>50.29636</v>
      </c>
      <c r="O134" s="87">
        <v>59.85783</v>
      </c>
      <c r="P134" s="87">
        <v>41.398339999999997</v>
      </c>
      <c r="Q134" s="88">
        <v>47.632069999999999</v>
      </c>
      <c r="S134" s="109">
        <v>54.205059247311823</v>
      </c>
      <c r="T134" s="111">
        <f t="shared" si="25"/>
        <v>1.1042849289564887</v>
      </c>
      <c r="U134" s="111">
        <f t="shared" si="26"/>
        <v>0.87873845470175749</v>
      </c>
      <c r="AD134" s="209" t="str">
        <f t="shared" si="27"/>
        <v>Winter</v>
      </c>
      <c r="AE134">
        <f t="shared" si="28"/>
        <v>1</v>
      </c>
      <c r="AF134" s="207">
        <v>46753</v>
      </c>
      <c r="AG134" s="208">
        <v>400</v>
      </c>
      <c r="AH134" s="208">
        <v>344</v>
      </c>
      <c r="AI134">
        <f t="shared" si="29"/>
        <v>25</v>
      </c>
      <c r="AJ134">
        <f t="shared" si="30"/>
        <v>6</v>
      </c>
    </row>
    <row r="135" spans="2:36" x14ac:dyDescent="0.2">
      <c r="B135" s="90">
        <f t="shared" si="22"/>
        <v>46966</v>
      </c>
      <c r="C135" s="83">
        <v>4.0976274413362024</v>
      </c>
      <c r="D135" s="83">
        <v>4.0936909459151911</v>
      </c>
      <c r="E135" s="91">
        <f t="shared" si="20"/>
        <v>2028</v>
      </c>
      <c r="K135" s="17">
        <f t="shared" si="23"/>
        <v>8</v>
      </c>
      <c r="L135" s="112">
        <f t="shared" si="24"/>
        <v>2028</v>
      </c>
      <c r="M135" s="86">
        <f t="shared" si="21"/>
        <v>46966</v>
      </c>
      <c r="N135" s="87">
        <v>55.181629999999998</v>
      </c>
      <c r="O135" s="87">
        <v>61.175800000000002</v>
      </c>
      <c r="P135" s="87">
        <v>44.828629999999997</v>
      </c>
      <c r="Q135" s="88">
        <v>48.349510000000002</v>
      </c>
      <c r="S135" s="109">
        <v>55.797033225806452</v>
      </c>
      <c r="T135" s="111">
        <f t="shared" si="25"/>
        <v>1.0963987951191971</v>
      </c>
      <c r="U135" s="111">
        <f t="shared" si="26"/>
        <v>0.86652474521957334</v>
      </c>
      <c r="AD135" s="209" t="str">
        <f t="shared" si="27"/>
        <v>Winter</v>
      </c>
      <c r="AE135">
        <f t="shared" si="28"/>
        <v>2</v>
      </c>
      <c r="AF135" s="207">
        <v>46784</v>
      </c>
      <c r="AG135" s="208">
        <v>400</v>
      </c>
      <c r="AH135" s="208">
        <v>296</v>
      </c>
      <c r="AI135">
        <f t="shared" si="29"/>
        <v>25</v>
      </c>
      <c r="AJ135">
        <f t="shared" si="30"/>
        <v>4</v>
      </c>
    </row>
    <row r="136" spans="2:36" x14ac:dyDescent="0.2">
      <c r="B136" s="90">
        <f t="shared" si="22"/>
        <v>46997</v>
      </c>
      <c r="C136" s="83">
        <v>4.0809249103391743</v>
      </c>
      <c r="D136" s="83">
        <v>4.0295954448597318</v>
      </c>
      <c r="E136" s="91">
        <f t="shared" ref="E136:E199" si="31">YEAR(B136)</f>
        <v>2028</v>
      </c>
      <c r="K136" s="17">
        <f t="shared" si="23"/>
        <v>9</v>
      </c>
      <c r="L136" s="112">
        <f t="shared" si="24"/>
        <v>2028</v>
      </c>
      <c r="M136" s="86">
        <f t="shared" ref="M136:M199" si="32">B136</f>
        <v>46997</v>
      </c>
      <c r="N136" s="87">
        <v>53.45722</v>
      </c>
      <c r="O136" s="87">
        <v>47.5593</v>
      </c>
      <c r="P136" s="87">
        <v>47.937289999999997</v>
      </c>
      <c r="Q136" s="88">
        <v>43.117049999999999</v>
      </c>
      <c r="S136" s="109">
        <v>45.584966666666666</v>
      </c>
      <c r="T136" s="111">
        <f t="shared" si="25"/>
        <v>1.0433110623458466</v>
      </c>
      <c r="U136" s="111">
        <f t="shared" si="26"/>
        <v>0.94586117206769194</v>
      </c>
      <c r="AD136" s="209" t="str">
        <f t="shared" si="27"/>
        <v>Winter</v>
      </c>
      <c r="AE136">
        <f t="shared" si="28"/>
        <v>3</v>
      </c>
      <c r="AF136" s="207">
        <v>46813</v>
      </c>
      <c r="AG136" s="208">
        <v>432</v>
      </c>
      <c r="AH136" s="208">
        <v>312</v>
      </c>
      <c r="AI136">
        <f t="shared" si="29"/>
        <v>27</v>
      </c>
      <c r="AJ136">
        <f t="shared" si="30"/>
        <v>4</v>
      </c>
    </row>
    <row r="137" spans="2:36" x14ac:dyDescent="0.2">
      <c r="B137" s="90">
        <f t="shared" ref="B137:B200" si="33">EDATE(B136,1)</f>
        <v>47027</v>
      </c>
      <c r="C137" s="83">
        <v>4.1684338764217648</v>
      </c>
      <c r="D137" s="83">
        <v>4.1364900335065276</v>
      </c>
      <c r="E137" s="91">
        <f t="shared" si="31"/>
        <v>2028</v>
      </c>
      <c r="K137" s="17">
        <f t="shared" ref="K137:K200" si="34">MONTH(M137)</f>
        <v>10</v>
      </c>
      <c r="L137" s="112">
        <f t="shared" ref="L137:L200" si="35">YEAR(M137)</f>
        <v>2028</v>
      </c>
      <c r="M137" s="86">
        <f t="shared" si="32"/>
        <v>47027</v>
      </c>
      <c r="N137" s="87">
        <v>43.087850000000003</v>
      </c>
      <c r="O137" s="87">
        <v>42.444940000000003</v>
      </c>
      <c r="P137" s="87">
        <v>35.676609999999997</v>
      </c>
      <c r="Q137" s="88">
        <v>38.776539999999997</v>
      </c>
      <c r="S137" s="109">
        <v>40.827688387096778</v>
      </c>
      <c r="T137" s="111">
        <f t="shared" ref="T137:T200" si="36">O137/S137</f>
        <v>1.0396116380033493</v>
      </c>
      <c r="U137" s="111">
        <f t="shared" ref="U137:U200" si="37">Q137/S137</f>
        <v>0.94976084936160565</v>
      </c>
      <c r="AD137" s="209" t="str">
        <f t="shared" si="27"/>
        <v>Winter</v>
      </c>
      <c r="AE137">
        <f t="shared" si="28"/>
        <v>4</v>
      </c>
      <c r="AF137" s="207">
        <v>46844</v>
      </c>
      <c r="AG137" s="208">
        <v>400</v>
      </c>
      <c r="AH137" s="208">
        <v>320</v>
      </c>
      <c r="AI137">
        <f t="shared" si="29"/>
        <v>25</v>
      </c>
      <c r="AJ137">
        <f t="shared" si="30"/>
        <v>5</v>
      </c>
    </row>
    <row r="138" spans="2:36" x14ac:dyDescent="0.2">
      <c r="B138" s="90">
        <f t="shared" si="33"/>
        <v>47058</v>
      </c>
      <c r="C138" s="83">
        <v>4.3989902858899477</v>
      </c>
      <c r="D138" s="83">
        <v>4.5070373147491143</v>
      </c>
      <c r="E138" s="91">
        <f t="shared" si="31"/>
        <v>2028</v>
      </c>
      <c r="K138" s="17">
        <f t="shared" si="34"/>
        <v>11</v>
      </c>
      <c r="L138" s="112">
        <f t="shared" si="35"/>
        <v>2028</v>
      </c>
      <c r="M138" s="86">
        <f t="shared" si="32"/>
        <v>47058</v>
      </c>
      <c r="N138" s="87">
        <v>47.752659999999999</v>
      </c>
      <c r="O138" s="87">
        <v>43.37773</v>
      </c>
      <c r="P138" s="87">
        <v>40.30536</v>
      </c>
      <c r="Q138" s="88">
        <v>40.173270000000002</v>
      </c>
      <c r="S138" s="109">
        <v>41.951056407766984</v>
      </c>
      <c r="T138" s="111">
        <f t="shared" si="36"/>
        <v>1.0340080492459036</v>
      </c>
      <c r="U138" s="111">
        <f t="shared" si="37"/>
        <v>0.95762236854093064</v>
      </c>
      <c r="AD138" s="209" t="str">
        <f t="shared" si="27"/>
        <v>Winter</v>
      </c>
      <c r="AE138">
        <f t="shared" si="28"/>
        <v>5</v>
      </c>
      <c r="AF138" s="207">
        <v>46874</v>
      </c>
      <c r="AG138" s="208">
        <v>416</v>
      </c>
      <c r="AH138" s="208">
        <v>328</v>
      </c>
      <c r="AI138">
        <f t="shared" si="29"/>
        <v>26</v>
      </c>
      <c r="AJ138">
        <f t="shared" si="30"/>
        <v>5</v>
      </c>
    </row>
    <row r="139" spans="2:36" x14ac:dyDescent="0.2">
      <c r="B139" s="92">
        <f t="shared" si="33"/>
        <v>47088</v>
      </c>
      <c r="C139" s="93">
        <v>4.8019004201250137</v>
      </c>
      <c r="D139" s="93">
        <v>5.0201107141874308</v>
      </c>
      <c r="E139" s="94">
        <f t="shared" si="31"/>
        <v>2028</v>
      </c>
      <c r="K139" s="17">
        <f t="shared" si="34"/>
        <v>12</v>
      </c>
      <c r="L139" s="112">
        <f t="shared" si="35"/>
        <v>2028</v>
      </c>
      <c r="M139" s="95">
        <f t="shared" si="32"/>
        <v>47088</v>
      </c>
      <c r="N139" s="96">
        <v>47.304780000000001</v>
      </c>
      <c r="O139" s="96">
        <v>46.773099999999999</v>
      </c>
      <c r="P139" s="96">
        <v>40.005809999999997</v>
      </c>
      <c r="Q139" s="97">
        <v>43.921129999999998</v>
      </c>
      <c r="S139" s="109">
        <v>45.454447204301076</v>
      </c>
      <c r="T139" s="111">
        <f t="shared" si="36"/>
        <v>1.0290104242115643</v>
      </c>
      <c r="U139" s="111">
        <f t="shared" si="37"/>
        <v>0.96626694859120432</v>
      </c>
      <c r="AD139" s="209" t="str">
        <f t="shared" si="27"/>
        <v>Summer</v>
      </c>
      <c r="AE139">
        <f t="shared" si="28"/>
        <v>6</v>
      </c>
      <c r="AF139" s="207">
        <v>46905</v>
      </c>
      <c r="AG139" s="208">
        <v>416</v>
      </c>
      <c r="AH139" s="208">
        <v>304</v>
      </c>
      <c r="AI139">
        <f t="shared" si="29"/>
        <v>26</v>
      </c>
      <c r="AJ139">
        <f t="shared" si="30"/>
        <v>4</v>
      </c>
    </row>
    <row r="140" spans="2:36" x14ac:dyDescent="0.2">
      <c r="B140" s="266">
        <f t="shared" si="33"/>
        <v>47119</v>
      </c>
      <c r="C140" s="83">
        <v>4.7613224920586132</v>
      </c>
      <c r="D140" s="83">
        <v>4.9842213588096351</v>
      </c>
      <c r="E140" s="265">
        <f t="shared" si="31"/>
        <v>2029</v>
      </c>
      <c r="K140" s="17">
        <f t="shared" si="34"/>
        <v>1</v>
      </c>
      <c r="L140" s="112">
        <f t="shared" si="35"/>
        <v>2029</v>
      </c>
      <c r="M140" s="86">
        <f t="shared" si="32"/>
        <v>47119</v>
      </c>
      <c r="N140" s="264">
        <v>46.698480000000004</v>
      </c>
      <c r="O140" s="264">
        <v>46.722329999999999</v>
      </c>
      <c r="P140" s="264">
        <v>38.739440000000002</v>
      </c>
      <c r="Q140" s="263">
        <v>42.749470000000002</v>
      </c>
      <c r="S140" s="109">
        <v>44.970854086021504</v>
      </c>
      <c r="T140" s="111">
        <f t="shared" si="36"/>
        <v>1.0389469123852579</v>
      </c>
      <c r="U140" s="111">
        <f t="shared" si="37"/>
        <v>0.95060391599918526</v>
      </c>
      <c r="AD140" s="209" t="str">
        <f t="shared" si="27"/>
        <v>Summer</v>
      </c>
      <c r="AE140">
        <f t="shared" si="28"/>
        <v>7</v>
      </c>
      <c r="AF140" s="207">
        <v>46935</v>
      </c>
      <c r="AG140" s="208">
        <v>400</v>
      </c>
      <c r="AH140" s="208">
        <v>344</v>
      </c>
      <c r="AI140">
        <f t="shared" si="29"/>
        <v>25</v>
      </c>
      <c r="AJ140">
        <f t="shared" si="30"/>
        <v>6</v>
      </c>
    </row>
    <row r="141" spans="2:36" x14ac:dyDescent="0.2">
      <c r="B141" s="90">
        <f t="shared" si="33"/>
        <v>47150</v>
      </c>
      <c r="C141" s="83">
        <v>4.6420479762270723</v>
      </c>
      <c r="D141" s="83">
        <v>4.8166861352141481</v>
      </c>
      <c r="E141" s="91">
        <f t="shared" si="31"/>
        <v>2029</v>
      </c>
      <c r="K141" s="17">
        <f t="shared" si="34"/>
        <v>2</v>
      </c>
      <c r="L141" s="112">
        <f t="shared" si="35"/>
        <v>2029</v>
      </c>
      <c r="M141" s="86">
        <f t="shared" si="32"/>
        <v>47150</v>
      </c>
      <c r="N141" s="87">
        <v>47.528500000000001</v>
      </c>
      <c r="O141" s="87">
        <v>45.567320000000002</v>
      </c>
      <c r="P141" s="87">
        <v>42.422609999999999</v>
      </c>
      <c r="Q141" s="88">
        <v>42.814540000000001</v>
      </c>
      <c r="S141" s="109">
        <v>44.387557142857148</v>
      </c>
      <c r="T141" s="111">
        <f t="shared" si="36"/>
        <v>1.0265786840520621</v>
      </c>
      <c r="U141" s="111">
        <f t="shared" si="37"/>
        <v>0.96456175459725035</v>
      </c>
      <c r="AD141" s="209" t="str">
        <f t="shared" si="27"/>
        <v>Summer</v>
      </c>
      <c r="AE141">
        <f t="shared" si="28"/>
        <v>8</v>
      </c>
      <c r="AF141" s="207">
        <v>46966</v>
      </c>
      <c r="AG141" s="208">
        <v>432</v>
      </c>
      <c r="AH141" s="208">
        <v>312</v>
      </c>
      <c r="AI141">
        <f t="shared" si="29"/>
        <v>27</v>
      </c>
      <c r="AJ141">
        <f t="shared" si="30"/>
        <v>4</v>
      </c>
    </row>
    <row r="142" spans="2:36" x14ac:dyDescent="0.2">
      <c r="B142" s="90">
        <f t="shared" si="33"/>
        <v>47178</v>
      </c>
      <c r="C142" s="83">
        <v>4.5014598012091405</v>
      </c>
      <c r="D142" s="83">
        <v>4.5399358905120941</v>
      </c>
      <c r="E142" s="91">
        <f t="shared" si="31"/>
        <v>2029</v>
      </c>
      <c r="K142" s="17">
        <f t="shared" si="34"/>
        <v>3</v>
      </c>
      <c r="L142" s="112">
        <f t="shared" si="35"/>
        <v>2029</v>
      </c>
      <c r="M142" s="86">
        <f t="shared" si="32"/>
        <v>47178</v>
      </c>
      <c r="N142" s="87">
        <v>40.168170000000003</v>
      </c>
      <c r="O142" s="87">
        <v>42.766869999999997</v>
      </c>
      <c r="P142" s="87">
        <v>35.172280000000001</v>
      </c>
      <c r="Q142" s="88">
        <v>41.419029999999999</v>
      </c>
      <c r="S142" s="109">
        <v>42.202700094212645</v>
      </c>
      <c r="T142" s="111">
        <f t="shared" si="36"/>
        <v>1.0133680997786376</v>
      </c>
      <c r="U142" s="111">
        <f t="shared" si="37"/>
        <v>0.98143080673835581</v>
      </c>
      <c r="AD142" s="209" t="str">
        <f t="shared" si="27"/>
        <v>Summer</v>
      </c>
      <c r="AE142">
        <f t="shared" si="28"/>
        <v>9</v>
      </c>
      <c r="AF142" s="207">
        <v>46997</v>
      </c>
      <c r="AG142" s="208">
        <v>400</v>
      </c>
      <c r="AH142" s="208">
        <v>320</v>
      </c>
      <c r="AI142">
        <f t="shared" si="29"/>
        <v>25</v>
      </c>
      <c r="AJ142">
        <f t="shared" si="30"/>
        <v>5</v>
      </c>
    </row>
    <row r="143" spans="2:36" x14ac:dyDescent="0.2">
      <c r="B143" s="90">
        <f t="shared" si="33"/>
        <v>47209</v>
      </c>
      <c r="C143" s="83">
        <v>4.2184389998975309</v>
      </c>
      <c r="D143" s="83">
        <v>4.1029726757542759</v>
      </c>
      <c r="E143" s="91">
        <f t="shared" si="31"/>
        <v>2029</v>
      </c>
      <c r="K143" s="17">
        <f t="shared" si="34"/>
        <v>4</v>
      </c>
      <c r="L143" s="112">
        <f t="shared" si="35"/>
        <v>2029</v>
      </c>
      <c r="M143" s="86">
        <f t="shared" si="32"/>
        <v>47209</v>
      </c>
      <c r="N143" s="87">
        <v>40.350639999999999</v>
      </c>
      <c r="O143" s="87">
        <v>42.745280000000001</v>
      </c>
      <c r="P143" s="87">
        <v>36.0062</v>
      </c>
      <c r="Q143" s="88">
        <v>40.778179999999999</v>
      </c>
      <c r="S143" s="109">
        <v>41.871013333333337</v>
      </c>
      <c r="T143" s="111">
        <f t="shared" si="36"/>
        <v>1.0208799978091445</v>
      </c>
      <c r="U143" s="111">
        <f t="shared" si="37"/>
        <v>0.97390000273856903</v>
      </c>
      <c r="AD143" s="209" t="str">
        <f t="shared" si="27"/>
        <v>Winter</v>
      </c>
      <c r="AE143">
        <f t="shared" si="28"/>
        <v>10</v>
      </c>
      <c r="AF143" s="207">
        <v>47027</v>
      </c>
      <c r="AG143" s="208">
        <v>416</v>
      </c>
      <c r="AH143" s="208">
        <v>328</v>
      </c>
      <c r="AI143">
        <f t="shared" si="29"/>
        <v>26</v>
      </c>
      <c r="AJ143">
        <f t="shared" si="30"/>
        <v>5</v>
      </c>
    </row>
    <row r="144" spans="2:36" x14ac:dyDescent="0.2">
      <c r="B144" s="90">
        <f t="shared" si="33"/>
        <v>47239</v>
      </c>
      <c r="C144" s="83">
        <v>4.1445584793523924</v>
      </c>
      <c r="D144" s="83">
        <v>4.1175656176679487</v>
      </c>
      <c r="E144" s="91">
        <f t="shared" si="31"/>
        <v>2029</v>
      </c>
      <c r="K144" s="17">
        <f t="shared" si="34"/>
        <v>5</v>
      </c>
      <c r="L144" s="112">
        <f t="shared" si="35"/>
        <v>2029</v>
      </c>
      <c r="M144" s="86">
        <f t="shared" si="32"/>
        <v>47239</v>
      </c>
      <c r="N144" s="87">
        <v>31.642769999999999</v>
      </c>
      <c r="O144" s="87">
        <v>43.345010000000002</v>
      </c>
      <c r="P144" s="87">
        <v>28.233740000000001</v>
      </c>
      <c r="Q144" s="88">
        <v>39.912529999999997</v>
      </c>
      <c r="S144" s="109">
        <v>41.83176612903226</v>
      </c>
      <c r="T144" s="111">
        <f t="shared" si="36"/>
        <v>1.0361745154698958</v>
      </c>
      <c r="U144" s="111">
        <f t="shared" si="37"/>
        <v>0.95412012672110758</v>
      </c>
      <c r="AD144" s="209" t="str">
        <f t="shared" si="27"/>
        <v>Winter</v>
      </c>
      <c r="AE144">
        <f t="shared" si="28"/>
        <v>11</v>
      </c>
      <c r="AF144" s="207">
        <v>47058</v>
      </c>
      <c r="AG144" s="208">
        <v>400</v>
      </c>
      <c r="AH144" s="208">
        <v>320</v>
      </c>
      <c r="AI144">
        <f t="shared" si="29"/>
        <v>25</v>
      </c>
      <c r="AJ144">
        <f t="shared" si="30"/>
        <v>5</v>
      </c>
    </row>
    <row r="145" spans="2:36" x14ac:dyDescent="0.2">
      <c r="B145" s="90">
        <f t="shared" si="33"/>
        <v>47270</v>
      </c>
      <c r="C145" s="83">
        <v>4.2577872937801002</v>
      </c>
      <c r="D145" s="83">
        <v>4.2049685736526676</v>
      </c>
      <c r="E145" s="91">
        <f t="shared" si="31"/>
        <v>2029</v>
      </c>
      <c r="K145" s="17">
        <f t="shared" si="34"/>
        <v>6</v>
      </c>
      <c r="L145" s="112">
        <f t="shared" si="35"/>
        <v>2029</v>
      </c>
      <c r="M145" s="86">
        <f t="shared" si="32"/>
        <v>47270</v>
      </c>
      <c r="N145" s="87">
        <v>34.539760000000001</v>
      </c>
      <c r="O145" s="87">
        <v>53.630279999999999</v>
      </c>
      <c r="P145" s="87">
        <v>29.107600000000001</v>
      </c>
      <c r="Q145" s="88">
        <v>43.415909999999997</v>
      </c>
      <c r="S145" s="109">
        <v>49.317545999999993</v>
      </c>
      <c r="T145" s="111">
        <f t="shared" si="36"/>
        <v>1.0874482684114088</v>
      </c>
      <c r="U145" s="111">
        <f t="shared" si="37"/>
        <v>0.88033394848965119</v>
      </c>
      <c r="AD145" s="209" t="str">
        <f t="shared" si="27"/>
        <v>Winter</v>
      </c>
      <c r="AE145">
        <f t="shared" si="28"/>
        <v>12</v>
      </c>
      <c r="AF145" s="207">
        <v>47088</v>
      </c>
      <c r="AG145" s="208">
        <v>400</v>
      </c>
      <c r="AH145" s="208">
        <v>344</v>
      </c>
      <c r="AI145">
        <f t="shared" si="29"/>
        <v>25</v>
      </c>
      <c r="AJ145">
        <f t="shared" si="30"/>
        <v>6</v>
      </c>
    </row>
    <row r="146" spans="2:36" x14ac:dyDescent="0.2">
      <c r="B146" s="90">
        <f t="shared" si="33"/>
        <v>47300</v>
      </c>
      <c r="C146" s="83">
        <v>4.5353772107797932</v>
      </c>
      <c r="D146" s="83">
        <v>4.5982045278352386</v>
      </c>
      <c r="E146" s="91">
        <f t="shared" si="31"/>
        <v>2029</v>
      </c>
      <c r="K146" s="17">
        <f t="shared" si="34"/>
        <v>7</v>
      </c>
      <c r="L146" s="112">
        <f t="shared" si="35"/>
        <v>2029</v>
      </c>
      <c r="M146" s="86">
        <f t="shared" si="32"/>
        <v>47300</v>
      </c>
      <c r="N146" s="87">
        <v>54.72907</v>
      </c>
      <c r="O146" s="87">
        <v>63.405589999999997</v>
      </c>
      <c r="P146" s="87">
        <v>44.962420000000002</v>
      </c>
      <c r="Q146" s="88">
        <v>50.699039999999997</v>
      </c>
      <c r="S146" s="109">
        <v>57.530518494623649</v>
      </c>
      <c r="T146" s="111">
        <f t="shared" si="36"/>
        <v>1.1021209552617779</v>
      </c>
      <c r="U146" s="111">
        <f t="shared" si="37"/>
        <v>0.88125470318397936</v>
      </c>
      <c r="AD146" s="209" t="str">
        <f t="shared" si="27"/>
        <v>Winter</v>
      </c>
      <c r="AE146">
        <f t="shared" si="28"/>
        <v>1</v>
      </c>
      <c r="AF146" s="207">
        <v>47119</v>
      </c>
      <c r="AG146" s="208">
        <v>416</v>
      </c>
      <c r="AH146" s="208">
        <v>328</v>
      </c>
      <c r="AI146">
        <f t="shared" si="29"/>
        <v>26</v>
      </c>
      <c r="AJ146">
        <f t="shared" si="30"/>
        <v>5</v>
      </c>
    </row>
    <row r="147" spans="2:36" x14ac:dyDescent="0.2">
      <c r="B147" s="90">
        <f t="shared" si="33"/>
        <v>47331</v>
      </c>
      <c r="C147" s="83">
        <v>4.622168890255149</v>
      </c>
      <c r="D147" s="83">
        <v>4.6418802232447121</v>
      </c>
      <c r="E147" s="91">
        <f t="shared" si="31"/>
        <v>2029</v>
      </c>
      <c r="K147" s="17">
        <f t="shared" si="34"/>
        <v>8</v>
      </c>
      <c r="L147" s="112">
        <f t="shared" si="35"/>
        <v>2029</v>
      </c>
      <c r="M147" s="86">
        <f t="shared" si="32"/>
        <v>47331</v>
      </c>
      <c r="N147" s="87">
        <v>60.43777</v>
      </c>
      <c r="O147" s="87">
        <v>65.786450000000002</v>
      </c>
      <c r="P147" s="87">
        <v>50.035499999999999</v>
      </c>
      <c r="Q147" s="88">
        <v>52.394880000000001</v>
      </c>
      <c r="S147" s="109">
        <v>60.170630322580649</v>
      </c>
      <c r="T147" s="111">
        <f t="shared" si="36"/>
        <v>1.0933315746787493</v>
      </c>
      <c r="U147" s="111">
        <f t="shared" si="37"/>
        <v>0.87077166582942389</v>
      </c>
      <c r="AD147" s="209" t="str">
        <f t="shared" si="27"/>
        <v>Winter</v>
      </c>
      <c r="AE147">
        <f t="shared" si="28"/>
        <v>2</v>
      </c>
      <c r="AF147" s="207">
        <v>47150</v>
      </c>
      <c r="AG147" s="208">
        <v>384</v>
      </c>
      <c r="AH147" s="208">
        <v>288</v>
      </c>
      <c r="AI147">
        <f t="shared" si="29"/>
        <v>24</v>
      </c>
      <c r="AJ147">
        <f t="shared" si="30"/>
        <v>4</v>
      </c>
    </row>
    <row r="148" spans="2:36" x14ac:dyDescent="0.2">
      <c r="B148" s="90">
        <f t="shared" si="33"/>
        <v>47362</v>
      </c>
      <c r="C148" s="83">
        <v>4.4749201967414693</v>
      </c>
      <c r="D148" s="83">
        <v>4.4889379415628987</v>
      </c>
      <c r="E148" s="91">
        <f t="shared" si="31"/>
        <v>2029</v>
      </c>
      <c r="K148" s="17">
        <f t="shared" si="34"/>
        <v>9</v>
      </c>
      <c r="L148" s="112">
        <f t="shared" si="35"/>
        <v>2029</v>
      </c>
      <c r="M148" s="86">
        <f t="shared" si="32"/>
        <v>47362</v>
      </c>
      <c r="N148" s="87">
        <v>58.242420000000003</v>
      </c>
      <c r="O148" s="87">
        <v>52.631599999999999</v>
      </c>
      <c r="P148" s="87">
        <v>52.986269999999998</v>
      </c>
      <c r="Q148" s="88">
        <v>46.936219999999999</v>
      </c>
      <c r="S148" s="109">
        <v>49.973756000000002</v>
      </c>
      <c r="T148" s="111">
        <f t="shared" si="36"/>
        <v>1.0531847956355331</v>
      </c>
      <c r="U148" s="111">
        <f t="shared" si="37"/>
        <v>0.93921737641653347</v>
      </c>
      <c r="AD148" s="209" t="str">
        <f t="shared" si="27"/>
        <v>Winter</v>
      </c>
      <c r="AE148">
        <f t="shared" si="28"/>
        <v>3</v>
      </c>
      <c r="AF148" s="207">
        <v>47178</v>
      </c>
      <c r="AG148" s="208">
        <v>432</v>
      </c>
      <c r="AH148" s="208">
        <v>312</v>
      </c>
      <c r="AI148">
        <f t="shared" si="29"/>
        <v>27</v>
      </c>
      <c r="AJ148">
        <f t="shared" si="30"/>
        <v>4</v>
      </c>
    </row>
    <row r="149" spans="2:36" x14ac:dyDescent="0.2">
      <c r="B149" s="90">
        <f t="shared" si="33"/>
        <v>47392</v>
      </c>
      <c r="C149" s="83">
        <v>4.549825412439799</v>
      </c>
      <c r="D149" s="83">
        <v>4.5909338394612895</v>
      </c>
      <c r="E149" s="91">
        <f t="shared" si="31"/>
        <v>2029</v>
      </c>
      <c r="K149" s="17">
        <f t="shared" si="34"/>
        <v>10</v>
      </c>
      <c r="L149" s="112">
        <f t="shared" si="35"/>
        <v>2029</v>
      </c>
      <c r="M149" s="86">
        <f t="shared" si="32"/>
        <v>47392</v>
      </c>
      <c r="N149" s="87">
        <v>46.242190000000001</v>
      </c>
      <c r="O149" s="87">
        <v>46.372770000000003</v>
      </c>
      <c r="P149" s="87">
        <v>38.691240000000001</v>
      </c>
      <c r="Q149" s="88">
        <v>42.181289999999997</v>
      </c>
      <c r="S149" s="109">
        <v>44.615052580645163</v>
      </c>
      <c r="T149" s="111">
        <f t="shared" si="36"/>
        <v>1.039397407773478</v>
      </c>
      <c r="U149" s="111">
        <f t="shared" si="37"/>
        <v>0.94544974308287655</v>
      </c>
      <c r="AD149" s="209" t="str">
        <f t="shared" si="27"/>
        <v>Winter</v>
      </c>
      <c r="AE149">
        <f t="shared" si="28"/>
        <v>4</v>
      </c>
      <c r="AF149" s="207">
        <v>47209</v>
      </c>
      <c r="AG149" s="208">
        <v>400</v>
      </c>
      <c r="AH149" s="208">
        <v>320</v>
      </c>
      <c r="AI149">
        <f t="shared" si="29"/>
        <v>25</v>
      </c>
      <c r="AJ149">
        <f t="shared" si="30"/>
        <v>5</v>
      </c>
    </row>
    <row r="150" spans="2:36" x14ac:dyDescent="0.2">
      <c r="B150" s="90">
        <f t="shared" si="33"/>
        <v>47423</v>
      </c>
      <c r="C150" s="83">
        <v>4.8289523721692795</v>
      </c>
      <c r="D150" s="83">
        <v>5.0206263658451578</v>
      </c>
      <c r="E150" s="91">
        <f t="shared" si="31"/>
        <v>2029</v>
      </c>
      <c r="K150" s="17">
        <f t="shared" si="34"/>
        <v>11</v>
      </c>
      <c r="L150" s="112">
        <f t="shared" si="35"/>
        <v>2029</v>
      </c>
      <c r="M150" s="86">
        <f t="shared" si="32"/>
        <v>47423</v>
      </c>
      <c r="N150" s="87">
        <v>48.208959999999998</v>
      </c>
      <c r="O150" s="87">
        <v>47.782640000000001</v>
      </c>
      <c r="P150" s="87">
        <v>41.934530000000002</v>
      </c>
      <c r="Q150" s="88">
        <v>43.869779999999999</v>
      </c>
      <c r="S150" s="109">
        <v>46.040576116504852</v>
      </c>
      <c r="T150" s="111">
        <f t="shared" si="36"/>
        <v>1.0378375778592972</v>
      </c>
      <c r="U150" s="111">
        <f t="shared" si="37"/>
        <v>0.95285037026878872</v>
      </c>
      <c r="AD150" s="209" t="str">
        <f t="shared" si="27"/>
        <v>Winter</v>
      </c>
      <c r="AE150">
        <f t="shared" si="28"/>
        <v>5</v>
      </c>
      <c r="AF150" s="207">
        <v>47239</v>
      </c>
      <c r="AG150" s="208">
        <v>416</v>
      </c>
      <c r="AH150" s="208">
        <v>328</v>
      </c>
      <c r="AI150">
        <f t="shared" si="29"/>
        <v>26</v>
      </c>
      <c r="AJ150">
        <f t="shared" si="30"/>
        <v>5</v>
      </c>
    </row>
    <row r="151" spans="2:36" x14ac:dyDescent="0.2">
      <c r="B151" s="92">
        <f t="shared" si="33"/>
        <v>47453</v>
      </c>
      <c r="C151" s="93">
        <v>5.2120858899477405</v>
      </c>
      <c r="D151" s="93">
        <v>5.5158066527603484</v>
      </c>
      <c r="E151" s="94">
        <f t="shared" si="31"/>
        <v>2029</v>
      </c>
      <c r="K151" s="17">
        <f t="shared" si="34"/>
        <v>12</v>
      </c>
      <c r="L151" s="112">
        <f t="shared" si="35"/>
        <v>2029</v>
      </c>
      <c r="M151" s="95">
        <f t="shared" si="32"/>
        <v>47453</v>
      </c>
      <c r="N151" s="96">
        <v>51.226680000000002</v>
      </c>
      <c r="O151" s="96">
        <v>50.495229999999999</v>
      </c>
      <c r="P151" s="96">
        <v>43.431820000000002</v>
      </c>
      <c r="Q151" s="97">
        <v>47.126829999999998</v>
      </c>
      <c r="S151" s="109">
        <v>48.937797741935483</v>
      </c>
      <c r="T151" s="111">
        <f t="shared" si="36"/>
        <v>1.0318247311878919</v>
      </c>
      <c r="U151" s="111">
        <f t="shared" si="37"/>
        <v>0.96299449861873043</v>
      </c>
      <c r="AD151" s="209" t="str">
        <f t="shared" si="27"/>
        <v>Summer</v>
      </c>
      <c r="AE151">
        <f t="shared" si="28"/>
        <v>6</v>
      </c>
      <c r="AF151" s="207">
        <v>47270</v>
      </c>
      <c r="AG151" s="208">
        <v>416</v>
      </c>
      <c r="AH151" s="208">
        <v>304</v>
      </c>
      <c r="AI151">
        <f t="shared" si="29"/>
        <v>26</v>
      </c>
      <c r="AJ151">
        <f t="shared" si="30"/>
        <v>4</v>
      </c>
    </row>
    <row r="152" spans="2:36" x14ac:dyDescent="0.2">
      <c r="B152" s="266">
        <f t="shared" si="33"/>
        <v>47484</v>
      </c>
      <c r="C152" s="83">
        <v>5.2197711035966803</v>
      </c>
      <c r="D152" s="83">
        <v>5.4950258909539524</v>
      </c>
      <c r="E152" s="265">
        <f t="shared" si="31"/>
        <v>2030</v>
      </c>
      <c r="K152" s="17">
        <f t="shared" si="34"/>
        <v>1</v>
      </c>
      <c r="L152" s="112">
        <f t="shared" si="35"/>
        <v>2030</v>
      </c>
      <c r="M152" s="86">
        <f t="shared" si="32"/>
        <v>47484</v>
      </c>
      <c r="N152" s="264">
        <v>50.442999999999998</v>
      </c>
      <c r="O152" s="264">
        <v>50.672330000000002</v>
      </c>
      <c r="P152" s="264">
        <v>42.329900000000002</v>
      </c>
      <c r="Q152" s="263">
        <v>46.593290000000003</v>
      </c>
      <c r="S152" s="109">
        <v>48.874043548387093</v>
      </c>
      <c r="T152" s="111">
        <f t="shared" si="36"/>
        <v>1.0367943047280821</v>
      </c>
      <c r="U152" s="111">
        <f t="shared" si="37"/>
        <v>0.9533340525399937</v>
      </c>
      <c r="AD152" s="209" t="str">
        <f t="shared" si="27"/>
        <v>Summer</v>
      </c>
      <c r="AE152">
        <f t="shared" si="28"/>
        <v>7</v>
      </c>
      <c r="AF152" s="207">
        <v>47300</v>
      </c>
      <c r="AG152" s="208">
        <v>400</v>
      </c>
      <c r="AH152" s="208">
        <v>344</v>
      </c>
      <c r="AI152">
        <f t="shared" si="29"/>
        <v>25</v>
      </c>
      <c r="AJ152">
        <f t="shared" si="30"/>
        <v>6</v>
      </c>
    </row>
    <row r="153" spans="2:36" x14ac:dyDescent="0.2">
      <c r="B153" s="90">
        <f t="shared" si="33"/>
        <v>47515</v>
      </c>
      <c r="C153" s="83">
        <v>5.0410642688800085</v>
      </c>
      <c r="D153" s="83">
        <v>5.2792256721952242</v>
      </c>
      <c r="E153" s="91">
        <f t="shared" si="31"/>
        <v>2030</v>
      </c>
      <c r="K153" s="17">
        <f t="shared" si="34"/>
        <v>2</v>
      </c>
      <c r="L153" s="112">
        <f t="shared" si="35"/>
        <v>2030</v>
      </c>
      <c r="M153" s="86">
        <f t="shared" si="32"/>
        <v>47515</v>
      </c>
      <c r="N153" s="87">
        <v>50.11533</v>
      </c>
      <c r="O153" s="87">
        <v>49.090330000000002</v>
      </c>
      <c r="P153" s="87">
        <v>45.223059999999997</v>
      </c>
      <c r="Q153" s="88">
        <v>46.513460000000002</v>
      </c>
      <c r="S153" s="109">
        <v>47.985957142857146</v>
      </c>
      <c r="T153" s="111">
        <f t="shared" si="36"/>
        <v>1.0230145009685869</v>
      </c>
      <c r="U153" s="111">
        <f t="shared" si="37"/>
        <v>0.96931399870855073</v>
      </c>
      <c r="AD153" s="209" t="str">
        <f t="shared" si="27"/>
        <v>Summer</v>
      </c>
      <c r="AE153">
        <f t="shared" si="28"/>
        <v>8</v>
      </c>
      <c r="AF153" s="207">
        <v>47331</v>
      </c>
      <c r="AG153" s="208">
        <v>432</v>
      </c>
      <c r="AH153" s="208">
        <v>312</v>
      </c>
      <c r="AI153">
        <f t="shared" si="29"/>
        <v>27</v>
      </c>
      <c r="AJ153">
        <f t="shared" si="30"/>
        <v>4</v>
      </c>
    </row>
    <row r="154" spans="2:36" x14ac:dyDescent="0.2">
      <c r="B154" s="90">
        <f t="shared" si="33"/>
        <v>47543</v>
      </c>
      <c r="C154" s="83">
        <v>4.8950452095501591</v>
      </c>
      <c r="D154" s="83">
        <v>4.9294075875932597</v>
      </c>
      <c r="E154" s="91">
        <f t="shared" si="31"/>
        <v>2030</v>
      </c>
      <c r="K154" s="17">
        <f t="shared" si="34"/>
        <v>3</v>
      </c>
      <c r="L154" s="112">
        <f t="shared" si="35"/>
        <v>2030</v>
      </c>
      <c r="M154" s="86">
        <f t="shared" si="32"/>
        <v>47543</v>
      </c>
      <c r="N154" s="87">
        <v>43.002110000000002</v>
      </c>
      <c r="O154" s="87">
        <v>43.900410000000001</v>
      </c>
      <c r="P154" s="87">
        <v>37.936549999999997</v>
      </c>
      <c r="Q154" s="88">
        <v>42.837440000000001</v>
      </c>
      <c r="S154" s="109">
        <v>43.432588748317634</v>
      </c>
      <c r="T154" s="111">
        <f t="shared" si="36"/>
        <v>1.0107712034940697</v>
      </c>
      <c r="U154" s="111">
        <f t="shared" si="37"/>
        <v>0.98629718454577064</v>
      </c>
      <c r="AD154" s="209" t="str">
        <f t="shared" si="27"/>
        <v>Summer</v>
      </c>
      <c r="AE154">
        <f t="shared" si="28"/>
        <v>9</v>
      </c>
      <c r="AF154" s="207">
        <v>47362</v>
      </c>
      <c r="AG154" s="208">
        <v>384</v>
      </c>
      <c r="AH154" s="208">
        <v>336</v>
      </c>
      <c r="AI154">
        <f t="shared" si="29"/>
        <v>24</v>
      </c>
      <c r="AJ154">
        <f t="shared" si="30"/>
        <v>6</v>
      </c>
    </row>
    <row r="155" spans="2:36" x14ac:dyDescent="0.2">
      <c r="B155" s="90">
        <f t="shared" si="33"/>
        <v>47574</v>
      </c>
      <c r="C155" s="83">
        <v>4.6204269084947232</v>
      </c>
      <c r="D155" s="83">
        <v>4.5348825042663705</v>
      </c>
      <c r="E155" s="91">
        <f t="shared" si="31"/>
        <v>2030</v>
      </c>
      <c r="K155" s="17">
        <f t="shared" si="34"/>
        <v>4</v>
      </c>
      <c r="L155" s="112">
        <f t="shared" si="35"/>
        <v>2030</v>
      </c>
      <c r="M155" s="86">
        <f t="shared" si="32"/>
        <v>47574</v>
      </c>
      <c r="N155" s="87">
        <v>39.666879999999999</v>
      </c>
      <c r="O155" s="87">
        <v>44.043570000000003</v>
      </c>
      <c r="P155" s="87">
        <v>35.374119999999998</v>
      </c>
      <c r="Q155" s="88">
        <v>41.713099999999997</v>
      </c>
      <c r="S155" s="109">
        <v>43.059593777777778</v>
      </c>
      <c r="T155" s="111">
        <f t="shared" si="36"/>
        <v>1.0228514980262084</v>
      </c>
      <c r="U155" s="111">
        <f t="shared" si="37"/>
        <v>0.96872952901676745</v>
      </c>
      <c r="AD155" s="209" t="str">
        <f t="shared" si="27"/>
        <v>Winter</v>
      </c>
      <c r="AE155">
        <f t="shared" si="28"/>
        <v>10</v>
      </c>
      <c r="AF155" s="207">
        <v>47392</v>
      </c>
      <c r="AG155" s="208">
        <v>432</v>
      </c>
      <c r="AH155" s="208">
        <v>312</v>
      </c>
      <c r="AI155">
        <f t="shared" si="29"/>
        <v>27</v>
      </c>
      <c r="AJ155">
        <f t="shared" si="30"/>
        <v>4</v>
      </c>
    </row>
    <row r="156" spans="2:36" x14ac:dyDescent="0.2">
      <c r="B156" s="90">
        <f t="shared" si="33"/>
        <v>47604</v>
      </c>
      <c r="C156" s="83">
        <v>4.5613019981555496</v>
      </c>
      <c r="D156" s="83">
        <v>4.5572102210459473</v>
      </c>
      <c r="E156" s="91">
        <f t="shared" si="31"/>
        <v>2030</v>
      </c>
      <c r="K156" s="17">
        <f t="shared" si="34"/>
        <v>5</v>
      </c>
      <c r="L156" s="112">
        <f t="shared" si="35"/>
        <v>2030</v>
      </c>
      <c r="M156" s="86">
        <f t="shared" si="32"/>
        <v>47604</v>
      </c>
      <c r="N156" s="87">
        <v>34.523310000000002</v>
      </c>
      <c r="O156" s="87">
        <v>46.884129999999999</v>
      </c>
      <c r="P156" s="87">
        <v>31.050909999999998</v>
      </c>
      <c r="Q156" s="88">
        <v>43.460949999999997</v>
      </c>
      <c r="S156" s="109">
        <v>45.374986129032258</v>
      </c>
      <c r="T156" s="111">
        <f t="shared" si="36"/>
        <v>1.033259379224408</v>
      </c>
      <c r="U156" s="111">
        <f t="shared" si="37"/>
        <v>0.95781737269099454</v>
      </c>
      <c r="AD156" s="209" t="str">
        <f t="shared" si="27"/>
        <v>Winter</v>
      </c>
      <c r="AE156">
        <f t="shared" si="28"/>
        <v>11</v>
      </c>
      <c r="AF156" s="207">
        <v>47423</v>
      </c>
      <c r="AG156" s="208">
        <v>400</v>
      </c>
      <c r="AH156" s="208">
        <v>320</v>
      </c>
      <c r="AI156">
        <f t="shared" si="29"/>
        <v>25</v>
      </c>
      <c r="AJ156">
        <f t="shared" si="30"/>
        <v>5</v>
      </c>
    </row>
    <row r="157" spans="2:36" x14ac:dyDescent="0.2">
      <c r="B157" s="90">
        <f t="shared" si="33"/>
        <v>47635</v>
      </c>
      <c r="C157" s="83">
        <v>4.6327232503330258</v>
      </c>
      <c r="D157" s="83">
        <v>4.61676798751341</v>
      </c>
      <c r="E157" s="91">
        <f t="shared" si="31"/>
        <v>2030</v>
      </c>
      <c r="K157" s="17">
        <f t="shared" si="34"/>
        <v>6</v>
      </c>
      <c r="L157" s="112">
        <f t="shared" si="35"/>
        <v>2030</v>
      </c>
      <c r="M157" s="86">
        <f t="shared" si="32"/>
        <v>47635</v>
      </c>
      <c r="N157" s="87">
        <v>38.073639999999997</v>
      </c>
      <c r="O157" s="87">
        <v>57.414859999999997</v>
      </c>
      <c r="P157" s="87">
        <v>32.442019999999999</v>
      </c>
      <c r="Q157" s="88">
        <v>47.52299</v>
      </c>
      <c r="S157" s="109">
        <v>53.018473333333333</v>
      </c>
      <c r="T157" s="111">
        <f t="shared" si="36"/>
        <v>1.0829217891474556</v>
      </c>
      <c r="U157" s="111">
        <f t="shared" si="37"/>
        <v>0.89634776356568047</v>
      </c>
      <c r="AD157" s="209" t="str">
        <f t="shared" si="27"/>
        <v>Winter</v>
      </c>
      <c r="AE157">
        <f t="shared" si="28"/>
        <v>12</v>
      </c>
      <c r="AF157" s="207">
        <v>47453</v>
      </c>
      <c r="AG157" s="208">
        <v>400</v>
      </c>
      <c r="AH157" s="208">
        <v>344</v>
      </c>
      <c r="AI157">
        <f t="shared" si="29"/>
        <v>25</v>
      </c>
      <c r="AJ157">
        <f t="shared" si="30"/>
        <v>6</v>
      </c>
    </row>
    <row r="158" spans="2:36" x14ac:dyDescent="0.2">
      <c r="B158" s="90">
        <f t="shared" si="33"/>
        <v>47665</v>
      </c>
      <c r="C158" s="83">
        <v>5.0198530792089358</v>
      </c>
      <c r="D158" s="83">
        <v>5.1005523727928352</v>
      </c>
      <c r="E158" s="91">
        <f t="shared" si="31"/>
        <v>2030</v>
      </c>
      <c r="K158" s="17">
        <f t="shared" si="34"/>
        <v>7</v>
      </c>
      <c r="L158" s="112">
        <f t="shared" si="35"/>
        <v>2030</v>
      </c>
      <c r="M158" s="86">
        <f t="shared" si="32"/>
        <v>47665</v>
      </c>
      <c r="N158" s="87">
        <v>58.800040000000003</v>
      </c>
      <c r="O158" s="87">
        <v>68.543779999999998</v>
      </c>
      <c r="P158" s="87">
        <v>48.299370000000003</v>
      </c>
      <c r="Q158" s="88">
        <v>54.785310000000003</v>
      </c>
      <c r="S158" s="109">
        <v>62.478217956989241</v>
      </c>
      <c r="T158" s="111">
        <f t="shared" si="36"/>
        <v>1.0970828272852846</v>
      </c>
      <c r="U158" s="111">
        <f t="shared" si="37"/>
        <v>0.87687056051622458</v>
      </c>
      <c r="AD158" s="209" t="str">
        <f t="shared" si="27"/>
        <v>Winter</v>
      </c>
      <c r="AE158">
        <f t="shared" si="28"/>
        <v>1</v>
      </c>
      <c r="AF158" s="207">
        <v>47484</v>
      </c>
      <c r="AG158" s="208">
        <v>416</v>
      </c>
      <c r="AH158" s="208">
        <v>328</v>
      </c>
      <c r="AI158">
        <f t="shared" si="29"/>
        <v>26</v>
      </c>
      <c r="AJ158">
        <f t="shared" si="30"/>
        <v>5</v>
      </c>
    </row>
    <row r="159" spans="2:36" x14ac:dyDescent="0.2">
      <c r="B159" s="90">
        <f t="shared" si="33"/>
        <v>47696</v>
      </c>
      <c r="C159" s="83">
        <v>5.0642223793421453</v>
      </c>
      <c r="D159" s="83">
        <v>5.1452593715177617</v>
      </c>
      <c r="E159" s="91">
        <f t="shared" si="31"/>
        <v>2030</v>
      </c>
      <c r="K159" s="17">
        <f t="shared" si="34"/>
        <v>8</v>
      </c>
      <c r="L159" s="112">
        <f t="shared" si="35"/>
        <v>2030</v>
      </c>
      <c r="M159" s="86">
        <f t="shared" si="32"/>
        <v>47696</v>
      </c>
      <c r="N159" s="87">
        <v>64.037930000000003</v>
      </c>
      <c r="O159" s="87">
        <v>69.905649999999994</v>
      </c>
      <c r="P159" s="87">
        <v>52.930770000000003</v>
      </c>
      <c r="Q159" s="88">
        <v>56.316540000000003</v>
      </c>
      <c r="S159" s="109">
        <v>64.206990967741916</v>
      </c>
      <c r="T159" s="111">
        <f t="shared" si="36"/>
        <v>1.0887544945864405</v>
      </c>
      <c r="U159" s="111">
        <f t="shared" si="37"/>
        <v>0.87710916134185235</v>
      </c>
      <c r="AD159" s="209" t="str">
        <f t="shared" si="27"/>
        <v>Winter</v>
      </c>
      <c r="AE159">
        <f t="shared" si="28"/>
        <v>2</v>
      </c>
      <c r="AF159" s="207">
        <v>47515</v>
      </c>
      <c r="AG159" s="208">
        <v>384</v>
      </c>
      <c r="AH159" s="208">
        <v>288</v>
      </c>
      <c r="AI159">
        <f t="shared" si="29"/>
        <v>24</v>
      </c>
      <c r="AJ159">
        <f t="shared" si="30"/>
        <v>4</v>
      </c>
    </row>
    <row r="160" spans="2:36" x14ac:dyDescent="0.2">
      <c r="B160" s="90">
        <f t="shared" si="33"/>
        <v>47727</v>
      </c>
      <c r="C160" s="83">
        <v>5.0025357311199921</v>
      </c>
      <c r="D160" s="83">
        <v>5.0261438385828363</v>
      </c>
      <c r="E160" s="91">
        <f t="shared" si="31"/>
        <v>2030</v>
      </c>
      <c r="K160" s="17">
        <f t="shared" si="34"/>
        <v>9</v>
      </c>
      <c r="L160" s="112">
        <f t="shared" si="35"/>
        <v>2030</v>
      </c>
      <c r="M160" s="86">
        <f t="shared" si="32"/>
        <v>47727</v>
      </c>
      <c r="N160" s="87">
        <v>64.17886</v>
      </c>
      <c r="O160" s="87">
        <v>59.073050000000002</v>
      </c>
      <c r="P160" s="87">
        <v>57.403820000000003</v>
      </c>
      <c r="Q160" s="88">
        <v>52.531309999999998</v>
      </c>
      <c r="S160" s="109">
        <v>56.020237999999999</v>
      </c>
      <c r="T160" s="111">
        <f t="shared" si="36"/>
        <v>1.0544948059663724</v>
      </c>
      <c r="U160" s="111">
        <f t="shared" si="37"/>
        <v>0.9377202217527173</v>
      </c>
      <c r="AD160" s="209" t="str">
        <f t="shared" si="27"/>
        <v>Winter</v>
      </c>
      <c r="AE160">
        <f t="shared" si="28"/>
        <v>3</v>
      </c>
      <c r="AF160" s="207">
        <v>47543</v>
      </c>
      <c r="AG160" s="208">
        <v>416</v>
      </c>
      <c r="AH160" s="208">
        <v>328</v>
      </c>
      <c r="AI160">
        <f t="shared" si="29"/>
        <v>26</v>
      </c>
      <c r="AJ160">
        <f t="shared" si="30"/>
        <v>5</v>
      </c>
    </row>
    <row r="161" spans="2:36" x14ac:dyDescent="0.2">
      <c r="B161" s="90">
        <f t="shared" si="33"/>
        <v>47757</v>
      </c>
      <c r="C161" s="83">
        <v>5.0346086894148998</v>
      </c>
      <c r="D161" s="83">
        <v>5.0633738882707213</v>
      </c>
      <c r="E161" s="91">
        <f t="shared" si="31"/>
        <v>2030</v>
      </c>
      <c r="K161" s="17">
        <f t="shared" si="34"/>
        <v>10</v>
      </c>
      <c r="L161" s="112">
        <f t="shared" si="35"/>
        <v>2030</v>
      </c>
      <c r="M161" s="86">
        <f t="shared" si="32"/>
        <v>47757</v>
      </c>
      <c r="N161" s="87">
        <v>53.488630000000001</v>
      </c>
      <c r="O161" s="87">
        <v>51.66986</v>
      </c>
      <c r="P161" s="87">
        <v>44.955449999999999</v>
      </c>
      <c r="Q161" s="88">
        <v>47.139420000000001</v>
      </c>
      <c r="S161" s="109">
        <v>49.769998064516123</v>
      </c>
      <c r="T161" s="111">
        <f t="shared" si="36"/>
        <v>1.0381728352293909</v>
      </c>
      <c r="U161" s="111">
        <f t="shared" si="37"/>
        <v>0.94714530506699757</v>
      </c>
      <c r="AD161" s="209" t="str">
        <f t="shared" si="27"/>
        <v>Winter</v>
      </c>
      <c r="AE161">
        <f t="shared" si="28"/>
        <v>4</v>
      </c>
      <c r="AF161" s="207">
        <v>47574</v>
      </c>
      <c r="AG161" s="208">
        <v>416</v>
      </c>
      <c r="AH161" s="208">
        <v>304</v>
      </c>
      <c r="AI161">
        <f t="shared" si="29"/>
        <v>26</v>
      </c>
      <c r="AJ161">
        <f t="shared" si="30"/>
        <v>4</v>
      </c>
    </row>
    <row r="162" spans="2:36" x14ac:dyDescent="0.2">
      <c r="B162" s="90">
        <f t="shared" si="33"/>
        <v>47788</v>
      </c>
      <c r="C162" s="83">
        <v>5.4237879085971921</v>
      </c>
      <c r="D162" s="83">
        <v>5.5248305567705698</v>
      </c>
      <c r="E162" s="91">
        <f t="shared" si="31"/>
        <v>2030</v>
      </c>
      <c r="K162" s="17">
        <f t="shared" si="34"/>
        <v>11</v>
      </c>
      <c r="L162" s="112">
        <f t="shared" si="35"/>
        <v>2030</v>
      </c>
      <c r="M162" s="86">
        <f t="shared" si="32"/>
        <v>47788</v>
      </c>
      <c r="N162" s="87">
        <v>52.11215</v>
      </c>
      <c r="O162" s="87">
        <v>50.398699999999998</v>
      </c>
      <c r="P162" s="87">
        <v>45.780380000000001</v>
      </c>
      <c r="Q162" s="88">
        <v>47.330820000000003</v>
      </c>
      <c r="S162" s="109">
        <v>49.03283386962552</v>
      </c>
      <c r="T162" s="111">
        <f t="shared" si="36"/>
        <v>1.0278561531647592</v>
      </c>
      <c r="U162" s="111">
        <f t="shared" si="37"/>
        <v>0.9652882826607363</v>
      </c>
      <c r="AD162" s="209" t="str">
        <f t="shared" si="27"/>
        <v>Winter</v>
      </c>
      <c r="AE162">
        <f t="shared" si="28"/>
        <v>5</v>
      </c>
      <c r="AF162" s="207">
        <v>47604</v>
      </c>
      <c r="AG162" s="208">
        <v>416</v>
      </c>
      <c r="AH162" s="208">
        <v>328</v>
      </c>
      <c r="AI162">
        <f t="shared" si="29"/>
        <v>26</v>
      </c>
      <c r="AJ162">
        <f t="shared" si="30"/>
        <v>5</v>
      </c>
    </row>
    <row r="163" spans="2:36" x14ac:dyDescent="0.2">
      <c r="B163" s="92">
        <f t="shared" si="33"/>
        <v>47818</v>
      </c>
      <c r="C163" s="93">
        <v>5.6823184957475155</v>
      </c>
      <c r="D163" s="93">
        <v>5.9193040749316861</v>
      </c>
      <c r="E163" s="94">
        <f t="shared" si="31"/>
        <v>2030</v>
      </c>
      <c r="K163" s="17">
        <f t="shared" si="34"/>
        <v>12</v>
      </c>
      <c r="L163" s="112">
        <f t="shared" si="35"/>
        <v>2030</v>
      </c>
      <c r="M163" s="95">
        <f t="shared" si="32"/>
        <v>47818</v>
      </c>
      <c r="N163" s="96">
        <v>54.117530000000002</v>
      </c>
      <c r="O163" s="96">
        <v>54.56709</v>
      </c>
      <c r="P163" s="96">
        <v>46.07938</v>
      </c>
      <c r="Q163" s="97">
        <v>50.820450000000001</v>
      </c>
      <c r="S163" s="109">
        <v>52.834772580645165</v>
      </c>
      <c r="T163" s="111">
        <f t="shared" si="36"/>
        <v>1.0327874491502862</v>
      </c>
      <c r="U163" s="111">
        <f t="shared" si="37"/>
        <v>0.96187505912757409</v>
      </c>
      <c r="AD163" s="209" t="str">
        <f t="shared" si="27"/>
        <v>Summer</v>
      </c>
      <c r="AE163">
        <f t="shared" si="28"/>
        <v>6</v>
      </c>
      <c r="AF163" s="207">
        <v>47635</v>
      </c>
      <c r="AG163" s="208">
        <v>400</v>
      </c>
      <c r="AH163" s="208">
        <v>320</v>
      </c>
      <c r="AI163">
        <f t="shared" si="29"/>
        <v>25</v>
      </c>
      <c r="AJ163">
        <f t="shared" si="30"/>
        <v>5</v>
      </c>
    </row>
    <row r="164" spans="2:36" x14ac:dyDescent="0.2">
      <c r="B164" s="266">
        <f t="shared" si="33"/>
        <v>47849</v>
      </c>
      <c r="C164" s="83">
        <v>5.7812015780305357</v>
      </c>
      <c r="D164" s="83">
        <v>5.9289467609311819</v>
      </c>
      <c r="E164" s="265">
        <f t="shared" si="31"/>
        <v>2031</v>
      </c>
      <c r="K164" s="17">
        <f t="shared" si="34"/>
        <v>1</v>
      </c>
      <c r="L164" s="112">
        <f t="shared" si="35"/>
        <v>2031</v>
      </c>
      <c r="M164" s="86">
        <f t="shared" si="32"/>
        <v>47849</v>
      </c>
      <c r="N164" s="264">
        <v>53.64687</v>
      </c>
      <c r="O164" s="264">
        <v>54.700049999999997</v>
      </c>
      <c r="P164" s="264">
        <v>45.707430000000002</v>
      </c>
      <c r="Q164" s="263">
        <v>50.800519999999999</v>
      </c>
      <c r="S164" s="109">
        <v>52.980902365591398</v>
      </c>
      <c r="T164" s="111">
        <f t="shared" si="36"/>
        <v>1.0324484400538467</v>
      </c>
      <c r="U164" s="111">
        <f t="shared" si="37"/>
        <v>0.95884588090731626</v>
      </c>
      <c r="AD164" s="209" t="str">
        <f t="shared" si="27"/>
        <v>Summer</v>
      </c>
      <c r="AE164">
        <f t="shared" si="28"/>
        <v>7</v>
      </c>
      <c r="AF164" s="207">
        <v>47665</v>
      </c>
      <c r="AG164" s="208">
        <v>416</v>
      </c>
      <c r="AH164" s="208">
        <v>328</v>
      </c>
      <c r="AI164">
        <f t="shared" si="29"/>
        <v>26</v>
      </c>
      <c r="AJ164">
        <f t="shared" si="30"/>
        <v>5</v>
      </c>
    </row>
    <row r="165" spans="2:36" x14ac:dyDescent="0.2">
      <c r="B165" s="90">
        <f t="shared" si="33"/>
        <v>47880</v>
      </c>
      <c r="C165" s="83">
        <v>5.5102721795265914</v>
      </c>
      <c r="D165" s="83">
        <v>5.7085572424186832</v>
      </c>
      <c r="E165" s="91">
        <f t="shared" si="31"/>
        <v>2031</v>
      </c>
      <c r="K165" s="17">
        <f t="shared" si="34"/>
        <v>2</v>
      </c>
      <c r="L165" s="112">
        <f t="shared" si="35"/>
        <v>2031</v>
      </c>
      <c r="M165" s="86">
        <f t="shared" si="32"/>
        <v>47880</v>
      </c>
      <c r="N165" s="87">
        <v>53.361579999999996</v>
      </c>
      <c r="O165" s="87">
        <v>52.78725</v>
      </c>
      <c r="P165" s="87">
        <v>48.362299999999998</v>
      </c>
      <c r="Q165" s="88">
        <v>50.227760000000004</v>
      </c>
      <c r="S165" s="109">
        <v>51.690325714285713</v>
      </c>
      <c r="T165" s="111">
        <f t="shared" si="36"/>
        <v>1.02122107513459</v>
      </c>
      <c r="U165" s="111">
        <f t="shared" si="37"/>
        <v>0.97170523315388013</v>
      </c>
      <c r="AD165" s="209" t="str">
        <f t="shared" si="27"/>
        <v>Summer</v>
      </c>
      <c r="AE165">
        <f t="shared" si="28"/>
        <v>8</v>
      </c>
      <c r="AF165" s="207">
        <v>47696</v>
      </c>
      <c r="AG165" s="208">
        <v>432</v>
      </c>
      <c r="AH165" s="208">
        <v>312</v>
      </c>
      <c r="AI165">
        <f t="shared" si="29"/>
        <v>27</v>
      </c>
      <c r="AJ165">
        <f t="shared" si="30"/>
        <v>4</v>
      </c>
    </row>
    <row r="166" spans="2:36" x14ac:dyDescent="0.2">
      <c r="B166" s="90">
        <f t="shared" si="33"/>
        <v>47908</v>
      </c>
      <c r="C166" s="83">
        <v>4.9210724664412338</v>
      </c>
      <c r="D166" s="83">
        <v>4.9410613150578895</v>
      </c>
      <c r="E166" s="91">
        <f t="shared" si="31"/>
        <v>2031</v>
      </c>
      <c r="K166" s="17">
        <f t="shared" si="34"/>
        <v>3</v>
      </c>
      <c r="L166" s="112">
        <f t="shared" si="35"/>
        <v>2031</v>
      </c>
      <c r="M166" s="86">
        <f t="shared" si="32"/>
        <v>47908</v>
      </c>
      <c r="N166" s="87">
        <v>42.719259999999998</v>
      </c>
      <c r="O166" s="87">
        <v>44.29025</v>
      </c>
      <c r="P166" s="87">
        <v>38.431649999999998</v>
      </c>
      <c r="Q166" s="88">
        <v>43.674230000000001</v>
      </c>
      <c r="S166" s="109">
        <v>44.019134872139972</v>
      </c>
      <c r="T166" s="111">
        <f t="shared" si="36"/>
        <v>1.0061590289915403</v>
      </c>
      <c r="U166" s="111">
        <f t="shared" si="37"/>
        <v>0.99216466036550244</v>
      </c>
      <c r="AD166" s="209" t="str">
        <f t="shared" si="27"/>
        <v>Summer</v>
      </c>
      <c r="AE166">
        <f t="shared" si="28"/>
        <v>9</v>
      </c>
      <c r="AF166" s="207">
        <v>47727</v>
      </c>
      <c r="AG166" s="208">
        <v>384</v>
      </c>
      <c r="AH166" s="208">
        <v>336</v>
      </c>
      <c r="AI166">
        <f t="shared" si="29"/>
        <v>24</v>
      </c>
      <c r="AJ166">
        <f t="shared" si="30"/>
        <v>6</v>
      </c>
    </row>
    <row r="167" spans="2:36" x14ac:dyDescent="0.2">
      <c r="B167" s="90">
        <f t="shared" si="33"/>
        <v>47939</v>
      </c>
      <c r="C167" s="83">
        <v>4.6406134030126047</v>
      </c>
      <c r="D167" s="83">
        <v>4.4850705541299458</v>
      </c>
      <c r="E167" s="91">
        <f t="shared" si="31"/>
        <v>2031</v>
      </c>
      <c r="K167" s="17">
        <f t="shared" si="34"/>
        <v>4</v>
      </c>
      <c r="L167" s="112">
        <f t="shared" si="35"/>
        <v>2031</v>
      </c>
      <c r="M167" s="86">
        <f t="shared" si="32"/>
        <v>47939</v>
      </c>
      <c r="N167" s="87">
        <v>39.81165</v>
      </c>
      <c r="O167" s="87">
        <v>45.527500000000003</v>
      </c>
      <c r="P167" s="87">
        <v>34.960450000000002</v>
      </c>
      <c r="Q167" s="88">
        <v>42.877380000000002</v>
      </c>
      <c r="S167" s="109">
        <v>44.40856044444444</v>
      </c>
      <c r="T167" s="111">
        <f t="shared" si="36"/>
        <v>1.0251964833887235</v>
      </c>
      <c r="U167" s="111">
        <f t="shared" si="37"/>
        <v>0.96552060167858944</v>
      </c>
      <c r="AD167" s="209" t="str">
        <f t="shared" si="27"/>
        <v>Winter</v>
      </c>
      <c r="AE167">
        <f t="shared" si="28"/>
        <v>10</v>
      </c>
      <c r="AF167" s="207">
        <v>47757</v>
      </c>
      <c r="AG167" s="208">
        <v>432</v>
      </c>
      <c r="AH167" s="208">
        <v>312</v>
      </c>
      <c r="AI167">
        <f t="shared" si="29"/>
        <v>27</v>
      </c>
      <c r="AJ167">
        <f t="shared" si="30"/>
        <v>4</v>
      </c>
    </row>
    <row r="168" spans="2:36" x14ac:dyDescent="0.2">
      <c r="B168" s="90">
        <f t="shared" si="33"/>
        <v>47969</v>
      </c>
      <c r="C168" s="83">
        <v>4.5667328824674653</v>
      </c>
      <c r="D168" s="83">
        <v>4.492702198664305</v>
      </c>
      <c r="E168" s="91">
        <f t="shared" si="31"/>
        <v>2031</v>
      </c>
      <c r="K168" s="17">
        <f t="shared" si="34"/>
        <v>5</v>
      </c>
      <c r="L168" s="112">
        <f t="shared" si="35"/>
        <v>2031</v>
      </c>
      <c r="M168" s="86">
        <f t="shared" si="32"/>
        <v>47969</v>
      </c>
      <c r="N168" s="87">
        <v>34.113169999999997</v>
      </c>
      <c r="O168" s="87">
        <v>49.583530000000003</v>
      </c>
      <c r="P168" s="87">
        <v>30.91751</v>
      </c>
      <c r="Q168" s="88">
        <v>46.071429999999999</v>
      </c>
      <c r="S168" s="109">
        <v>48.035184838709682</v>
      </c>
      <c r="T168" s="111">
        <f t="shared" si="36"/>
        <v>1.0322335630952453</v>
      </c>
      <c r="U168" s="111">
        <f t="shared" si="37"/>
        <v>0.95911840778163993</v>
      </c>
      <c r="AD168" s="209" t="str">
        <f t="shared" si="27"/>
        <v>Winter</v>
      </c>
      <c r="AE168">
        <f t="shared" si="28"/>
        <v>11</v>
      </c>
      <c r="AF168" s="207">
        <v>47788</v>
      </c>
      <c r="AG168" s="208">
        <v>400</v>
      </c>
      <c r="AH168" s="208">
        <v>320</v>
      </c>
      <c r="AI168">
        <f t="shared" si="29"/>
        <v>25</v>
      </c>
      <c r="AJ168">
        <f t="shared" si="30"/>
        <v>5</v>
      </c>
    </row>
    <row r="169" spans="2:36" x14ac:dyDescent="0.2">
      <c r="B169" s="90">
        <f t="shared" si="33"/>
        <v>48000</v>
      </c>
      <c r="C169" s="83">
        <v>4.6245256891074904</v>
      </c>
      <c r="D169" s="83">
        <v>4.5154940019358358</v>
      </c>
      <c r="E169" s="91">
        <f t="shared" si="31"/>
        <v>2031</v>
      </c>
      <c r="K169" s="17">
        <f t="shared" si="34"/>
        <v>6</v>
      </c>
      <c r="L169" s="112">
        <f t="shared" si="35"/>
        <v>2031</v>
      </c>
      <c r="M169" s="86">
        <f t="shared" si="32"/>
        <v>48000</v>
      </c>
      <c r="N169" s="87">
        <v>38.214849999999998</v>
      </c>
      <c r="O169" s="87">
        <v>59.37115</v>
      </c>
      <c r="P169" s="87">
        <v>32.81129</v>
      </c>
      <c r="Q169" s="88">
        <v>48.614660000000001</v>
      </c>
      <c r="S169" s="109">
        <v>54.590487777777781</v>
      </c>
      <c r="T169" s="111">
        <f t="shared" si="36"/>
        <v>1.0875731728517049</v>
      </c>
      <c r="U169" s="111">
        <f t="shared" si="37"/>
        <v>0.89053353393536872</v>
      </c>
      <c r="AD169" s="209" t="str">
        <f t="shared" si="27"/>
        <v>Winter</v>
      </c>
      <c r="AE169">
        <f t="shared" si="28"/>
        <v>12</v>
      </c>
      <c r="AF169" s="207">
        <v>47818</v>
      </c>
      <c r="AG169" s="208">
        <v>400</v>
      </c>
      <c r="AH169" s="208">
        <v>344</v>
      </c>
      <c r="AI169">
        <f t="shared" si="29"/>
        <v>25</v>
      </c>
      <c r="AJ169">
        <f t="shared" si="30"/>
        <v>6</v>
      </c>
    </row>
    <row r="170" spans="2:36" x14ac:dyDescent="0.2">
      <c r="B170" s="90">
        <f t="shared" si="33"/>
        <v>48030</v>
      </c>
      <c r="C170" s="83">
        <v>4.8234190183420438</v>
      </c>
      <c r="D170" s="83">
        <v>4.8574741813403506</v>
      </c>
      <c r="E170" s="91">
        <f t="shared" si="31"/>
        <v>2031</v>
      </c>
      <c r="K170" s="17">
        <f t="shared" si="34"/>
        <v>7</v>
      </c>
      <c r="L170" s="112">
        <f t="shared" si="35"/>
        <v>2031</v>
      </c>
      <c r="M170" s="86">
        <f t="shared" si="32"/>
        <v>48030</v>
      </c>
      <c r="N170" s="87">
        <v>57.897559999999999</v>
      </c>
      <c r="O170" s="87">
        <v>68.359830000000002</v>
      </c>
      <c r="P170" s="87">
        <v>47.654850000000003</v>
      </c>
      <c r="Q170" s="88">
        <v>55.002569999999999</v>
      </c>
      <c r="S170" s="109">
        <v>62.47114548387097</v>
      </c>
      <c r="T170" s="111">
        <f t="shared" si="36"/>
        <v>1.0942624706257291</v>
      </c>
      <c r="U170" s="111">
        <f t="shared" si="37"/>
        <v>0.88044759823078267</v>
      </c>
      <c r="AD170" s="209" t="str">
        <f t="shared" si="27"/>
        <v>Winter</v>
      </c>
      <c r="AE170">
        <f t="shared" si="28"/>
        <v>1</v>
      </c>
      <c r="AF170" s="207">
        <v>47849</v>
      </c>
      <c r="AG170" s="208">
        <v>416</v>
      </c>
      <c r="AH170" s="208">
        <v>328</v>
      </c>
      <c r="AI170">
        <f t="shared" si="29"/>
        <v>26</v>
      </c>
      <c r="AJ170">
        <f t="shared" si="30"/>
        <v>5</v>
      </c>
    </row>
    <row r="171" spans="2:36" x14ac:dyDescent="0.2">
      <c r="B171" s="90">
        <f t="shared" si="33"/>
        <v>48061</v>
      </c>
      <c r="C171" s="83">
        <v>4.9442305769033714</v>
      </c>
      <c r="D171" s="83">
        <v>4.9334296705235303</v>
      </c>
      <c r="E171" s="91">
        <f t="shared" si="31"/>
        <v>2031</v>
      </c>
      <c r="K171" s="17">
        <f t="shared" si="34"/>
        <v>8</v>
      </c>
      <c r="L171" s="112">
        <f t="shared" si="35"/>
        <v>2031</v>
      </c>
      <c r="M171" s="86">
        <f t="shared" si="32"/>
        <v>48061</v>
      </c>
      <c r="N171" s="87">
        <v>62.847650000000002</v>
      </c>
      <c r="O171" s="87">
        <v>70.046310000000005</v>
      </c>
      <c r="P171" s="87">
        <v>52.984789999999997</v>
      </c>
      <c r="Q171" s="88">
        <v>56.804729999999999</v>
      </c>
      <c r="S171" s="109">
        <v>64.208624193548388</v>
      </c>
      <c r="T171" s="111">
        <f t="shared" si="36"/>
        <v>1.0909174722207828</v>
      </c>
      <c r="U171" s="111">
        <f t="shared" si="37"/>
        <v>0.88469003523217793</v>
      </c>
      <c r="AD171" s="209" t="str">
        <f t="shared" si="27"/>
        <v>Winter</v>
      </c>
      <c r="AE171">
        <f t="shared" si="28"/>
        <v>2</v>
      </c>
      <c r="AF171" s="207">
        <v>47880</v>
      </c>
      <c r="AG171" s="208">
        <v>384</v>
      </c>
      <c r="AH171" s="208">
        <v>288</v>
      </c>
      <c r="AI171">
        <f t="shared" si="29"/>
        <v>24</v>
      </c>
      <c r="AJ171">
        <f t="shared" si="30"/>
        <v>4</v>
      </c>
    </row>
    <row r="172" spans="2:36" x14ac:dyDescent="0.2">
      <c r="B172" s="90">
        <f t="shared" si="33"/>
        <v>48092</v>
      </c>
      <c r="C172" s="83">
        <v>4.9266058202684704</v>
      </c>
      <c r="D172" s="83">
        <v>4.9106378672519995</v>
      </c>
      <c r="E172" s="91">
        <f t="shared" si="31"/>
        <v>2031</v>
      </c>
      <c r="K172" s="17">
        <f t="shared" si="34"/>
        <v>9</v>
      </c>
      <c r="L172" s="112">
        <f t="shared" si="35"/>
        <v>2031</v>
      </c>
      <c r="M172" s="86">
        <f t="shared" si="32"/>
        <v>48092</v>
      </c>
      <c r="N172" s="87">
        <v>63.949669999999998</v>
      </c>
      <c r="O172" s="87">
        <v>57.344340000000003</v>
      </c>
      <c r="P172" s="87">
        <v>57.889919999999996</v>
      </c>
      <c r="Q172" s="88">
        <v>51.164340000000003</v>
      </c>
      <c r="S172" s="109">
        <v>54.59767333333334</v>
      </c>
      <c r="T172" s="111">
        <f t="shared" si="36"/>
        <v>1.0503073940513459</v>
      </c>
      <c r="U172" s="111">
        <f t="shared" si="37"/>
        <v>0.93711575743581743</v>
      </c>
      <c r="AD172" s="209" t="str">
        <f t="shared" si="27"/>
        <v>Winter</v>
      </c>
      <c r="AE172">
        <f t="shared" si="28"/>
        <v>3</v>
      </c>
      <c r="AF172" s="207">
        <v>47908</v>
      </c>
      <c r="AG172" s="208">
        <v>416</v>
      </c>
      <c r="AH172" s="208">
        <v>328</v>
      </c>
      <c r="AI172">
        <f t="shared" si="29"/>
        <v>26</v>
      </c>
      <c r="AJ172">
        <f t="shared" si="30"/>
        <v>5</v>
      </c>
    </row>
    <row r="173" spans="2:36" x14ac:dyDescent="0.2">
      <c r="B173" s="90">
        <f t="shared" si="33"/>
        <v>48122</v>
      </c>
      <c r="C173" s="83">
        <v>4.9895221026744547</v>
      </c>
      <c r="D173" s="83">
        <v>4.9790132770665929</v>
      </c>
      <c r="E173" s="91">
        <f t="shared" si="31"/>
        <v>2031</v>
      </c>
      <c r="K173" s="17">
        <f t="shared" si="34"/>
        <v>10</v>
      </c>
      <c r="L173" s="112">
        <f t="shared" si="35"/>
        <v>2031</v>
      </c>
      <c r="M173" s="86">
        <f t="shared" si="32"/>
        <v>48122</v>
      </c>
      <c r="N173" s="87">
        <v>49.986269999999998</v>
      </c>
      <c r="O173" s="87">
        <v>50.137120000000003</v>
      </c>
      <c r="P173" s="87">
        <v>41.999870000000001</v>
      </c>
      <c r="Q173" s="88">
        <v>45.8645</v>
      </c>
      <c r="S173" s="109">
        <v>48.345376129032253</v>
      </c>
      <c r="T173" s="111">
        <f t="shared" si="36"/>
        <v>1.0370613285991537</v>
      </c>
      <c r="U173" s="111">
        <f t="shared" si="37"/>
        <v>0.9486843142473258</v>
      </c>
      <c r="AD173" s="209" t="str">
        <f t="shared" si="27"/>
        <v>Winter</v>
      </c>
      <c r="AE173">
        <f t="shared" si="28"/>
        <v>4</v>
      </c>
      <c r="AF173" s="207">
        <v>47939</v>
      </c>
      <c r="AG173" s="208">
        <v>416</v>
      </c>
      <c r="AH173" s="208">
        <v>304</v>
      </c>
      <c r="AI173">
        <f t="shared" si="29"/>
        <v>26</v>
      </c>
      <c r="AJ173">
        <f t="shared" si="30"/>
        <v>4</v>
      </c>
    </row>
    <row r="174" spans="2:36" x14ac:dyDescent="0.2">
      <c r="B174" s="90">
        <f t="shared" si="33"/>
        <v>48153</v>
      </c>
      <c r="C174" s="83">
        <v>5.2208982682651914</v>
      </c>
      <c r="D174" s="83">
        <v>5.3665770630141694</v>
      </c>
      <c r="E174" s="91">
        <f t="shared" si="31"/>
        <v>2031</v>
      </c>
      <c r="K174" s="17">
        <f t="shared" si="34"/>
        <v>11</v>
      </c>
      <c r="L174" s="112">
        <f t="shared" si="35"/>
        <v>2031</v>
      </c>
      <c r="M174" s="86">
        <f t="shared" si="32"/>
        <v>48153</v>
      </c>
      <c r="N174" s="87">
        <v>51.589480000000002</v>
      </c>
      <c r="O174" s="87">
        <v>49.623179999999998</v>
      </c>
      <c r="P174" s="87">
        <v>45.301549999999999</v>
      </c>
      <c r="Q174" s="88">
        <v>46.870199999999997</v>
      </c>
      <c r="S174" s="109">
        <v>48.336419583911237</v>
      </c>
      <c r="T174" s="111">
        <f t="shared" si="36"/>
        <v>1.0266209294599276</v>
      </c>
      <c r="U174" s="111">
        <f t="shared" si="37"/>
        <v>0.96966635930975598</v>
      </c>
      <c r="AD174" s="209" t="str">
        <f t="shared" si="27"/>
        <v>Winter</v>
      </c>
      <c r="AE174">
        <f t="shared" si="28"/>
        <v>5</v>
      </c>
      <c r="AF174" s="207">
        <v>47969</v>
      </c>
      <c r="AG174" s="208">
        <v>416</v>
      </c>
      <c r="AH174" s="208">
        <v>328</v>
      </c>
      <c r="AI174">
        <f t="shared" si="29"/>
        <v>26</v>
      </c>
      <c r="AJ174">
        <f t="shared" si="30"/>
        <v>5</v>
      </c>
    </row>
    <row r="175" spans="2:36" x14ac:dyDescent="0.2">
      <c r="B175" s="92">
        <f t="shared" si="33"/>
        <v>48183</v>
      </c>
      <c r="C175" s="93">
        <v>5.6058762373193973</v>
      </c>
      <c r="D175" s="93">
        <v>5.9061549576596502</v>
      </c>
      <c r="E175" s="94">
        <f t="shared" si="31"/>
        <v>2031</v>
      </c>
      <c r="K175" s="17">
        <f t="shared" si="34"/>
        <v>12</v>
      </c>
      <c r="L175" s="112">
        <f t="shared" si="35"/>
        <v>2031</v>
      </c>
      <c r="M175" s="95">
        <f t="shared" si="32"/>
        <v>48183</v>
      </c>
      <c r="N175" s="96">
        <v>54.53407</v>
      </c>
      <c r="O175" s="96">
        <v>54.944920000000003</v>
      </c>
      <c r="P175" s="96">
        <v>45.73986</v>
      </c>
      <c r="Q175" s="97">
        <v>51.599220000000003</v>
      </c>
      <c r="S175" s="109">
        <v>53.46993397849463</v>
      </c>
      <c r="T175" s="111">
        <f t="shared" si="36"/>
        <v>1.027585334631208</v>
      </c>
      <c r="U175" s="111">
        <f t="shared" si="37"/>
        <v>0.96501372193115065</v>
      </c>
      <c r="AD175" s="209" t="str">
        <f t="shared" si="27"/>
        <v>Summer</v>
      </c>
      <c r="AE175">
        <f t="shared" si="28"/>
        <v>6</v>
      </c>
      <c r="AF175" s="207">
        <v>48000</v>
      </c>
      <c r="AG175" s="208">
        <v>400</v>
      </c>
      <c r="AH175" s="208">
        <v>320</v>
      </c>
      <c r="AI175">
        <f t="shared" si="29"/>
        <v>25</v>
      </c>
      <c r="AJ175">
        <f t="shared" si="30"/>
        <v>5</v>
      </c>
    </row>
    <row r="176" spans="2:36" x14ac:dyDescent="0.2">
      <c r="B176" s="266">
        <f t="shared" si="33"/>
        <v>48214</v>
      </c>
      <c r="C176" s="83">
        <v>5.6547541961266532</v>
      </c>
      <c r="D176" s="83">
        <v>5.8278274708509263</v>
      </c>
      <c r="E176" s="265">
        <f t="shared" si="31"/>
        <v>2032</v>
      </c>
      <c r="K176" s="17">
        <f t="shared" si="34"/>
        <v>1</v>
      </c>
      <c r="L176" s="112">
        <f t="shared" si="35"/>
        <v>2032</v>
      </c>
      <c r="M176" s="86">
        <f t="shared" si="32"/>
        <v>48214</v>
      </c>
      <c r="N176" s="264">
        <v>52.843209999999999</v>
      </c>
      <c r="O176" s="264">
        <v>54.00206</v>
      </c>
      <c r="P176" s="264">
        <v>45.148380000000003</v>
      </c>
      <c r="Q176" s="263">
        <v>50.324579999999997</v>
      </c>
      <c r="S176" s="109">
        <v>52.380805376344085</v>
      </c>
      <c r="T176" s="111">
        <f t="shared" si="36"/>
        <v>1.0309513114967892</v>
      </c>
      <c r="U176" s="111">
        <f t="shared" si="37"/>
        <v>0.96074467810163322</v>
      </c>
      <c r="AD176" s="209" t="str">
        <f t="shared" si="27"/>
        <v>Summer</v>
      </c>
      <c r="AE176">
        <f t="shared" si="28"/>
        <v>7</v>
      </c>
      <c r="AF176" s="207">
        <v>48030</v>
      </c>
      <c r="AG176" s="208">
        <v>416</v>
      </c>
      <c r="AH176" s="208">
        <v>328</v>
      </c>
      <c r="AI176">
        <f t="shared" si="29"/>
        <v>26</v>
      </c>
      <c r="AJ176">
        <f t="shared" si="30"/>
        <v>5</v>
      </c>
    </row>
    <row r="177" spans="2:36" x14ac:dyDescent="0.2">
      <c r="B177" s="90">
        <f t="shared" si="33"/>
        <v>48245</v>
      </c>
      <c r="C177" s="83">
        <v>5.3803408341018555</v>
      </c>
      <c r="D177" s="83">
        <v>5.5872759725213044</v>
      </c>
      <c r="E177" s="91">
        <f t="shared" si="31"/>
        <v>2032</v>
      </c>
      <c r="K177" s="17">
        <f t="shared" si="34"/>
        <v>2</v>
      </c>
      <c r="L177" s="112">
        <f t="shared" si="35"/>
        <v>2032</v>
      </c>
      <c r="M177" s="86">
        <f t="shared" si="32"/>
        <v>48245</v>
      </c>
      <c r="N177" s="87">
        <v>52.698450000000001</v>
      </c>
      <c r="O177" s="87">
        <v>52.383899999999997</v>
      </c>
      <c r="P177" s="87">
        <v>47.661529999999999</v>
      </c>
      <c r="Q177" s="88">
        <v>49.689770000000003</v>
      </c>
      <c r="S177" s="109">
        <v>51.176186551724143</v>
      </c>
      <c r="T177" s="111">
        <f t="shared" si="36"/>
        <v>1.0235991293930276</v>
      </c>
      <c r="U177" s="111">
        <f t="shared" si="37"/>
        <v>0.97095491767011965</v>
      </c>
      <c r="AD177" s="209" t="str">
        <f t="shared" si="27"/>
        <v>Summer</v>
      </c>
      <c r="AE177">
        <f t="shared" si="28"/>
        <v>8</v>
      </c>
      <c r="AF177" s="207">
        <v>48061</v>
      </c>
      <c r="AG177" s="208">
        <v>416</v>
      </c>
      <c r="AH177" s="208">
        <v>328</v>
      </c>
      <c r="AI177">
        <f t="shared" si="29"/>
        <v>26</v>
      </c>
      <c r="AJ177">
        <f t="shared" si="30"/>
        <v>5</v>
      </c>
    </row>
    <row r="178" spans="2:36" x14ac:dyDescent="0.2">
      <c r="B178" s="90">
        <f t="shared" si="33"/>
        <v>48274</v>
      </c>
      <c r="C178" s="83">
        <v>5.3161949175120409</v>
      </c>
      <c r="D178" s="83">
        <v>5.3312033592940997</v>
      </c>
      <c r="E178" s="91">
        <f t="shared" si="31"/>
        <v>2032</v>
      </c>
      <c r="K178" s="17">
        <f t="shared" si="34"/>
        <v>3</v>
      </c>
      <c r="L178" s="112">
        <f t="shared" si="35"/>
        <v>2032</v>
      </c>
      <c r="M178" s="86">
        <f t="shared" si="32"/>
        <v>48274</v>
      </c>
      <c r="N178" s="87">
        <v>46.301870000000001</v>
      </c>
      <c r="O178" s="87">
        <v>49.777160000000002</v>
      </c>
      <c r="P178" s="87">
        <v>40.893389999999997</v>
      </c>
      <c r="Q178" s="88">
        <v>48.606650000000002</v>
      </c>
      <c r="S178" s="109">
        <v>49.287215706594885</v>
      </c>
      <c r="T178" s="111">
        <f t="shared" si="36"/>
        <v>1.0099405958803138</v>
      </c>
      <c r="U178" s="111">
        <f t="shared" si="37"/>
        <v>0.98619184109229729</v>
      </c>
      <c r="AD178" s="209" t="str">
        <f t="shared" si="27"/>
        <v>Summer</v>
      </c>
      <c r="AE178">
        <f t="shared" si="28"/>
        <v>9</v>
      </c>
      <c r="AF178" s="207">
        <v>48092</v>
      </c>
      <c r="AG178" s="208">
        <v>400</v>
      </c>
      <c r="AH178" s="208">
        <v>320</v>
      </c>
      <c r="AI178">
        <f t="shared" si="29"/>
        <v>25</v>
      </c>
      <c r="AJ178">
        <f t="shared" si="30"/>
        <v>5</v>
      </c>
    </row>
    <row r="179" spans="2:36" x14ac:dyDescent="0.2">
      <c r="B179" s="90">
        <f t="shared" si="33"/>
        <v>48305</v>
      </c>
      <c r="C179" s="83">
        <v>5.0450605799774566</v>
      </c>
      <c r="D179" s="83">
        <v>4.9122363873909531</v>
      </c>
      <c r="E179" s="91">
        <f t="shared" si="31"/>
        <v>2032</v>
      </c>
      <c r="K179" s="17">
        <f t="shared" si="34"/>
        <v>4</v>
      </c>
      <c r="L179" s="112">
        <f t="shared" si="35"/>
        <v>2032</v>
      </c>
      <c r="M179" s="86">
        <f t="shared" si="32"/>
        <v>48305</v>
      </c>
      <c r="N179" s="87">
        <v>47.213459999999998</v>
      </c>
      <c r="O179" s="87">
        <v>51.662959999999998</v>
      </c>
      <c r="P179" s="87">
        <v>42.039110000000001</v>
      </c>
      <c r="Q179" s="88">
        <v>48.746960000000001</v>
      </c>
      <c r="S179" s="109">
        <v>50.43175999999999</v>
      </c>
      <c r="T179" s="111">
        <f t="shared" si="36"/>
        <v>1.0244131872454978</v>
      </c>
      <c r="U179" s="111">
        <f t="shared" si="37"/>
        <v>0.96659248061142444</v>
      </c>
      <c r="AD179" s="209" t="str">
        <f t="shared" si="27"/>
        <v>Winter</v>
      </c>
      <c r="AE179">
        <f t="shared" si="28"/>
        <v>10</v>
      </c>
      <c r="AF179" s="207">
        <v>48122</v>
      </c>
      <c r="AG179" s="208">
        <v>432</v>
      </c>
      <c r="AH179" s="208">
        <v>312</v>
      </c>
      <c r="AI179">
        <f t="shared" si="29"/>
        <v>27</v>
      </c>
      <c r="AJ179">
        <f t="shared" si="30"/>
        <v>4</v>
      </c>
    </row>
    <row r="180" spans="2:36" x14ac:dyDescent="0.2">
      <c r="B180" s="90">
        <f t="shared" si="33"/>
        <v>48335</v>
      </c>
      <c r="C180" s="83">
        <v>4.971180059432319</v>
      </c>
      <c r="D180" s="83">
        <v>4.92002272742263</v>
      </c>
      <c r="E180" s="91">
        <f t="shared" si="31"/>
        <v>2032</v>
      </c>
      <c r="K180" s="17">
        <f t="shared" si="34"/>
        <v>5</v>
      </c>
      <c r="L180" s="112">
        <f t="shared" si="35"/>
        <v>2032</v>
      </c>
      <c r="M180" s="86">
        <f t="shared" si="32"/>
        <v>48335</v>
      </c>
      <c r="N180" s="87">
        <v>37.337569999999999</v>
      </c>
      <c r="O180" s="87">
        <v>51.90117</v>
      </c>
      <c r="P180" s="87">
        <v>34.213920000000002</v>
      </c>
      <c r="Q180" s="88">
        <v>48.086979999999997</v>
      </c>
      <c r="S180" s="109">
        <v>50.137619784946232</v>
      </c>
      <c r="T180" s="111">
        <f t="shared" si="36"/>
        <v>1.0351741910090291</v>
      </c>
      <c r="U180" s="111">
        <f t="shared" si="37"/>
        <v>0.95909977789647816</v>
      </c>
      <c r="AD180" s="209" t="str">
        <f t="shared" si="27"/>
        <v>Winter</v>
      </c>
      <c r="AE180">
        <f t="shared" si="28"/>
        <v>11</v>
      </c>
      <c r="AF180" s="207">
        <v>48153</v>
      </c>
      <c r="AG180" s="208">
        <v>384</v>
      </c>
      <c r="AH180" s="208">
        <v>336</v>
      </c>
      <c r="AI180">
        <f t="shared" si="29"/>
        <v>24</v>
      </c>
      <c r="AJ180">
        <f t="shared" si="30"/>
        <v>6</v>
      </c>
    </row>
    <row r="181" spans="2:36" x14ac:dyDescent="0.2">
      <c r="B181" s="90">
        <f t="shared" si="33"/>
        <v>48366</v>
      </c>
      <c r="C181" s="83">
        <v>5.0456753970693722</v>
      </c>
      <c r="D181" s="83">
        <v>4.9897903967130857</v>
      </c>
      <c r="E181" s="91">
        <f t="shared" si="31"/>
        <v>2032</v>
      </c>
      <c r="K181" s="17">
        <f t="shared" si="34"/>
        <v>6</v>
      </c>
      <c r="L181" s="112">
        <f t="shared" si="35"/>
        <v>2032</v>
      </c>
      <c r="M181" s="86">
        <f t="shared" si="32"/>
        <v>48366</v>
      </c>
      <c r="N181" s="87">
        <v>42.797910000000002</v>
      </c>
      <c r="O181" s="87">
        <v>64.333380000000005</v>
      </c>
      <c r="P181" s="87">
        <v>35.715400000000002</v>
      </c>
      <c r="Q181" s="88">
        <v>52.875790000000002</v>
      </c>
      <c r="S181" s="109">
        <v>59.495730888888893</v>
      </c>
      <c r="T181" s="111">
        <f t="shared" si="36"/>
        <v>1.0813108611128024</v>
      </c>
      <c r="U181" s="111">
        <f t="shared" si="37"/>
        <v>0.88873250584563879</v>
      </c>
      <c r="AD181" s="209" t="str">
        <f t="shared" si="27"/>
        <v>Winter</v>
      </c>
      <c r="AE181">
        <f t="shared" si="28"/>
        <v>12</v>
      </c>
      <c r="AF181" s="207">
        <v>48183</v>
      </c>
      <c r="AG181" s="208">
        <v>416</v>
      </c>
      <c r="AH181" s="208">
        <v>328</v>
      </c>
      <c r="AI181">
        <f t="shared" si="29"/>
        <v>26</v>
      </c>
      <c r="AJ181">
        <f t="shared" si="30"/>
        <v>5</v>
      </c>
    </row>
    <row r="182" spans="2:36" x14ac:dyDescent="0.2">
      <c r="B182" s="90">
        <f t="shared" si="33"/>
        <v>48396</v>
      </c>
      <c r="C182" s="83">
        <v>5.3411974792499235</v>
      </c>
      <c r="D182" s="83">
        <v>5.3932878188844251</v>
      </c>
      <c r="E182" s="91">
        <f t="shared" si="31"/>
        <v>2032</v>
      </c>
      <c r="K182" s="17">
        <f t="shared" si="34"/>
        <v>7</v>
      </c>
      <c r="L182" s="112">
        <f t="shared" si="35"/>
        <v>2032</v>
      </c>
      <c r="M182" s="86">
        <f t="shared" si="32"/>
        <v>48396</v>
      </c>
      <c r="N182" s="87">
        <v>61.599780000000003</v>
      </c>
      <c r="O182" s="87">
        <v>72.648989999999998</v>
      </c>
      <c r="P182" s="87">
        <v>51.164459999999998</v>
      </c>
      <c r="Q182" s="88">
        <v>59.832810000000002</v>
      </c>
      <c r="S182" s="109">
        <v>66.998846129032259</v>
      </c>
      <c r="T182" s="111">
        <f t="shared" si="36"/>
        <v>1.0843319578979942</v>
      </c>
      <c r="U182" s="111">
        <f t="shared" si="37"/>
        <v>0.8930423948610805</v>
      </c>
      <c r="AD182" s="209" t="str">
        <f t="shared" si="27"/>
        <v>Winter</v>
      </c>
      <c r="AE182">
        <f t="shared" si="28"/>
        <v>1</v>
      </c>
      <c r="AF182" s="207">
        <v>48214</v>
      </c>
      <c r="AG182" s="206">
        <v>416</v>
      </c>
      <c r="AH182" s="206">
        <v>328</v>
      </c>
      <c r="AI182">
        <f t="shared" si="29"/>
        <v>26</v>
      </c>
      <c r="AJ182">
        <f t="shared" si="30"/>
        <v>5</v>
      </c>
    </row>
    <row r="183" spans="2:36" x14ac:dyDescent="0.2">
      <c r="B183" s="90">
        <f t="shared" si="33"/>
        <v>48427</v>
      </c>
      <c r="C183" s="83">
        <v>5.4799412029921104</v>
      </c>
      <c r="D183" s="83">
        <v>5.4864145082699123</v>
      </c>
      <c r="E183" s="91">
        <f t="shared" si="31"/>
        <v>2032</v>
      </c>
      <c r="K183" s="17">
        <f t="shared" si="34"/>
        <v>8</v>
      </c>
      <c r="L183" s="112">
        <f t="shared" si="35"/>
        <v>2032</v>
      </c>
      <c r="M183" s="86">
        <f t="shared" si="32"/>
        <v>48427</v>
      </c>
      <c r="N183" s="87">
        <v>67.23921</v>
      </c>
      <c r="O183" s="87">
        <v>75.202100000000002</v>
      </c>
      <c r="P183" s="87">
        <v>56.141449999999999</v>
      </c>
      <c r="Q183" s="88">
        <v>61.19764</v>
      </c>
      <c r="S183" s="109">
        <v>69.028090752688186</v>
      </c>
      <c r="T183" s="111">
        <f t="shared" si="36"/>
        <v>1.0894419819524181</v>
      </c>
      <c r="U183" s="111">
        <f t="shared" si="37"/>
        <v>0.88656138874327417</v>
      </c>
      <c r="AD183" s="209" t="str">
        <f t="shared" si="27"/>
        <v>Winter</v>
      </c>
      <c r="AE183">
        <f t="shared" si="28"/>
        <v>2</v>
      </c>
      <c r="AF183" s="207">
        <v>48245</v>
      </c>
      <c r="AG183" s="206">
        <v>384</v>
      </c>
      <c r="AH183" s="206">
        <v>312</v>
      </c>
      <c r="AI183">
        <f t="shared" si="29"/>
        <v>24</v>
      </c>
      <c r="AJ183">
        <f t="shared" si="30"/>
        <v>5</v>
      </c>
    </row>
    <row r="184" spans="2:36" x14ac:dyDescent="0.2">
      <c r="B184" s="90">
        <f t="shared" si="33"/>
        <v>48458</v>
      </c>
      <c r="C184" s="83">
        <v>5.4620090378112511</v>
      </c>
      <c r="D184" s="83">
        <v>5.4475859384430727</v>
      </c>
      <c r="E184" s="91">
        <f t="shared" si="31"/>
        <v>2032</v>
      </c>
      <c r="K184" s="17">
        <f t="shared" si="34"/>
        <v>9</v>
      </c>
      <c r="L184" s="112">
        <f t="shared" si="35"/>
        <v>2032</v>
      </c>
      <c r="M184" s="86">
        <f t="shared" si="32"/>
        <v>48458</v>
      </c>
      <c r="N184" s="87">
        <v>67.972049999999996</v>
      </c>
      <c r="O184" s="87">
        <v>61.221969999999999</v>
      </c>
      <c r="P184" s="87">
        <v>62.049050000000001</v>
      </c>
      <c r="Q184" s="88">
        <v>55.203339999999997</v>
      </c>
      <c r="S184" s="109">
        <v>58.547023333333328</v>
      </c>
      <c r="T184" s="111">
        <f t="shared" si="36"/>
        <v>1.0456888585340547</v>
      </c>
      <c r="U184" s="111">
        <f t="shared" si="37"/>
        <v>0.94288892683243164</v>
      </c>
      <c r="AD184" s="209" t="str">
        <f t="shared" si="27"/>
        <v>Winter</v>
      </c>
      <c r="AE184">
        <f t="shared" si="28"/>
        <v>3</v>
      </c>
      <c r="AF184" s="207">
        <v>48274</v>
      </c>
      <c r="AG184" s="206">
        <v>432</v>
      </c>
      <c r="AH184" s="206">
        <v>312</v>
      </c>
      <c r="AI184">
        <f t="shared" si="29"/>
        <v>27</v>
      </c>
      <c r="AJ184">
        <f t="shared" si="30"/>
        <v>4</v>
      </c>
    </row>
    <row r="185" spans="2:36" x14ac:dyDescent="0.2">
      <c r="B185" s="90">
        <f t="shared" si="33"/>
        <v>48488</v>
      </c>
      <c r="C185" s="83">
        <v>5.510784527103187</v>
      </c>
      <c r="D185" s="83">
        <v>5.5407126278285608</v>
      </c>
      <c r="E185" s="91">
        <f t="shared" si="31"/>
        <v>2032</v>
      </c>
      <c r="K185" s="17">
        <f t="shared" si="34"/>
        <v>10</v>
      </c>
      <c r="L185" s="112">
        <f t="shared" si="35"/>
        <v>2032</v>
      </c>
      <c r="M185" s="86">
        <f t="shared" si="32"/>
        <v>48488</v>
      </c>
      <c r="N185" s="87">
        <v>54.191490000000002</v>
      </c>
      <c r="O185" s="87">
        <v>54.628489999999999</v>
      </c>
      <c r="P185" s="87">
        <v>46.292079999999999</v>
      </c>
      <c r="Q185" s="88">
        <v>50.220140000000001</v>
      </c>
      <c r="S185" s="109">
        <v>52.685023870967747</v>
      </c>
      <c r="T185" s="111">
        <f t="shared" si="36"/>
        <v>1.0368883979969725</v>
      </c>
      <c r="U185" s="111">
        <f t="shared" si="37"/>
        <v>0.95321471473554686</v>
      </c>
      <c r="AD185" s="209" t="str">
        <f t="shared" si="27"/>
        <v>Winter</v>
      </c>
      <c r="AE185">
        <f t="shared" si="28"/>
        <v>4</v>
      </c>
      <c r="AF185" s="207">
        <v>48305</v>
      </c>
      <c r="AG185" s="206">
        <v>416</v>
      </c>
      <c r="AH185" s="206">
        <v>304</v>
      </c>
      <c r="AI185">
        <f t="shared" si="29"/>
        <v>26</v>
      </c>
      <c r="AJ185">
        <f t="shared" si="30"/>
        <v>4</v>
      </c>
    </row>
    <row r="186" spans="2:36" x14ac:dyDescent="0.2">
      <c r="B186" s="90">
        <f t="shared" si="33"/>
        <v>48519</v>
      </c>
      <c r="C186" s="83">
        <v>5.7472841684598839</v>
      </c>
      <c r="D186" s="83">
        <v>5.8976467053071557</v>
      </c>
      <c r="E186" s="91">
        <f t="shared" si="31"/>
        <v>2032</v>
      </c>
      <c r="K186" s="17">
        <f t="shared" si="34"/>
        <v>11</v>
      </c>
      <c r="L186" s="112">
        <f t="shared" si="35"/>
        <v>2032</v>
      </c>
      <c r="M186" s="86">
        <f t="shared" si="32"/>
        <v>48519</v>
      </c>
      <c r="N186" s="87">
        <v>57.242649999999998</v>
      </c>
      <c r="O186" s="87">
        <v>55.915230000000001</v>
      </c>
      <c r="P186" s="87">
        <v>50.013939999999998</v>
      </c>
      <c r="Q186" s="88">
        <v>51.822850000000003</v>
      </c>
      <c r="S186" s="109">
        <v>54.093241123439661</v>
      </c>
      <c r="T186" s="111">
        <f t="shared" si="36"/>
        <v>1.033682375814801</v>
      </c>
      <c r="U186" s="111">
        <f t="shared" si="37"/>
        <v>0.95802819213108947</v>
      </c>
      <c r="AD186" s="209" t="str">
        <f t="shared" si="27"/>
        <v>Winter</v>
      </c>
      <c r="AE186">
        <f t="shared" si="28"/>
        <v>5</v>
      </c>
      <c r="AF186" s="207">
        <v>48335</v>
      </c>
      <c r="AG186" s="206">
        <v>400</v>
      </c>
      <c r="AH186" s="206">
        <v>344</v>
      </c>
      <c r="AI186">
        <f t="shared" si="29"/>
        <v>25</v>
      </c>
      <c r="AJ186">
        <f t="shared" si="30"/>
        <v>6</v>
      </c>
    </row>
    <row r="187" spans="2:36" x14ac:dyDescent="0.2">
      <c r="B187" s="92">
        <f t="shared" si="33"/>
        <v>48549</v>
      </c>
      <c r="C187" s="93">
        <v>6.1866734501485814</v>
      </c>
      <c r="D187" s="93">
        <v>6.4329446911935033</v>
      </c>
      <c r="E187" s="94">
        <f t="shared" si="31"/>
        <v>2032</v>
      </c>
      <c r="K187" s="17">
        <f t="shared" si="34"/>
        <v>12</v>
      </c>
      <c r="L187" s="112">
        <f t="shared" si="35"/>
        <v>2032</v>
      </c>
      <c r="M187" s="95">
        <f t="shared" si="32"/>
        <v>48549</v>
      </c>
      <c r="N187" s="96">
        <v>58.097430000000003</v>
      </c>
      <c r="O187" s="96">
        <v>58.790900000000001</v>
      </c>
      <c r="P187" s="96">
        <v>49.857599999999998</v>
      </c>
      <c r="Q187" s="97">
        <v>55.859000000000002</v>
      </c>
      <c r="S187" s="109">
        <v>57.498341935483872</v>
      </c>
      <c r="T187" s="111">
        <f t="shared" si="36"/>
        <v>1.022479918916035</v>
      </c>
      <c r="U187" s="111">
        <f t="shared" si="37"/>
        <v>0.97148888332600447</v>
      </c>
      <c r="AD187" s="209" t="str">
        <f t="shared" si="27"/>
        <v>Summer</v>
      </c>
      <c r="AE187">
        <f t="shared" si="28"/>
        <v>6</v>
      </c>
      <c r="AF187" s="207">
        <v>48366</v>
      </c>
      <c r="AG187" s="206">
        <v>416</v>
      </c>
      <c r="AH187" s="206">
        <v>304</v>
      </c>
      <c r="AI187">
        <f t="shared" si="29"/>
        <v>26</v>
      </c>
      <c r="AJ187">
        <f t="shared" si="30"/>
        <v>4</v>
      </c>
    </row>
    <row r="188" spans="2:36" x14ac:dyDescent="0.2">
      <c r="B188" s="266">
        <f t="shared" si="33"/>
        <v>48580</v>
      </c>
      <c r="C188" s="83">
        <v>6.2445687263039247</v>
      </c>
      <c r="D188" s="83">
        <v>6.4089153239434262</v>
      </c>
      <c r="E188" s="265">
        <f t="shared" si="31"/>
        <v>2033</v>
      </c>
      <c r="K188" s="17">
        <f t="shared" si="34"/>
        <v>1</v>
      </c>
      <c r="L188" s="112">
        <f t="shared" si="35"/>
        <v>2033</v>
      </c>
      <c r="M188" s="86">
        <f t="shared" si="32"/>
        <v>48580</v>
      </c>
      <c r="N188" s="264">
        <v>56.823839999999997</v>
      </c>
      <c r="O188" s="264">
        <v>58.027909999999999</v>
      </c>
      <c r="P188" s="264">
        <v>49.486820000000002</v>
      </c>
      <c r="Q188" s="263">
        <v>54.616540000000001</v>
      </c>
      <c r="S188" s="109">
        <v>56.450609892473111</v>
      </c>
      <c r="T188" s="111">
        <f t="shared" si="36"/>
        <v>1.0279412412112345</v>
      </c>
      <c r="U188" s="111">
        <f t="shared" si="37"/>
        <v>0.96751018463809979</v>
      </c>
      <c r="AD188" s="209" t="str">
        <f t="shared" si="27"/>
        <v>Summer</v>
      </c>
      <c r="AE188">
        <f t="shared" si="28"/>
        <v>7</v>
      </c>
      <c r="AF188" s="207">
        <v>48396</v>
      </c>
      <c r="AG188" s="206">
        <v>416</v>
      </c>
      <c r="AH188" s="206">
        <v>328</v>
      </c>
      <c r="AI188">
        <f t="shared" si="29"/>
        <v>26</v>
      </c>
      <c r="AJ188">
        <f t="shared" si="30"/>
        <v>5</v>
      </c>
    </row>
    <row r="189" spans="2:36" x14ac:dyDescent="0.2">
      <c r="B189" s="90">
        <f t="shared" si="33"/>
        <v>48611</v>
      </c>
      <c r="C189" s="83">
        <v>6.0452655190080957</v>
      </c>
      <c r="D189" s="83">
        <v>6.2267355932684954</v>
      </c>
      <c r="E189" s="91">
        <f t="shared" si="31"/>
        <v>2033</v>
      </c>
      <c r="K189" s="17">
        <f t="shared" si="34"/>
        <v>2</v>
      </c>
      <c r="L189" s="112">
        <f t="shared" si="35"/>
        <v>2033</v>
      </c>
      <c r="M189" s="86">
        <f t="shared" si="32"/>
        <v>48611</v>
      </c>
      <c r="N189" s="87">
        <v>57.006999999999998</v>
      </c>
      <c r="O189" s="87">
        <v>56.998829999999998</v>
      </c>
      <c r="P189" s="87">
        <v>51.94511</v>
      </c>
      <c r="Q189" s="88">
        <v>54.46407</v>
      </c>
      <c r="S189" s="109">
        <v>55.912504285714284</v>
      </c>
      <c r="T189" s="111">
        <f t="shared" si="36"/>
        <v>1.0194290298415998</v>
      </c>
      <c r="U189" s="111">
        <f t="shared" si="37"/>
        <v>0.97409462687786708</v>
      </c>
      <c r="AD189" s="209" t="str">
        <f t="shared" si="27"/>
        <v>Summer</v>
      </c>
      <c r="AE189">
        <f t="shared" si="28"/>
        <v>8</v>
      </c>
      <c r="AF189" s="207">
        <v>48427</v>
      </c>
      <c r="AG189" s="206">
        <v>416</v>
      </c>
      <c r="AH189" s="206">
        <v>328</v>
      </c>
      <c r="AI189">
        <f t="shared" si="29"/>
        <v>26</v>
      </c>
      <c r="AJ189">
        <f t="shared" si="30"/>
        <v>5</v>
      </c>
    </row>
    <row r="190" spans="2:36" x14ac:dyDescent="0.2">
      <c r="B190" s="90">
        <f t="shared" si="33"/>
        <v>48639</v>
      </c>
      <c r="C190" s="83">
        <v>5.5997280664002469</v>
      </c>
      <c r="D190" s="83">
        <v>5.6484838242934936</v>
      </c>
      <c r="E190" s="91">
        <f t="shared" si="31"/>
        <v>2033</v>
      </c>
      <c r="K190" s="17">
        <f t="shared" si="34"/>
        <v>3</v>
      </c>
      <c r="L190" s="112">
        <f t="shared" si="35"/>
        <v>2033</v>
      </c>
      <c r="M190" s="86">
        <f t="shared" si="32"/>
        <v>48639</v>
      </c>
      <c r="N190" s="87">
        <v>48.143970000000003</v>
      </c>
      <c r="O190" s="87">
        <v>49.763019999999997</v>
      </c>
      <c r="P190" s="87">
        <v>43.465499999999999</v>
      </c>
      <c r="Q190" s="88">
        <v>49.52102</v>
      </c>
      <c r="S190" s="109">
        <v>49.661725248990571</v>
      </c>
      <c r="T190" s="111">
        <f t="shared" si="36"/>
        <v>1.0020396945636012</v>
      </c>
      <c r="U190" s="111">
        <f t="shared" si="37"/>
        <v>0.99716672652258631</v>
      </c>
      <c r="AD190" s="209" t="str">
        <f t="shared" si="27"/>
        <v>Summer</v>
      </c>
      <c r="AE190">
        <f t="shared" si="28"/>
        <v>9</v>
      </c>
      <c r="AF190" s="207">
        <v>48458</v>
      </c>
      <c r="AG190" s="206">
        <v>400</v>
      </c>
      <c r="AH190" s="206">
        <v>320</v>
      </c>
      <c r="AI190">
        <f t="shared" si="29"/>
        <v>25</v>
      </c>
      <c r="AJ190">
        <f t="shared" si="30"/>
        <v>5</v>
      </c>
    </row>
    <row r="191" spans="2:36" x14ac:dyDescent="0.2">
      <c r="B191" s="90">
        <f t="shared" si="33"/>
        <v>48670</v>
      </c>
      <c r="C191" s="83">
        <v>5.2755145199303213</v>
      </c>
      <c r="D191" s="83">
        <v>5.1810455965640125</v>
      </c>
      <c r="E191" s="91">
        <f t="shared" si="31"/>
        <v>2033</v>
      </c>
      <c r="K191" s="17">
        <f t="shared" si="34"/>
        <v>4</v>
      </c>
      <c r="L191" s="112">
        <f t="shared" si="35"/>
        <v>2033</v>
      </c>
      <c r="M191" s="86">
        <f t="shared" si="32"/>
        <v>48670</v>
      </c>
      <c r="N191" s="87">
        <v>44.653840000000002</v>
      </c>
      <c r="O191" s="87">
        <v>50.284599999999998</v>
      </c>
      <c r="P191" s="87">
        <v>40.709220000000002</v>
      </c>
      <c r="Q191" s="88">
        <v>48.225639999999999</v>
      </c>
      <c r="S191" s="109">
        <v>49.415261333333326</v>
      </c>
      <c r="T191" s="111">
        <f t="shared" si="36"/>
        <v>1.0175925137945239</v>
      </c>
      <c r="U191" s="111">
        <f t="shared" si="37"/>
        <v>0.9759260337548622</v>
      </c>
      <c r="AD191" s="209" t="str">
        <f t="shared" si="27"/>
        <v>Winter</v>
      </c>
      <c r="AE191">
        <f t="shared" si="28"/>
        <v>10</v>
      </c>
      <c r="AF191" s="207">
        <v>48488</v>
      </c>
      <c r="AG191" s="206">
        <v>416</v>
      </c>
      <c r="AH191" s="206">
        <v>328</v>
      </c>
      <c r="AI191">
        <f t="shared" si="29"/>
        <v>26</v>
      </c>
      <c r="AJ191">
        <f t="shared" si="30"/>
        <v>5</v>
      </c>
    </row>
    <row r="192" spans="2:36" x14ac:dyDescent="0.2">
      <c r="B192" s="90">
        <f t="shared" si="33"/>
        <v>48700</v>
      </c>
      <c r="C192" s="83">
        <v>5.1701758581821915</v>
      </c>
      <c r="D192" s="83">
        <v>5.1493845847795772</v>
      </c>
      <c r="E192" s="91">
        <f t="shared" si="31"/>
        <v>2033</v>
      </c>
      <c r="K192" s="17">
        <f t="shared" si="34"/>
        <v>5</v>
      </c>
      <c r="L192" s="112">
        <f t="shared" si="35"/>
        <v>2033</v>
      </c>
      <c r="M192" s="86">
        <f t="shared" si="32"/>
        <v>48700</v>
      </c>
      <c r="N192" s="87">
        <v>39.294890000000002</v>
      </c>
      <c r="O192" s="87">
        <v>54.791130000000003</v>
      </c>
      <c r="P192" s="87">
        <v>35.641199999999998</v>
      </c>
      <c r="Q192" s="88">
        <v>50.387090000000001</v>
      </c>
      <c r="S192" s="109">
        <v>52.754853440860209</v>
      </c>
      <c r="T192" s="111">
        <f t="shared" si="36"/>
        <v>1.0385988478088091</v>
      </c>
      <c r="U192" s="111">
        <f t="shared" si="37"/>
        <v>0.95511761882696644</v>
      </c>
      <c r="AD192" s="209" t="str">
        <f t="shared" si="27"/>
        <v>Winter</v>
      </c>
      <c r="AE192">
        <f t="shared" si="28"/>
        <v>11</v>
      </c>
      <c r="AF192" s="207">
        <v>48519</v>
      </c>
      <c r="AG192" s="206">
        <v>400</v>
      </c>
      <c r="AH192" s="206">
        <v>320</v>
      </c>
      <c r="AI192">
        <f t="shared" si="29"/>
        <v>25</v>
      </c>
      <c r="AJ192">
        <f t="shared" si="30"/>
        <v>5</v>
      </c>
    </row>
    <row r="193" spans="2:36" x14ac:dyDescent="0.2">
      <c r="B193" s="90">
        <f t="shared" si="33"/>
        <v>48731</v>
      </c>
      <c r="C193" s="83">
        <v>5.2463107080643514</v>
      </c>
      <c r="D193" s="83">
        <v>5.212758173514219</v>
      </c>
      <c r="E193" s="91">
        <f t="shared" si="31"/>
        <v>2033</v>
      </c>
      <c r="K193" s="17">
        <f t="shared" si="34"/>
        <v>6</v>
      </c>
      <c r="L193" s="112">
        <f t="shared" si="35"/>
        <v>2033</v>
      </c>
      <c r="M193" s="86">
        <f t="shared" si="32"/>
        <v>48731</v>
      </c>
      <c r="N193" s="87">
        <v>45.110289999999999</v>
      </c>
      <c r="O193" s="87">
        <v>66.875770000000003</v>
      </c>
      <c r="P193" s="87">
        <v>37.403289999999998</v>
      </c>
      <c r="Q193" s="88">
        <v>55.087440000000001</v>
      </c>
      <c r="S193" s="109">
        <v>61.898475111111111</v>
      </c>
      <c r="T193" s="111">
        <f t="shared" si="36"/>
        <v>1.0804106220703236</v>
      </c>
      <c r="U193" s="111">
        <f t="shared" si="37"/>
        <v>0.88996441190376774</v>
      </c>
      <c r="AD193" s="209" t="str">
        <f t="shared" si="27"/>
        <v>Winter</v>
      </c>
      <c r="AE193">
        <f t="shared" si="28"/>
        <v>12</v>
      </c>
      <c r="AF193" s="207">
        <v>48549</v>
      </c>
      <c r="AG193" s="206">
        <v>416</v>
      </c>
      <c r="AH193" s="206">
        <v>328</v>
      </c>
      <c r="AI193">
        <f t="shared" si="29"/>
        <v>26</v>
      </c>
      <c r="AJ193">
        <f t="shared" si="30"/>
        <v>5</v>
      </c>
    </row>
    <row r="194" spans="2:36" x14ac:dyDescent="0.2">
      <c r="B194" s="90">
        <f t="shared" si="33"/>
        <v>48761</v>
      </c>
      <c r="C194" s="83">
        <v>5.5795415718823653</v>
      </c>
      <c r="D194" s="83">
        <v>5.66431433018571</v>
      </c>
      <c r="E194" s="91">
        <f t="shared" si="31"/>
        <v>2033</v>
      </c>
      <c r="K194" s="17">
        <f t="shared" si="34"/>
        <v>7</v>
      </c>
      <c r="L194" s="112">
        <f t="shared" si="35"/>
        <v>2033</v>
      </c>
      <c r="M194" s="86">
        <f t="shared" si="32"/>
        <v>48761</v>
      </c>
      <c r="N194" s="87">
        <v>63.474640000000001</v>
      </c>
      <c r="O194" s="87">
        <v>75.112790000000004</v>
      </c>
      <c r="P194" s="87">
        <v>53.752360000000003</v>
      </c>
      <c r="Q194" s="88">
        <v>62.876089999999998</v>
      </c>
      <c r="S194" s="109">
        <v>69.45496096774194</v>
      </c>
      <c r="T194" s="111">
        <f t="shared" si="36"/>
        <v>1.0814604018694334</v>
      </c>
      <c r="U194" s="111">
        <f t="shared" si="37"/>
        <v>0.90527860247740299</v>
      </c>
      <c r="AD194" s="209" t="str">
        <f t="shared" ref="AD194:AD253" si="38">IF(AND(AE194&gt;=6,AE194&lt;=9),"Summer","Winter")</f>
        <v>Winter</v>
      </c>
      <c r="AE194">
        <f t="shared" ref="AE194:AE253" si="39">MONTH(AF194)</f>
        <v>1</v>
      </c>
      <c r="AF194" s="207">
        <v>48580</v>
      </c>
      <c r="AG194" s="206">
        <v>400</v>
      </c>
      <c r="AH194" s="206">
        <v>344</v>
      </c>
      <c r="AI194">
        <f t="shared" ref="AI194:AI253" si="40">AG194/16</f>
        <v>25</v>
      </c>
      <c r="AJ194">
        <f t="shared" ref="AJ194:AJ253" si="41">EDATE(AF194,1)-AF194-AI194</f>
        <v>6</v>
      </c>
    </row>
    <row r="195" spans="2:36" x14ac:dyDescent="0.2">
      <c r="B195" s="90">
        <f t="shared" si="33"/>
        <v>48792</v>
      </c>
      <c r="C195" s="83">
        <v>5.7054766062096531</v>
      </c>
      <c r="D195" s="83">
        <v>5.7514078951757925</v>
      </c>
      <c r="E195" s="91">
        <f t="shared" si="31"/>
        <v>2033</v>
      </c>
      <c r="K195" s="17">
        <f t="shared" si="34"/>
        <v>8</v>
      </c>
      <c r="L195" s="112">
        <f t="shared" si="35"/>
        <v>2033</v>
      </c>
      <c r="M195" s="86">
        <f t="shared" si="32"/>
        <v>48792</v>
      </c>
      <c r="N195" s="87">
        <v>69.58475</v>
      </c>
      <c r="O195" s="87">
        <v>77.545019999999994</v>
      </c>
      <c r="P195" s="87">
        <v>58.009970000000003</v>
      </c>
      <c r="Q195" s="88">
        <v>63.552689999999998</v>
      </c>
      <c r="S195" s="109">
        <v>71.677268709677421</v>
      </c>
      <c r="T195" s="111">
        <f t="shared" si="36"/>
        <v>1.0818634888850103</v>
      </c>
      <c r="U195" s="111">
        <f t="shared" si="37"/>
        <v>0.88665055385152403</v>
      </c>
      <c r="AD195" s="209" t="str">
        <f t="shared" si="38"/>
        <v>Winter</v>
      </c>
      <c r="AE195">
        <f t="shared" si="39"/>
        <v>2</v>
      </c>
      <c r="AF195" s="207">
        <v>48611</v>
      </c>
      <c r="AG195" s="206">
        <v>384</v>
      </c>
      <c r="AH195" s="206">
        <v>288</v>
      </c>
      <c r="AI195">
        <f t="shared" si="40"/>
        <v>24</v>
      </c>
      <c r="AJ195">
        <f t="shared" si="41"/>
        <v>4</v>
      </c>
    </row>
    <row r="196" spans="2:36" x14ac:dyDescent="0.2">
      <c r="B196" s="90">
        <f t="shared" si="33"/>
        <v>48823</v>
      </c>
      <c r="C196" s="83">
        <v>5.6242182805615331</v>
      </c>
      <c r="D196" s="83">
        <v>5.6326017532355035</v>
      </c>
      <c r="E196" s="91">
        <f t="shared" si="31"/>
        <v>2033</v>
      </c>
      <c r="K196" s="17">
        <f t="shared" si="34"/>
        <v>9</v>
      </c>
      <c r="L196" s="112">
        <f t="shared" si="35"/>
        <v>2033</v>
      </c>
      <c r="M196" s="86">
        <f t="shared" si="32"/>
        <v>48823</v>
      </c>
      <c r="N196" s="87">
        <v>69.891379999999998</v>
      </c>
      <c r="O196" s="87">
        <v>63.944749999999999</v>
      </c>
      <c r="P196" s="87">
        <v>63.574440000000003</v>
      </c>
      <c r="Q196" s="88">
        <v>57.81212</v>
      </c>
      <c r="S196" s="109">
        <v>61.219136666666664</v>
      </c>
      <c r="T196" s="111">
        <f t="shared" si="36"/>
        <v>1.0445222438887709</v>
      </c>
      <c r="U196" s="111">
        <f t="shared" si="37"/>
        <v>0.94434719513903631</v>
      </c>
      <c r="AD196" s="209" t="str">
        <f t="shared" si="38"/>
        <v>Winter</v>
      </c>
      <c r="AE196">
        <f t="shared" si="39"/>
        <v>3</v>
      </c>
      <c r="AF196" s="207">
        <v>48639</v>
      </c>
      <c r="AG196" s="206">
        <v>432</v>
      </c>
      <c r="AH196" s="206">
        <v>312</v>
      </c>
      <c r="AI196">
        <f t="shared" si="40"/>
        <v>27</v>
      </c>
      <c r="AJ196">
        <f t="shared" si="41"/>
        <v>4</v>
      </c>
    </row>
    <row r="197" spans="2:36" x14ac:dyDescent="0.2">
      <c r="B197" s="90">
        <f t="shared" si="33"/>
        <v>48853</v>
      </c>
      <c r="C197" s="83">
        <v>5.6582381596475058</v>
      </c>
      <c r="D197" s="83">
        <v>5.6801448360779272</v>
      </c>
      <c r="E197" s="91">
        <f t="shared" si="31"/>
        <v>2033</v>
      </c>
      <c r="K197" s="17">
        <f t="shared" si="34"/>
        <v>10</v>
      </c>
      <c r="L197" s="112">
        <f t="shared" si="35"/>
        <v>2033</v>
      </c>
      <c r="M197" s="86">
        <f t="shared" si="32"/>
        <v>48853</v>
      </c>
      <c r="N197" s="87">
        <v>59.472850000000001</v>
      </c>
      <c r="O197" s="87">
        <v>58.0212</v>
      </c>
      <c r="P197" s="87">
        <v>50.4925</v>
      </c>
      <c r="Q197" s="88">
        <v>53.54956</v>
      </c>
      <c r="S197" s="109">
        <v>56.049831827956993</v>
      </c>
      <c r="T197" s="111">
        <f t="shared" si="36"/>
        <v>1.0351717053869858</v>
      </c>
      <c r="U197" s="111">
        <f t="shared" si="37"/>
        <v>0.95539198341162757</v>
      </c>
      <c r="AD197" s="209" t="str">
        <f t="shared" si="38"/>
        <v>Winter</v>
      </c>
      <c r="AE197">
        <f t="shared" si="39"/>
        <v>4</v>
      </c>
      <c r="AF197" s="207">
        <v>48670</v>
      </c>
      <c r="AG197" s="206">
        <v>416</v>
      </c>
      <c r="AH197" s="206">
        <v>304</v>
      </c>
      <c r="AI197">
        <f t="shared" si="40"/>
        <v>26</v>
      </c>
      <c r="AJ197">
        <f t="shared" si="41"/>
        <v>4</v>
      </c>
    </row>
    <row r="198" spans="2:36" x14ac:dyDescent="0.2">
      <c r="B198" s="90">
        <f t="shared" si="33"/>
        <v>48884</v>
      </c>
      <c r="C198" s="83">
        <v>5.9943381698944567</v>
      </c>
      <c r="D198" s="83">
        <v>6.1237599572204227</v>
      </c>
      <c r="E198" s="91">
        <f t="shared" si="31"/>
        <v>2033</v>
      </c>
      <c r="K198" s="17">
        <f t="shared" si="34"/>
        <v>11</v>
      </c>
      <c r="L198" s="112">
        <f t="shared" si="35"/>
        <v>2033</v>
      </c>
      <c r="M198" s="86">
        <f t="shared" si="32"/>
        <v>48884</v>
      </c>
      <c r="N198" s="87">
        <v>60.509729999999998</v>
      </c>
      <c r="O198" s="87">
        <v>56.454819999999998</v>
      </c>
      <c r="P198" s="87">
        <v>52.615459999999999</v>
      </c>
      <c r="Q198" s="88">
        <v>52.817010000000003</v>
      </c>
      <c r="S198" s="109">
        <v>54.835212496532591</v>
      </c>
      <c r="T198" s="111">
        <f t="shared" si="36"/>
        <v>1.0295359027480713</v>
      </c>
      <c r="U198" s="111">
        <f t="shared" si="37"/>
        <v>0.96319513676252821</v>
      </c>
      <c r="AD198" s="209" t="str">
        <f t="shared" si="38"/>
        <v>Winter</v>
      </c>
      <c r="AE198">
        <f t="shared" si="39"/>
        <v>5</v>
      </c>
      <c r="AF198" s="207">
        <v>48700</v>
      </c>
      <c r="AG198" s="206">
        <v>400</v>
      </c>
      <c r="AH198" s="206">
        <v>344</v>
      </c>
      <c r="AI198">
        <f t="shared" si="40"/>
        <v>25</v>
      </c>
      <c r="AJ198">
        <f t="shared" si="41"/>
        <v>6</v>
      </c>
    </row>
    <row r="199" spans="2:36" x14ac:dyDescent="0.2">
      <c r="B199" s="92">
        <f t="shared" si="33"/>
        <v>48914</v>
      </c>
      <c r="C199" s="93">
        <v>6.3644580592273803</v>
      </c>
      <c r="D199" s="93">
        <v>6.6386897026265563</v>
      </c>
      <c r="E199" s="94">
        <f t="shared" si="31"/>
        <v>2033</v>
      </c>
      <c r="K199" s="17">
        <f t="shared" si="34"/>
        <v>12</v>
      </c>
      <c r="L199" s="112">
        <f t="shared" si="35"/>
        <v>2033</v>
      </c>
      <c r="M199" s="95">
        <f t="shared" si="32"/>
        <v>48914</v>
      </c>
      <c r="N199" s="96">
        <v>59.325710000000001</v>
      </c>
      <c r="O199" s="96">
        <v>59.91534</v>
      </c>
      <c r="P199" s="96">
        <v>51.253909999999998</v>
      </c>
      <c r="Q199" s="97">
        <v>57.247030000000002</v>
      </c>
      <c r="S199" s="109">
        <v>58.738988279569895</v>
      </c>
      <c r="T199" s="111">
        <f t="shared" si="36"/>
        <v>1.0200267616941447</v>
      </c>
      <c r="U199" s="111">
        <f t="shared" si="37"/>
        <v>0.97460020468059694</v>
      </c>
      <c r="AD199" s="209" t="str">
        <f t="shared" si="38"/>
        <v>Summer</v>
      </c>
      <c r="AE199">
        <f t="shared" si="39"/>
        <v>6</v>
      </c>
      <c r="AF199" s="207">
        <v>48731</v>
      </c>
      <c r="AG199" s="206">
        <v>416</v>
      </c>
      <c r="AH199" s="206">
        <v>304</v>
      </c>
      <c r="AI199">
        <f t="shared" si="40"/>
        <v>26</v>
      </c>
      <c r="AJ199">
        <f t="shared" si="41"/>
        <v>4</v>
      </c>
    </row>
    <row r="200" spans="2:36" x14ac:dyDescent="0.2">
      <c r="B200" s="266">
        <f t="shared" si="33"/>
        <v>48945</v>
      </c>
      <c r="C200" s="83">
        <v>6.4065730300235684</v>
      </c>
      <c r="D200" s="83">
        <v>6.5995001766393075</v>
      </c>
      <c r="E200" s="265">
        <f t="shared" ref="E200:E247" si="42">YEAR(B200)</f>
        <v>2034</v>
      </c>
      <c r="K200" s="17">
        <f t="shared" si="34"/>
        <v>1</v>
      </c>
      <c r="L200" s="112">
        <f t="shared" si="35"/>
        <v>2034</v>
      </c>
      <c r="M200" s="86">
        <f t="shared" ref="M200:M247" si="43">B200</f>
        <v>48945</v>
      </c>
      <c r="N200" s="264">
        <v>58.436950000000003</v>
      </c>
      <c r="O200" s="264">
        <v>59.688850000000002</v>
      </c>
      <c r="P200" s="264">
        <v>51.123750000000001</v>
      </c>
      <c r="Q200" s="263">
        <v>56.1982</v>
      </c>
      <c r="S200" s="109">
        <v>58.074893548387095</v>
      </c>
      <c r="T200" s="111">
        <f t="shared" si="36"/>
        <v>1.0277909498063598</v>
      </c>
      <c r="U200" s="111">
        <f t="shared" si="37"/>
        <v>0.96768494208562839</v>
      </c>
      <c r="AD200" s="209" t="str">
        <f t="shared" si="38"/>
        <v>Summer</v>
      </c>
      <c r="AE200">
        <f t="shared" si="39"/>
        <v>7</v>
      </c>
      <c r="AF200" s="207">
        <v>48761</v>
      </c>
      <c r="AG200" s="206">
        <v>400</v>
      </c>
      <c r="AH200" s="206">
        <v>344</v>
      </c>
      <c r="AI200">
        <f t="shared" si="40"/>
        <v>25</v>
      </c>
      <c r="AJ200">
        <f t="shared" si="41"/>
        <v>6</v>
      </c>
    </row>
    <row r="201" spans="2:36" x14ac:dyDescent="0.2">
      <c r="B201" s="90">
        <f t="shared" ref="B201:B247" si="44">EDATE(B200,1)</f>
        <v>48976</v>
      </c>
      <c r="C201" s="83">
        <v>6.2374983297469004</v>
      </c>
      <c r="D201" s="83">
        <v>6.4215487895577379</v>
      </c>
      <c r="E201" s="91">
        <f t="shared" si="42"/>
        <v>2034</v>
      </c>
      <c r="K201" s="17">
        <f t="shared" ref="K201:K247" si="45">MONTH(M201)</f>
        <v>2</v>
      </c>
      <c r="L201" s="112">
        <f t="shared" ref="L201:L247" si="46">YEAR(M201)</f>
        <v>2034</v>
      </c>
      <c r="M201" s="86">
        <f t="shared" si="43"/>
        <v>48976</v>
      </c>
      <c r="N201" s="87">
        <v>58.999369999999999</v>
      </c>
      <c r="O201" s="87">
        <v>58.779969999999999</v>
      </c>
      <c r="P201" s="87">
        <v>53.754280000000001</v>
      </c>
      <c r="Q201" s="88">
        <v>56.218110000000003</v>
      </c>
      <c r="S201" s="109">
        <v>57.682029999999997</v>
      </c>
      <c r="T201" s="111">
        <f t="shared" ref="T201:T247" si="47">O201/S201</f>
        <v>1.0190343509061661</v>
      </c>
      <c r="U201" s="111">
        <f t="shared" ref="U201:U247" si="48">Q201/S201</f>
        <v>0.97462086545844528</v>
      </c>
      <c r="AD201" s="209" t="str">
        <f t="shared" si="38"/>
        <v>Summer</v>
      </c>
      <c r="AE201">
        <f t="shared" si="39"/>
        <v>8</v>
      </c>
      <c r="AF201" s="207">
        <v>48792</v>
      </c>
      <c r="AG201" s="206">
        <v>432</v>
      </c>
      <c r="AH201" s="206">
        <v>312</v>
      </c>
      <c r="AI201">
        <f t="shared" si="40"/>
        <v>27</v>
      </c>
      <c r="AJ201">
        <f t="shared" si="41"/>
        <v>4</v>
      </c>
    </row>
    <row r="202" spans="2:36" x14ac:dyDescent="0.2">
      <c r="B202" s="90">
        <f t="shared" si="44"/>
        <v>49004</v>
      </c>
      <c r="C202" s="83">
        <v>5.5071980940670153</v>
      </c>
      <c r="D202" s="83">
        <v>5.5156519572630298</v>
      </c>
      <c r="E202" s="91">
        <f t="shared" si="42"/>
        <v>2034</v>
      </c>
      <c r="K202" s="17">
        <f t="shared" si="45"/>
        <v>3</v>
      </c>
      <c r="L202" s="112">
        <f t="shared" si="46"/>
        <v>2034</v>
      </c>
      <c r="M202" s="86">
        <f t="shared" si="43"/>
        <v>49004</v>
      </c>
      <c r="N202" s="87">
        <v>47.598950000000002</v>
      </c>
      <c r="O202" s="87">
        <v>49.968640000000001</v>
      </c>
      <c r="P202" s="87">
        <v>42.528619999999997</v>
      </c>
      <c r="Q202" s="88">
        <v>49.295209999999997</v>
      </c>
      <c r="S202" s="109">
        <v>49.68676014804845</v>
      </c>
      <c r="T202" s="111">
        <f t="shared" si="47"/>
        <v>1.0056731380977881</v>
      </c>
      <c r="U202" s="111">
        <f t="shared" si="48"/>
        <v>0.99211962810853882</v>
      </c>
      <c r="AD202" s="209" t="str">
        <f t="shared" si="38"/>
        <v>Summer</v>
      </c>
      <c r="AE202">
        <f t="shared" si="39"/>
        <v>9</v>
      </c>
      <c r="AF202" s="207">
        <v>48823</v>
      </c>
      <c r="AG202" s="206">
        <v>400</v>
      </c>
      <c r="AH202" s="206">
        <v>320</v>
      </c>
      <c r="AI202">
        <f t="shared" si="40"/>
        <v>25</v>
      </c>
      <c r="AJ202">
        <f t="shared" si="41"/>
        <v>5</v>
      </c>
    </row>
    <row r="203" spans="2:36" x14ac:dyDescent="0.2">
      <c r="B203" s="90">
        <f t="shared" si="44"/>
        <v>49035</v>
      </c>
      <c r="C203" s="83">
        <v>5.1760166205553855</v>
      </c>
      <c r="D203" s="83">
        <v>5.0061365542630307</v>
      </c>
      <c r="E203" s="91">
        <f t="shared" si="42"/>
        <v>2034</v>
      </c>
      <c r="K203" s="17">
        <f t="shared" si="45"/>
        <v>4</v>
      </c>
      <c r="L203" s="112">
        <f t="shared" si="46"/>
        <v>2034</v>
      </c>
      <c r="M203" s="86">
        <f t="shared" si="43"/>
        <v>49035</v>
      </c>
      <c r="N203" s="87">
        <v>44.411619999999999</v>
      </c>
      <c r="O203" s="87">
        <v>51.968510000000002</v>
      </c>
      <c r="P203" s="87">
        <v>40.108539999999998</v>
      </c>
      <c r="Q203" s="88">
        <v>48.827669999999998</v>
      </c>
      <c r="S203" s="109">
        <v>50.572581111111113</v>
      </c>
      <c r="T203" s="111">
        <f t="shared" si="47"/>
        <v>1.0276024845522902</v>
      </c>
      <c r="U203" s="111">
        <f t="shared" si="48"/>
        <v>0.96549689430963714</v>
      </c>
      <c r="AD203" s="209" t="str">
        <f t="shared" si="38"/>
        <v>Winter</v>
      </c>
      <c r="AE203">
        <f t="shared" si="39"/>
        <v>10</v>
      </c>
      <c r="AF203" s="207">
        <v>48853</v>
      </c>
      <c r="AG203" s="206">
        <v>416</v>
      </c>
      <c r="AH203" s="206">
        <v>328</v>
      </c>
      <c r="AI203">
        <f t="shared" si="40"/>
        <v>26</v>
      </c>
      <c r="AJ203">
        <f t="shared" si="41"/>
        <v>5</v>
      </c>
    </row>
    <row r="204" spans="2:36" x14ac:dyDescent="0.2">
      <c r="B204" s="90">
        <f t="shared" si="44"/>
        <v>49065</v>
      </c>
      <c r="C204" s="83">
        <v>5.0861508556204535</v>
      </c>
      <c r="D204" s="83">
        <v>5.0141807201235711</v>
      </c>
      <c r="E204" s="91">
        <f t="shared" si="42"/>
        <v>2034</v>
      </c>
      <c r="K204" s="17">
        <f t="shared" si="45"/>
        <v>5</v>
      </c>
      <c r="L204" s="112">
        <f t="shared" si="46"/>
        <v>2034</v>
      </c>
      <c r="M204" s="86">
        <f t="shared" si="43"/>
        <v>49065</v>
      </c>
      <c r="N204" s="87">
        <v>39.023879999999998</v>
      </c>
      <c r="O204" s="87">
        <v>57.41028</v>
      </c>
      <c r="P204" s="87">
        <v>34.719990000000003</v>
      </c>
      <c r="Q204" s="88">
        <v>51.822899999999997</v>
      </c>
      <c r="S204" s="109">
        <v>54.947026451612906</v>
      </c>
      <c r="T204" s="111">
        <f t="shared" si="47"/>
        <v>1.0448296060307516</v>
      </c>
      <c r="U204" s="111">
        <f t="shared" si="48"/>
        <v>0.94314293869270516</v>
      </c>
      <c r="AD204" s="209" t="str">
        <f t="shared" si="38"/>
        <v>Winter</v>
      </c>
      <c r="AE204">
        <f t="shared" si="39"/>
        <v>11</v>
      </c>
      <c r="AF204" s="207">
        <v>48884</v>
      </c>
      <c r="AG204" s="206">
        <v>400</v>
      </c>
      <c r="AH204" s="206">
        <v>320</v>
      </c>
      <c r="AI204">
        <f t="shared" si="40"/>
        <v>25</v>
      </c>
      <c r="AJ204">
        <f t="shared" si="41"/>
        <v>5</v>
      </c>
    </row>
    <row r="205" spans="2:36" x14ac:dyDescent="0.2">
      <c r="B205" s="90">
        <f t="shared" si="44"/>
        <v>49096</v>
      </c>
      <c r="C205" s="83">
        <v>5.1478375038426076</v>
      </c>
      <c r="D205" s="83">
        <v>5.0627551062814495</v>
      </c>
      <c r="E205" s="91">
        <f t="shared" si="42"/>
        <v>2034</v>
      </c>
      <c r="K205" s="17">
        <f t="shared" si="45"/>
        <v>6</v>
      </c>
      <c r="L205" s="112">
        <f t="shared" si="46"/>
        <v>2034</v>
      </c>
      <c r="M205" s="86">
        <f t="shared" si="43"/>
        <v>49096</v>
      </c>
      <c r="N205" s="87">
        <v>45.168439999999997</v>
      </c>
      <c r="O205" s="87">
        <v>67.683430000000001</v>
      </c>
      <c r="P205" s="87">
        <v>36.735729999999997</v>
      </c>
      <c r="Q205" s="88">
        <v>55.52346</v>
      </c>
      <c r="S205" s="109">
        <v>62.549220444444444</v>
      </c>
      <c r="T205" s="111">
        <f t="shared" si="47"/>
        <v>1.0820827105289939</v>
      </c>
      <c r="U205" s="111">
        <f t="shared" si="48"/>
        <v>0.88767629085506106</v>
      </c>
      <c r="AD205" s="209" t="str">
        <f t="shared" si="38"/>
        <v>Winter</v>
      </c>
      <c r="AE205">
        <f t="shared" si="39"/>
        <v>12</v>
      </c>
      <c r="AF205" s="207">
        <v>48914</v>
      </c>
      <c r="AG205" s="206">
        <v>416</v>
      </c>
      <c r="AH205" s="206">
        <v>328</v>
      </c>
      <c r="AI205">
        <f t="shared" si="40"/>
        <v>26</v>
      </c>
      <c r="AJ205">
        <f t="shared" si="41"/>
        <v>5</v>
      </c>
    </row>
    <row r="206" spans="2:36" x14ac:dyDescent="0.2">
      <c r="B206" s="90">
        <f t="shared" si="44"/>
        <v>49126</v>
      </c>
      <c r="C206" s="83">
        <v>5.4718461112818941</v>
      </c>
      <c r="D206" s="83">
        <v>5.4833205983235507</v>
      </c>
      <c r="E206" s="91">
        <f t="shared" si="42"/>
        <v>2034</v>
      </c>
      <c r="K206" s="17">
        <f t="shared" si="45"/>
        <v>7</v>
      </c>
      <c r="L206" s="112">
        <f t="shared" si="46"/>
        <v>2034</v>
      </c>
      <c r="M206" s="86">
        <f t="shared" si="43"/>
        <v>49126</v>
      </c>
      <c r="N206" s="87">
        <v>63.825119999999998</v>
      </c>
      <c r="O206" s="87">
        <v>75.848020000000005</v>
      </c>
      <c r="P206" s="87">
        <v>54.145650000000003</v>
      </c>
      <c r="Q206" s="88">
        <v>63.797020000000003</v>
      </c>
      <c r="S206" s="109">
        <v>70.276052258064524</v>
      </c>
      <c r="T206" s="111">
        <f t="shared" si="47"/>
        <v>1.0792868632044719</v>
      </c>
      <c r="U206" s="111">
        <f t="shared" si="48"/>
        <v>0.90780597301805577</v>
      </c>
      <c r="AD206" s="209" t="str">
        <f t="shared" si="38"/>
        <v>Winter</v>
      </c>
      <c r="AE206">
        <f t="shared" si="39"/>
        <v>1</v>
      </c>
      <c r="AF206" s="207">
        <v>48945</v>
      </c>
      <c r="AG206" s="206">
        <v>400</v>
      </c>
      <c r="AH206" s="206">
        <v>344</v>
      </c>
      <c r="AI206">
        <f t="shared" si="40"/>
        <v>25</v>
      </c>
      <c r="AJ206">
        <f t="shared" si="41"/>
        <v>6</v>
      </c>
    </row>
    <row r="207" spans="2:36" x14ac:dyDescent="0.2">
      <c r="B207" s="90">
        <f t="shared" si="44"/>
        <v>49157</v>
      </c>
      <c r="C207" s="83">
        <v>5.6004453530074807</v>
      </c>
      <c r="D207" s="83">
        <v>5.5722705092814486</v>
      </c>
      <c r="E207" s="91">
        <f t="shared" si="42"/>
        <v>2034</v>
      </c>
      <c r="K207" s="17">
        <f t="shared" si="45"/>
        <v>8</v>
      </c>
      <c r="L207" s="112">
        <f t="shared" si="46"/>
        <v>2034</v>
      </c>
      <c r="M207" s="86">
        <f t="shared" si="43"/>
        <v>49157</v>
      </c>
      <c r="N207" s="87">
        <v>69.459220000000002</v>
      </c>
      <c r="O207" s="87">
        <v>77.957359999999994</v>
      </c>
      <c r="P207" s="87">
        <v>57.98959</v>
      </c>
      <c r="Q207" s="88">
        <v>63.934559999999998</v>
      </c>
      <c r="S207" s="109">
        <v>72.076830967741927</v>
      </c>
      <c r="T207" s="111">
        <f t="shared" si="47"/>
        <v>1.0815869531623818</v>
      </c>
      <c r="U207" s="111">
        <f t="shared" si="48"/>
        <v>0.88703344946747154</v>
      </c>
      <c r="AD207" s="209" t="str">
        <f t="shared" si="38"/>
        <v>Winter</v>
      </c>
      <c r="AE207">
        <f t="shared" si="39"/>
        <v>2</v>
      </c>
      <c r="AF207" s="207">
        <v>48976</v>
      </c>
      <c r="AG207" s="206">
        <v>384</v>
      </c>
      <c r="AH207" s="206">
        <v>288</v>
      </c>
      <c r="AI207">
        <f t="shared" si="40"/>
        <v>24</v>
      </c>
      <c r="AJ207">
        <f t="shared" si="41"/>
        <v>4</v>
      </c>
    </row>
    <row r="208" spans="2:36" x14ac:dyDescent="0.2">
      <c r="B208" s="90">
        <f t="shared" si="44"/>
        <v>49188</v>
      </c>
      <c r="C208" s="83">
        <v>5.5175475151142539</v>
      </c>
      <c r="D208" s="83">
        <v>5.4509892393840707</v>
      </c>
      <c r="E208" s="91">
        <f t="shared" si="42"/>
        <v>2034</v>
      </c>
      <c r="K208" s="17">
        <f t="shared" si="45"/>
        <v>9</v>
      </c>
      <c r="L208" s="112">
        <f t="shared" si="46"/>
        <v>2034</v>
      </c>
      <c r="M208" s="86">
        <f t="shared" si="43"/>
        <v>49188</v>
      </c>
      <c r="N208" s="87">
        <v>68.885620000000003</v>
      </c>
      <c r="O208" s="87">
        <v>61.885579999999997</v>
      </c>
      <c r="P208" s="87">
        <v>63.231299999999997</v>
      </c>
      <c r="Q208" s="88">
        <v>56.516509999999997</v>
      </c>
      <c r="S208" s="109">
        <v>59.499326666666661</v>
      </c>
      <c r="T208" s="111">
        <f t="shared" si="47"/>
        <v>1.0401055518947611</v>
      </c>
      <c r="U208" s="111">
        <f t="shared" si="48"/>
        <v>0.9498680601315489</v>
      </c>
      <c r="AD208" s="209" t="str">
        <f t="shared" si="38"/>
        <v>Winter</v>
      </c>
      <c r="AE208">
        <f t="shared" si="39"/>
        <v>3</v>
      </c>
      <c r="AF208" s="207">
        <v>49004</v>
      </c>
      <c r="AG208" s="206">
        <v>432</v>
      </c>
      <c r="AH208" s="206">
        <v>312</v>
      </c>
      <c r="AI208">
        <f t="shared" si="40"/>
        <v>27</v>
      </c>
      <c r="AJ208">
        <f t="shared" si="41"/>
        <v>4</v>
      </c>
    </row>
    <row r="209" spans="2:36" x14ac:dyDescent="0.2">
      <c r="B209" s="90">
        <f t="shared" si="44"/>
        <v>49218</v>
      </c>
      <c r="C209" s="83">
        <v>5.5521822112921413</v>
      </c>
      <c r="D209" s="83">
        <v>5.4833205983235498</v>
      </c>
      <c r="E209" s="91">
        <f t="shared" si="42"/>
        <v>2034</v>
      </c>
      <c r="K209" s="17">
        <f t="shared" si="45"/>
        <v>10</v>
      </c>
      <c r="L209" s="112">
        <f t="shared" si="46"/>
        <v>2034</v>
      </c>
      <c r="M209" s="86">
        <f t="shared" si="43"/>
        <v>49218</v>
      </c>
      <c r="N209" s="87">
        <v>56.245330000000003</v>
      </c>
      <c r="O209" s="87">
        <v>55.688899999999997</v>
      </c>
      <c r="P209" s="87">
        <v>47.58258</v>
      </c>
      <c r="Q209" s="88">
        <v>51.147539999999999</v>
      </c>
      <c r="S209" s="109">
        <v>53.686795053763433</v>
      </c>
      <c r="T209" s="111">
        <f t="shared" si="47"/>
        <v>1.0372923163737302</v>
      </c>
      <c r="U209" s="111">
        <f t="shared" si="48"/>
        <v>0.95270242801380578</v>
      </c>
      <c r="AD209" s="209" t="str">
        <f t="shared" si="38"/>
        <v>Winter</v>
      </c>
      <c r="AE209">
        <f t="shared" si="39"/>
        <v>4</v>
      </c>
      <c r="AF209" s="207">
        <v>49035</v>
      </c>
      <c r="AG209" s="206">
        <v>400</v>
      </c>
      <c r="AH209" s="206">
        <v>320</v>
      </c>
      <c r="AI209">
        <f t="shared" si="40"/>
        <v>25</v>
      </c>
      <c r="AJ209">
        <f t="shared" si="41"/>
        <v>5</v>
      </c>
    </row>
    <row r="210" spans="2:36" x14ac:dyDescent="0.2">
      <c r="B210" s="90">
        <f t="shared" si="44"/>
        <v>49249</v>
      </c>
      <c r="C210" s="83">
        <v>5.8794698432216421</v>
      </c>
      <c r="D210" s="83">
        <v>5.9605046423840706</v>
      </c>
      <c r="E210" s="91">
        <f t="shared" si="42"/>
        <v>2034</v>
      </c>
      <c r="K210" s="17">
        <f t="shared" si="45"/>
        <v>11</v>
      </c>
      <c r="L210" s="112">
        <f t="shared" si="46"/>
        <v>2034</v>
      </c>
      <c r="M210" s="86">
        <f t="shared" si="43"/>
        <v>49249</v>
      </c>
      <c r="N210" s="87">
        <v>60.766759999999998</v>
      </c>
      <c r="O210" s="87">
        <v>56.371070000000003</v>
      </c>
      <c r="P210" s="87">
        <v>53.703449999999997</v>
      </c>
      <c r="Q210" s="88">
        <v>52.895629999999997</v>
      </c>
      <c r="S210" s="109">
        <v>54.82375205270457</v>
      </c>
      <c r="T210" s="111">
        <f t="shared" si="47"/>
        <v>1.0282234960096843</v>
      </c>
      <c r="U210" s="111">
        <f t="shared" si="48"/>
        <v>0.96483053456737178</v>
      </c>
      <c r="AD210" s="209" t="str">
        <f t="shared" si="38"/>
        <v>Winter</v>
      </c>
      <c r="AE210">
        <f t="shared" si="39"/>
        <v>5</v>
      </c>
      <c r="AF210" s="207">
        <v>49065</v>
      </c>
      <c r="AG210" s="206">
        <v>416</v>
      </c>
      <c r="AH210" s="206">
        <v>328</v>
      </c>
      <c r="AI210">
        <f t="shared" si="40"/>
        <v>26</v>
      </c>
      <c r="AJ210">
        <f t="shared" si="41"/>
        <v>5</v>
      </c>
    </row>
    <row r="211" spans="2:36" x14ac:dyDescent="0.2">
      <c r="B211" s="92">
        <f t="shared" si="44"/>
        <v>49279</v>
      </c>
      <c r="C211" s="93">
        <v>6.225406926939236</v>
      </c>
      <c r="D211" s="93">
        <v>6.4862630726024708</v>
      </c>
      <c r="E211" s="94">
        <f t="shared" si="42"/>
        <v>2034</v>
      </c>
      <c r="K211" s="17">
        <f t="shared" si="45"/>
        <v>12</v>
      </c>
      <c r="L211" s="112">
        <f t="shared" si="46"/>
        <v>2034</v>
      </c>
      <c r="M211" s="95">
        <f t="shared" si="43"/>
        <v>49279</v>
      </c>
      <c r="N211" s="96">
        <v>59.40108</v>
      </c>
      <c r="O211" s="96">
        <v>60.42501</v>
      </c>
      <c r="P211" s="96">
        <v>51.69211</v>
      </c>
      <c r="Q211" s="97">
        <v>57.79748</v>
      </c>
      <c r="S211" s="109">
        <v>59.210130537634406</v>
      </c>
      <c r="T211" s="111">
        <f t="shared" si="47"/>
        <v>1.0205181014014724</v>
      </c>
      <c r="U211" s="111">
        <f t="shared" si="48"/>
        <v>0.97614174255642772</v>
      </c>
      <c r="AD211" s="209" t="str">
        <f t="shared" si="38"/>
        <v>Summer</v>
      </c>
      <c r="AE211">
        <f t="shared" si="39"/>
        <v>6</v>
      </c>
      <c r="AF211" s="207">
        <v>49096</v>
      </c>
      <c r="AG211" s="206">
        <v>416</v>
      </c>
      <c r="AH211" s="206">
        <v>304</v>
      </c>
      <c r="AI211">
        <f t="shared" si="40"/>
        <v>26</v>
      </c>
      <c r="AJ211">
        <f t="shared" si="41"/>
        <v>4</v>
      </c>
    </row>
    <row r="212" spans="2:36" x14ac:dyDescent="0.2">
      <c r="B212" s="266">
        <f t="shared" si="44"/>
        <v>49310</v>
      </c>
      <c r="C212" s="83">
        <v>6.293754093657137</v>
      </c>
      <c r="D212" s="83">
        <v>6.4318618227122766</v>
      </c>
      <c r="E212" s="265">
        <f t="shared" si="42"/>
        <v>2035</v>
      </c>
      <c r="K212" s="17">
        <f t="shared" si="45"/>
        <v>1</v>
      </c>
      <c r="L212" s="112">
        <f t="shared" si="46"/>
        <v>2035</v>
      </c>
      <c r="M212" s="86">
        <f t="shared" si="43"/>
        <v>49310</v>
      </c>
      <c r="N212" s="264">
        <v>58.235849999999999</v>
      </c>
      <c r="O212" s="264">
        <v>60.042659999999998</v>
      </c>
      <c r="P212" s="264">
        <v>50.350749999999998</v>
      </c>
      <c r="Q212" s="263">
        <v>56.355930000000001</v>
      </c>
      <c r="S212" s="109">
        <v>58.417327419354834</v>
      </c>
      <c r="T212" s="111">
        <f t="shared" si="47"/>
        <v>1.0278227822539285</v>
      </c>
      <c r="U212" s="111">
        <f t="shared" si="48"/>
        <v>0.96471256884867607</v>
      </c>
      <c r="AD212" s="209" t="str">
        <f t="shared" si="38"/>
        <v>Summer</v>
      </c>
      <c r="AE212">
        <f t="shared" si="39"/>
        <v>7</v>
      </c>
      <c r="AF212" s="207">
        <v>49126</v>
      </c>
      <c r="AG212" s="206">
        <v>400</v>
      </c>
      <c r="AH212" s="206">
        <v>344</v>
      </c>
      <c r="AI212">
        <f t="shared" si="40"/>
        <v>25</v>
      </c>
      <c r="AJ212">
        <f t="shared" si="41"/>
        <v>6</v>
      </c>
    </row>
    <row r="213" spans="2:36" x14ac:dyDescent="0.2">
      <c r="B213" s="90">
        <f t="shared" si="44"/>
        <v>49341</v>
      </c>
      <c r="C213" s="83">
        <v>6.1725326570345329</v>
      </c>
      <c r="D213" s="83">
        <v>6.3162527210498949</v>
      </c>
      <c r="E213" s="91">
        <f t="shared" si="42"/>
        <v>2035</v>
      </c>
      <c r="K213" s="17">
        <f t="shared" si="45"/>
        <v>2</v>
      </c>
      <c r="L213" s="112">
        <f t="shared" si="46"/>
        <v>2035</v>
      </c>
      <c r="M213" s="86">
        <f t="shared" si="43"/>
        <v>49341</v>
      </c>
      <c r="N213" s="87">
        <v>59.963880000000003</v>
      </c>
      <c r="O213" s="87">
        <v>59.40193</v>
      </c>
      <c r="P213" s="87">
        <v>54.500709999999998</v>
      </c>
      <c r="Q213" s="88">
        <v>56.755850000000002</v>
      </c>
      <c r="S213" s="109">
        <v>58.267895714285714</v>
      </c>
      <c r="T213" s="111">
        <f t="shared" si="47"/>
        <v>1.0194624204600589</v>
      </c>
      <c r="U213" s="111">
        <f t="shared" si="48"/>
        <v>0.97405010605325504</v>
      </c>
      <c r="AD213" s="209" t="str">
        <f t="shared" si="38"/>
        <v>Summer</v>
      </c>
      <c r="AE213">
        <f t="shared" si="39"/>
        <v>8</v>
      </c>
      <c r="AF213" s="207">
        <v>49157</v>
      </c>
      <c r="AG213" s="206">
        <v>432</v>
      </c>
      <c r="AH213" s="206">
        <v>312</v>
      </c>
      <c r="AI213">
        <f t="shared" si="40"/>
        <v>27</v>
      </c>
      <c r="AJ213">
        <f t="shared" si="41"/>
        <v>4</v>
      </c>
    </row>
    <row r="214" spans="2:36" x14ac:dyDescent="0.2">
      <c r="B214" s="90">
        <f t="shared" si="44"/>
        <v>49369</v>
      </c>
      <c r="C214" s="83">
        <v>5.802105359155652</v>
      </c>
      <c r="D214" s="83">
        <v>5.7712604839982795</v>
      </c>
      <c r="E214" s="91">
        <f t="shared" si="42"/>
        <v>2035</v>
      </c>
      <c r="K214" s="17">
        <f t="shared" si="45"/>
        <v>3</v>
      </c>
      <c r="L214" s="112">
        <f t="shared" si="46"/>
        <v>2035</v>
      </c>
      <c r="M214" s="86">
        <f t="shared" si="43"/>
        <v>49369</v>
      </c>
      <c r="N214" s="87">
        <v>50.141770000000001</v>
      </c>
      <c r="O214" s="87">
        <v>54.205660000000002</v>
      </c>
      <c r="P214" s="87">
        <v>45.415959999999998</v>
      </c>
      <c r="Q214" s="88">
        <v>53.081330000000001</v>
      </c>
      <c r="S214" s="109">
        <v>53.735045423956933</v>
      </c>
      <c r="T214" s="111">
        <f t="shared" si="47"/>
        <v>1.0087580567268535</v>
      </c>
      <c r="U214" s="111">
        <f t="shared" si="48"/>
        <v>0.98783446782636419</v>
      </c>
      <c r="AD214" s="209" t="str">
        <f t="shared" si="38"/>
        <v>Summer</v>
      </c>
      <c r="AE214">
        <f t="shared" si="39"/>
        <v>9</v>
      </c>
      <c r="AF214" s="207">
        <v>49188</v>
      </c>
      <c r="AG214" s="206">
        <v>400</v>
      </c>
      <c r="AH214" s="206">
        <v>320</v>
      </c>
      <c r="AI214">
        <f t="shared" si="40"/>
        <v>25</v>
      </c>
      <c r="AJ214">
        <f t="shared" si="41"/>
        <v>5</v>
      </c>
    </row>
    <row r="215" spans="2:36" x14ac:dyDescent="0.2">
      <c r="B215" s="90">
        <f t="shared" si="44"/>
        <v>49400</v>
      </c>
      <c r="C215" s="83">
        <v>5.5131413259555284</v>
      </c>
      <c r="D215" s="83">
        <v>5.3666286281799414</v>
      </c>
      <c r="E215" s="91">
        <f t="shared" si="42"/>
        <v>2035</v>
      </c>
      <c r="K215" s="17">
        <f t="shared" si="45"/>
        <v>4</v>
      </c>
      <c r="L215" s="112">
        <f t="shared" si="46"/>
        <v>2035</v>
      </c>
      <c r="M215" s="86">
        <f t="shared" si="43"/>
        <v>49400</v>
      </c>
      <c r="N215" s="87">
        <v>51.544969999999999</v>
      </c>
      <c r="O215" s="87">
        <v>57.503500000000003</v>
      </c>
      <c r="P215" s="87">
        <v>46.375639999999997</v>
      </c>
      <c r="Q215" s="88">
        <v>53.89537</v>
      </c>
      <c r="S215" s="109">
        <v>55.899886666666667</v>
      </c>
      <c r="T215" s="111">
        <f t="shared" si="47"/>
        <v>1.0286872376485439</v>
      </c>
      <c r="U215" s="111">
        <f t="shared" si="48"/>
        <v>0.96414095293932023</v>
      </c>
      <c r="AD215" s="209" t="str">
        <f t="shared" si="38"/>
        <v>Winter</v>
      </c>
      <c r="AE215">
        <f t="shared" si="39"/>
        <v>10</v>
      </c>
      <c r="AF215" s="207">
        <v>49218</v>
      </c>
      <c r="AG215" s="206">
        <v>416</v>
      </c>
      <c r="AH215" s="206">
        <v>328</v>
      </c>
      <c r="AI215">
        <f t="shared" si="40"/>
        <v>26</v>
      </c>
      <c r="AJ215">
        <f t="shared" si="41"/>
        <v>5</v>
      </c>
    </row>
    <row r="216" spans="2:36" x14ac:dyDescent="0.2">
      <c r="B216" s="90">
        <f t="shared" si="44"/>
        <v>49430</v>
      </c>
      <c r="C216" s="83">
        <v>5.4556559278614616</v>
      </c>
      <c r="D216" s="83">
        <v>5.32527336523024</v>
      </c>
      <c r="E216" s="91">
        <f t="shared" si="42"/>
        <v>2035</v>
      </c>
      <c r="K216" s="17">
        <f t="shared" si="45"/>
        <v>5</v>
      </c>
      <c r="L216" s="112">
        <f t="shared" si="46"/>
        <v>2035</v>
      </c>
      <c r="M216" s="86">
        <f t="shared" si="43"/>
        <v>49430</v>
      </c>
      <c r="N216" s="87">
        <v>41.569929999999999</v>
      </c>
      <c r="O216" s="87">
        <v>57.249980000000001</v>
      </c>
      <c r="P216" s="87">
        <v>37.125509999999998</v>
      </c>
      <c r="Q216" s="88">
        <v>52.344940000000001</v>
      </c>
      <c r="S216" s="109">
        <v>55.08754301075269</v>
      </c>
      <c r="T216" s="111">
        <f t="shared" si="47"/>
        <v>1.0392545550420578</v>
      </c>
      <c r="U216" s="111">
        <f t="shared" si="48"/>
        <v>0.95021373506860973</v>
      </c>
      <c r="AD216" s="209" t="str">
        <f t="shared" si="38"/>
        <v>Winter</v>
      </c>
      <c r="AE216">
        <f t="shared" si="39"/>
        <v>11</v>
      </c>
      <c r="AF216" s="207">
        <v>49249</v>
      </c>
      <c r="AG216" s="206">
        <v>400</v>
      </c>
      <c r="AH216" s="206">
        <v>320</v>
      </c>
      <c r="AI216">
        <f t="shared" si="40"/>
        <v>25</v>
      </c>
      <c r="AJ216">
        <f t="shared" si="41"/>
        <v>5</v>
      </c>
    </row>
    <row r="217" spans="2:36" x14ac:dyDescent="0.2">
      <c r="B217" s="90">
        <f t="shared" si="44"/>
        <v>49461</v>
      </c>
      <c r="C217" s="83">
        <v>5.4530941899784819</v>
      </c>
      <c r="D217" s="83">
        <v>5.32527336523024</v>
      </c>
      <c r="E217" s="91">
        <f t="shared" si="42"/>
        <v>2035</v>
      </c>
      <c r="K217" s="17">
        <f t="shared" si="45"/>
        <v>6</v>
      </c>
      <c r="L217" s="112">
        <f t="shared" si="46"/>
        <v>2035</v>
      </c>
      <c r="M217" s="86">
        <f t="shared" si="43"/>
        <v>49461</v>
      </c>
      <c r="N217" s="87">
        <v>45.074660000000002</v>
      </c>
      <c r="O217" s="87">
        <v>68.363659999999996</v>
      </c>
      <c r="P217" s="87">
        <v>37.75412</v>
      </c>
      <c r="Q217" s="88">
        <v>57.057659999999998</v>
      </c>
      <c r="S217" s="109">
        <v>63.590015555555546</v>
      </c>
      <c r="T217" s="111">
        <f t="shared" si="47"/>
        <v>1.0750690875405424</v>
      </c>
      <c r="U217" s="111">
        <f t="shared" si="48"/>
        <v>0.89727388020767906</v>
      </c>
      <c r="AD217" s="209" t="str">
        <f t="shared" si="38"/>
        <v>Winter</v>
      </c>
      <c r="AE217">
        <f t="shared" si="39"/>
        <v>12</v>
      </c>
      <c r="AF217" s="207">
        <v>49279</v>
      </c>
      <c r="AG217" s="206">
        <v>400</v>
      </c>
      <c r="AH217" s="206">
        <v>344</v>
      </c>
      <c r="AI217">
        <f t="shared" si="40"/>
        <v>25</v>
      </c>
      <c r="AJ217">
        <f t="shared" si="41"/>
        <v>6</v>
      </c>
    </row>
    <row r="218" spans="2:36" x14ac:dyDescent="0.2">
      <c r="B218" s="90">
        <f t="shared" si="44"/>
        <v>49491</v>
      </c>
      <c r="C218" s="83">
        <v>5.6689974587560199</v>
      </c>
      <c r="D218" s="83">
        <v>5.6803510967410178</v>
      </c>
      <c r="E218" s="91">
        <f t="shared" si="42"/>
        <v>2035</v>
      </c>
      <c r="K218" s="17">
        <f t="shared" si="45"/>
        <v>7</v>
      </c>
      <c r="L218" s="112">
        <f t="shared" si="46"/>
        <v>2035</v>
      </c>
      <c r="M218" s="86">
        <f t="shared" si="43"/>
        <v>49491</v>
      </c>
      <c r="N218" s="87">
        <v>66.734049999999996</v>
      </c>
      <c r="O218" s="87">
        <v>79.734470000000002</v>
      </c>
      <c r="P218" s="87">
        <v>56.058669999999999</v>
      </c>
      <c r="Q218" s="88">
        <v>67.039839999999998</v>
      </c>
      <c r="S218" s="109">
        <v>73.864909892473122</v>
      </c>
      <c r="T218" s="111">
        <f t="shared" si="47"/>
        <v>1.0794634436848476</v>
      </c>
      <c r="U218" s="111">
        <f t="shared" si="48"/>
        <v>0.90760064687808406</v>
      </c>
      <c r="AD218" s="209" t="str">
        <f t="shared" si="38"/>
        <v>Winter</v>
      </c>
      <c r="AE218">
        <f t="shared" si="39"/>
        <v>1</v>
      </c>
      <c r="AF218" s="207">
        <v>49310</v>
      </c>
      <c r="AG218" s="206">
        <v>416</v>
      </c>
      <c r="AH218" s="206">
        <v>328</v>
      </c>
      <c r="AI218">
        <f t="shared" si="40"/>
        <v>26</v>
      </c>
      <c r="AJ218">
        <f t="shared" si="41"/>
        <v>5</v>
      </c>
    </row>
    <row r="219" spans="2:36" x14ac:dyDescent="0.2">
      <c r="B219" s="90">
        <f t="shared" si="44"/>
        <v>49522</v>
      </c>
      <c r="C219" s="83">
        <v>5.8330511527820477</v>
      </c>
      <c r="D219" s="83">
        <v>5.7629584923088757</v>
      </c>
      <c r="E219" s="91">
        <f t="shared" si="42"/>
        <v>2035</v>
      </c>
      <c r="K219" s="17">
        <f t="shared" si="45"/>
        <v>8</v>
      </c>
      <c r="L219" s="112">
        <f t="shared" si="46"/>
        <v>2035</v>
      </c>
      <c r="M219" s="86">
        <f t="shared" si="43"/>
        <v>49522</v>
      </c>
      <c r="N219" s="87">
        <v>73.455539999999999</v>
      </c>
      <c r="O219" s="87">
        <v>82.518900000000002</v>
      </c>
      <c r="P219" s="87">
        <v>61.357080000000003</v>
      </c>
      <c r="Q219" s="88">
        <v>67.522220000000004</v>
      </c>
      <c r="S219" s="109">
        <v>76.229969677419362</v>
      </c>
      <c r="T219" s="111">
        <f t="shared" si="47"/>
        <v>1.0824994467293292</v>
      </c>
      <c r="U219" s="111">
        <f t="shared" si="48"/>
        <v>0.8857699968363133</v>
      </c>
      <c r="AD219" s="209" t="str">
        <f t="shared" si="38"/>
        <v>Winter</v>
      </c>
      <c r="AE219">
        <f t="shared" si="39"/>
        <v>2</v>
      </c>
      <c r="AF219" s="207">
        <v>49341</v>
      </c>
      <c r="AG219" s="206">
        <v>384</v>
      </c>
      <c r="AH219" s="206">
        <v>288</v>
      </c>
      <c r="AI219">
        <f t="shared" si="40"/>
        <v>24</v>
      </c>
      <c r="AJ219">
        <f t="shared" si="41"/>
        <v>4</v>
      </c>
    </row>
    <row r="220" spans="2:36" x14ac:dyDescent="0.2">
      <c r="B220" s="90">
        <f t="shared" si="44"/>
        <v>49553</v>
      </c>
      <c r="C220" s="83">
        <v>5.7321186801926434</v>
      </c>
      <c r="D220" s="83">
        <v>5.6225981110756003</v>
      </c>
      <c r="E220" s="91">
        <f t="shared" si="42"/>
        <v>2035</v>
      </c>
      <c r="K220" s="17">
        <f t="shared" si="45"/>
        <v>9</v>
      </c>
      <c r="L220" s="112">
        <f t="shared" si="46"/>
        <v>2035</v>
      </c>
      <c r="M220" s="86">
        <f t="shared" si="43"/>
        <v>49553</v>
      </c>
      <c r="N220" s="87">
        <v>72.046040000000005</v>
      </c>
      <c r="O220" s="87">
        <v>66.693359999999998</v>
      </c>
      <c r="P220" s="87">
        <v>66.298060000000007</v>
      </c>
      <c r="Q220" s="88">
        <v>59.823030000000003</v>
      </c>
      <c r="S220" s="109">
        <v>63.487206000000008</v>
      </c>
      <c r="T220" s="111">
        <f t="shared" si="47"/>
        <v>1.0505007890881195</v>
      </c>
      <c r="U220" s="111">
        <f t="shared" si="48"/>
        <v>0.94228481247072038</v>
      </c>
      <c r="AD220" s="209" t="str">
        <f t="shared" si="38"/>
        <v>Winter</v>
      </c>
      <c r="AE220">
        <f t="shared" si="39"/>
        <v>3</v>
      </c>
      <c r="AF220" s="207">
        <v>49369</v>
      </c>
      <c r="AG220" s="206">
        <v>432</v>
      </c>
      <c r="AH220" s="206">
        <v>312</v>
      </c>
      <c r="AI220">
        <f t="shared" si="40"/>
        <v>27</v>
      </c>
      <c r="AJ220">
        <f t="shared" si="41"/>
        <v>4</v>
      </c>
    </row>
    <row r="221" spans="2:36" x14ac:dyDescent="0.2">
      <c r="B221" s="90">
        <f t="shared" si="44"/>
        <v>49583</v>
      </c>
      <c r="C221" s="83">
        <v>5.7838657854288353</v>
      </c>
      <c r="D221" s="83">
        <v>5.6308485375992312</v>
      </c>
      <c r="E221" s="91">
        <f t="shared" si="42"/>
        <v>2035</v>
      </c>
      <c r="K221" s="17">
        <f t="shared" si="45"/>
        <v>10</v>
      </c>
      <c r="L221" s="112">
        <f t="shared" si="46"/>
        <v>2035</v>
      </c>
      <c r="M221" s="86">
        <f t="shared" si="43"/>
        <v>49583</v>
      </c>
      <c r="N221" s="87">
        <v>57.418480000000002</v>
      </c>
      <c r="O221" s="87">
        <v>59.38973</v>
      </c>
      <c r="P221" s="87">
        <v>49.107640000000004</v>
      </c>
      <c r="Q221" s="88">
        <v>54.465989999999998</v>
      </c>
      <c r="S221" s="109">
        <v>57.324935806451606</v>
      </c>
      <c r="T221" s="111">
        <f t="shared" si="47"/>
        <v>1.0360191278804016</v>
      </c>
      <c r="U221" s="111">
        <f t="shared" si="48"/>
        <v>0.95012736139636722</v>
      </c>
      <c r="AD221" s="209" t="str">
        <f t="shared" si="38"/>
        <v>Winter</v>
      </c>
      <c r="AE221">
        <f t="shared" si="39"/>
        <v>4</v>
      </c>
      <c r="AF221" s="207">
        <v>49400</v>
      </c>
      <c r="AG221" s="206">
        <v>400</v>
      </c>
      <c r="AH221" s="206">
        <v>320</v>
      </c>
      <c r="AI221">
        <f t="shared" si="40"/>
        <v>25</v>
      </c>
      <c r="AJ221">
        <f t="shared" si="41"/>
        <v>5</v>
      </c>
    </row>
    <row r="222" spans="2:36" x14ac:dyDescent="0.2">
      <c r="B222" s="90">
        <f t="shared" si="44"/>
        <v>49614</v>
      </c>
      <c r="C222" s="83">
        <v>6.0361457321446874</v>
      </c>
      <c r="D222" s="83">
        <v>6.0602316729884631</v>
      </c>
      <c r="E222" s="91">
        <f t="shared" si="42"/>
        <v>2035</v>
      </c>
      <c r="K222" s="17">
        <f t="shared" si="45"/>
        <v>11</v>
      </c>
      <c r="L222" s="112">
        <f t="shared" si="46"/>
        <v>2035</v>
      </c>
      <c r="M222" s="86">
        <f t="shared" si="43"/>
        <v>49614</v>
      </c>
      <c r="N222" s="87">
        <v>58.068539999999999</v>
      </c>
      <c r="O222" s="87">
        <v>59.205680000000001</v>
      </c>
      <c r="P222" s="87">
        <v>52.122750000000003</v>
      </c>
      <c r="Q222" s="88">
        <v>55.28931</v>
      </c>
      <c r="S222" s="109">
        <v>57.462053411927876</v>
      </c>
      <c r="T222" s="111">
        <f t="shared" si="47"/>
        <v>1.0303439658790576</v>
      </c>
      <c r="U222" s="111">
        <f t="shared" si="48"/>
        <v>0.96218820451207787</v>
      </c>
      <c r="AD222" s="209" t="str">
        <f t="shared" si="38"/>
        <v>Winter</v>
      </c>
      <c r="AE222">
        <f t="shared" si="39"/>
        <v>5</v>
      </c>
      <c r="AF222" s="207">
        <v>49430</v>
      </c>
      <c r="AG222" s="206">
        <v>416</v>
      </c>
      <c r="AH222" s="206">
        <v>328</v>
      </c>
      <c r="AI222">
        <f t="shared" si="40"/>
        <v>26</v>
      </c>
      <c r="AJ222">
        <f t="shared" si="41"/>
        <v>5</v>
      </c>
    </row>
    <row r="223" spans="2:36" x14ac:dyDescent="0.2">
      <c r="B223" s="92">
        <f t="shared" si="44"/>
        <v>49644</v>
      </c>
      <c r="C223" s="93">
        <v>6.3402752536120506</v>
      </c>
      <c r="D223" s="93">
        <v>6.5392204978510273</v>
      </c>
      <c r="E223" s="94">
        <f t="shared" si="42"/>
        <v>2035</v>
      </c>
      <c r="K223" s="17">
        <f t="shared" si="45"/>
        <v>12</v>
      </c>
      <c r="L223" s="112">
        <f t="shared" si="46"/>
        <v>2035</v>
      </c>
      <c r="M223" s="95">
        <f t="shared" si="43"/>
        <v>49644</v>
      </c>
      <c r="N223" s="96">
        <v>60.042360000000002</v>
      </c>
      <c r="O223" s="96">
        <v>61.866810000000001</v>
      </c>
      <c r="P223" s="96">
        <v>52.602640000000001</v>
      </c>
      <c r="Q223" s="97">
        <v>59.079970000000003</v>
      </c>
      <c r="S223" s="109">
        <v>60.578271075268816</v>
      </c>
      <c r="T223" s="111">
        <f t="shared" si="47"/>
        <v>1.0212706454287903</v>
      </c>
      <c r="U223" s="111">
        <f t="shared" si="48"/>
        <v>0.97526669136187183</v>
      </c>
      <c r="AD223" s="209" t="str">
        <f t="shared" si="38"/>
        <v>Summer</v>
      </c>
      <c r="AE223">
        <f t="shared" si="39"/>
        <v>6</v>
      </c>
      <c r="AF223" s="207">
        <v>49461</v>
      </c>
      <c r="AG223" s="206">
        <v>416</v>
      </c>
      <c r="AH223" s="206">
        <v>304</v>
      </c>
      <c r="AI223">
        <f t="shared" si="40"/>
        <v>26</v>
      </c>
      <c r="AJ223">
        <f t="shared" si="41"/>
        <v>4</v>
      </c>
    </row>
    <row r="224" spans="2:36" x14ac:dyDescent="0.2">
      <c r="B224" s="266">
        <f t="shared" si="44"/>
        <v>49675</v>
      </c>
      <c r="C224" s="83">
        <v>6.3408900707039662</v>
      </c>
      <c r="D224" s="83">
        <v>6.4397512930754992</v>
      </c>
      <c r="E224" s="265">
        <f t="shared" si="42"/>
        <v>2036</v>
      </c>
      <c r="K224" s="17">
        <f t="shared" si="45"/>
        <v>1</v>
      </c>
      <c r="L224" s="112">
        <f t="shared" si="46"/>
        <v>2036</v>
      </c>
      <c r="M224" s="86">
        <f t="shared" si="43"/>
        <v>49675</v>
      </c>
      <c r="N224" s="264">
        <v>58.968069999999997</v>
      </c>
      <c r="O224" s="264">
        <v>61.168570000000003</v>
      </c>
      <c r="P224" s="264">
        <v>51.073749999999997</v>
      </c>
      <c r="Q224" s="263">
        <v>57.545769999999997</v>
      </c>
      <c r="S224" s="109">
        <v>59.571421612903222</v>
      </c>
      <c r="T224" s="111">
        <f t="shared" si="47"/>
        <v>1.0268106475194616</v>
      </c>
      <c r="U224" s="111">
        <f t="shared" si="48"/>
        <v>0.96599625192653671</v>
      </c>
      <c r="AD224" s="209" t="str">
        <f t="shared" si="38"/>
        <v>Summer</v>
      </c>
      <c r="AE224">
        <f t="shared" si="39"/>
        <v>7</v>
      </c>
      <c r="AF224" s="207">
        <v>49491</v>
      </c>
      <c r="AG224" s="206">
        <v>400</v>
      </c>
      <c r="AH224" s="206">
        <v>344</v>
      </c>
      <c r="AI224">
        <f t="shared" si="40"/>
        <v>25</v>
      </c>
      <c r="AJ224">
        <f t="shared" si="41"/>
        <v>6</v>
      </c>
    </row>
    <row r="225" spans="2:36" x14ac:dyDescent="0.2">
      <c r="B225" s="90">
        <f t="shared" si="44"/>
        <v>49706</v>
      </c>
      <c r="C225" s="83">
        <v>6.2361662260477519</v>
      </c>
      <c r="D225" s="83">
        <v>6.3638989342238643</v>
      </c>
      <c r="E225" s="91">
        <f t="shared" si="42"/>
        <v>2036</v>
      </c>
      <c r="K225" s="17">
        <f t="shared" si="45"/>
        <v>2</v>
      </c>
      <c r="L225" s="112">
        <f t="shared" si="46"/>
        <v>2036</v>
      </c>
      <c r="M225" s="86">
        <f t="shared" si="43"/>
        <v>49706</v>
      </c>
      <c r="N225" s="87">
        <v>59.929639999999999</v>
      </c>
      <c r="O225" s="87">
        <v>59.934229999999999</v>
      </c>
      <c r="P225" s="87">
        <v>55.12538</v>
      </c>
      <c r="Q225" s="88">
        <v>57.721049999999998</v>
      </c>
      <c r="S225" s="109">
        <v>58.992992528735641</v>
      </c>
      <c r="T225" s="111">
        <f t="shared" si="47"/>
        <v>1.0159550724741735</v>
      </c>
      <c r="U225" s="111">
        <f t="shared" si="48"/>
        <v>0.97843909125111639</v>
      </c>
      <c r="AD225" s="209" t="str">
        <f t="shared" si="38"/>
        <v>Summer</v>
      </c>
      <c r="AE225">
        <f t="shared" si="39"/>
        <v>8</v>
      </c>
      <c r="AF225" s="207">
        <v>49522</v>
      </c>
      <c r="AG225" s="206">
        <v>432</v>
      </c>
      <c r="AH225" s="206">
        <v>312</v>
      </c>
      <c r="AI225">
        <f t="shared" si="40"/>
        <v>27</v>
      </c>
      <c r="AJ225">
        <f t="shared" si="41"/>
        <v>4</v>
      </c>
    </row>
    <row r="226" spans="2:36" x14ac:dyDescent="0.2">
      <c r="B226" s="90">
        <f t="shared" si="44"/>
        <v>49735</v>
      </c>
      <c r="C226" s="83">
        <v>5.6211441951019578</v>
      </c>
      <c r="D226" s="83">
        <v>5.5291620306954776</v>
      </c>
      <c r="E226" s="91">
        <f t="shared" si="42"/>
        <v>2036</v>
      </c>
      <c r="K226" s="17">
        <f t="shared" si="45"/>
        <v>3</v>
      </c>
      <c r="L226" s="112">
        <f t="shared" si="46"/>
        <v>2036</v>
      </c>
      <c r="M226" s="86">
        <f t="shared" si="43"/>
        <v>49735</v>
      </c>
      <c r="N226" s="87">
        <v>48.663020000000003</v>
      </c>
      <c r="O226" s="87">
        <v>52.377130000000001</v>
      </c>
      <c r="P226" s="87">
        <v>43.716650000000001</v>
      </c>
      <c r="Q226" s="88">
        <v>51.283819999999999</v>
      </c>
      <c r="S226" s="109">
        <v>51.895955881561243</v>
      </c>
      <c r="T226" s="111">
        <f t="shared" si="47"/>
        <v>1.0092719000982835</v>
      </c>
      <c r="U226" s="111">
        <f t="shared" si="48"/>
        <v>0.98820455522664841</v>
      </c>
      <c r="AD226" s="209" t="str">
        <f t="shared" si="38"/>
        <v>Summer</v>
      </c>
      <c r="AE226">
        <f t="shared" si="39"/>
        <v>9</v>
      </c>
      <c r="AF226" s="207">
        <v>49553</v>
      </c>
      <c r="AG226" s="206">
        <v>384</v>
      </c>
      <c r="AH226" s="206">
        <v>336</v>
      </c>
      <c r="AI226">
        <f t="shared" si="40"/>
        <v>24</v>
      </c>
      <c r="AJ226">
        <f t="shared" si="41"/>
        <v>6</v>
      </c>
    </row>
    <row r="227" spans="2:36" x14ac:dyDescent="0.2">
      <c r="B227" s="90">
        <f t="shared" si="44"/>
        <v>49766</v>
      </c>
      <c r="C227" s="83">
        <v>5.3594370529767392</v>
      </c>
      <c r="D227" s="83">
        <v>5.1835207245211006</v>
      </c>
      <c r="E227" s="91">
        <f t="shared" si="42"/>
        <v>2036</v>
      </c>
      <c r="K227" s="17">
        <f t="shared" si="45"/>
        <v>4</v>
      </c>
      <c r="L227" s="112">
        <f t="shared" si="46"/>
        <v>2036</v>
      </c>
      <c r="M227" s="86">
        <f t="shared" si="43"/>
        <v>49766</v>
      </c>
      <c r="N227" s="87">
        <v>46.655270000000002</v>
      </c>
      <c r="O227" s="87">
        <v>53.845089999999999</v>
      </c>
      <c r="P227" s="87">
        <v>42.565629999999999</v>
      </c>
      <c r="Q227" s="88">
        <v>50.384990000000002</v>
      </c>
      <c r="S227" s="109">
        <v>52.384158888888884</v>
      </c>
      <c r="T227" s="111">
        <f t="shared" si="47"/>
        <v>1.0278887958134417</v>
      </c>
      <c r="U227" s="111">
        <f t="shared" si="48"/>
        <v>0.96183638467634303</v>
      </c>
      <c r="AD227" s="209" t="str">
        <f t="shared" si="38"/>
        <v>Winter</v>
      </c>
      <c r="AE227">
        <f t="shared" si="39"/>
        <v>10</v>
      </c>
      <c r="AF227" s="207">
        <v>49583</v>
      </c>
      <c r="AG227" s="206">
        <v>432</v>
      </c>
      <c r="AH227" s="206">
        <v>312</v>
      </c>
      <c r="AI227">
        <f t="shared" si="40"/>
        <v>27</v>
      </c>
      <c r="AJ227">
        <f t="shared" si="41"/>
        <v>4</v>
      </c>
    </row>
    <row r="228" spans="2:36" x14ac:dyDescent="0.2">
      <c r="B228" s="90">
        <f t="shared" si="44"/>
        <v>49796</v>
      </c>
      <c r="C228" s="83">
        <v>5.2688540014345735</v>
      </c>
      <c r="D228" s="83">
        <v>5.1329352968980881</v>
      </c>
      <c r="E228" s="91">
        <f t="shared" si="42"/>
        <v>2036</v>
      </c>
      <c r="K228" s="17">
        <f t="shared" si="45"/>
        <v>5</v>
      </c>
      <c r="L228" s="112">
        <f t="shared" si="46"/>
        <v>2036</v>
      </c>
      <c r="M228" s="86">
        <f t="shared" si="43"/>
        <v>49796</v>
      </c>
      <c r="N228" s="87">
        <v>39.641930000000002</v>
      </c>
      <c r="O228" s="87">
        <v>57.571660000000001</v>
      </c>
      <c r="P228" s="87">
        <v>35.68882</v>
      </c>
      <c r="Q228" s="88">
        <v>52.316670000000002</v>
      </c>
      <c r="S228" s="109">
        <v>55.25494397849463</v>
      </c>
      <c r="T228" s="111">
        <f t="shared" si="47"/>
        <v>1.0419277598472825</v>
      </c>
      <c r="U228" s="111">
        <f t="shared" si="48"/>
        <v>0.94682332897417809</v>
      </c>
      <c r="AD228" s="209" t="str">
        <f t="shared" si="38"/>
        <v>Winter</v>
      </c>
      <c r="AE228">
        <f t="shared" si="39"/>
        <v>11</v>
      </c>
      <c r="AF228" s="207">
        <v>49614</v>
      </c>
      <c r="AG228" s="206">
        <v>400</v>
      </c>
      <c r="AH228" s="206">
        <v>320</v>
      </c>
      <c r="AI228">
        <f t="shared" si="40"/>
        <v>25</v>
      </c>
      <c r="AJ228">
        <f t="shared" si="41"/>
        <v>5</v>
      </c>
    </row>
    <row r="229" spans="2:36" x14ac:dyDescent="0.2">
      <c r="B229" s="90">
        <f t="shared" si="44"/>
        <v>49827</v>
      </c>
      <c r="C229" s="83">
        <v>5.282994794548622</v>
      </c>
      <c r="D229" s="83">
        <v>5.1666589153134304</v>
      </c>
      <c r="E229" s="91">
        <f t="shared" si="42"/>
        <v>2036</v>
      </c>
      <c r="K229" s="17">
        <f t="shared" si="45"/>
        <v>6</v>
      </c>
      <c r="L229" s="112">
        <f t="shared" si="46"/>
        <v>2036</v>
      </c>
      <c r="M229" s="86">
        <f t="shared" si="43"/>
        <v>49827</v>
      </c>
      <c r="N229" s="87">
        <v>45.921669999999999</v>
      </c>
      <c r="O229" s="87">
        <v>70.549409999999995</v>
      </c>
      <c r="P229" s="87">
        <v>38.23545</v>
      </c>
      <c r="Q229" s="88">
        <v>58.609960000000001</v>
      </c>
      <c r="S229" s="109">
        <v>65.24298777777777</v>
      </c>
      <c r="T229" s="111">
        <f t="shared" si="47"/>
        <v>1.0813332191391398</v>
      </c>
      <c r="U229" s="111">
        <f t="shared" si="48"/>
        <v>0.89833347607607528</v>
      </c>
      <c r="AD229" s="209" t="str">
        <f t="shared" si="38"/>
        <v>Winter</v>
      </c>
      <c r="AE229">
        <f t="shared" si="39"/>
        <v>12</v>
      </c>
      <c r="AF229" s="207">
        <v>49644</v>
      </c>
      <c r="AG229" s="206">
        <v>400</v>
      </c>
      <c r="AH229" s="206">
        <v>344</v>
      </c>
      <c r="AI229">
        <f t="shared" si="40"/>
        <v>25</v>
      </c>
      <c r="AJ229">
        <f t="shared" si="41"/>
        <v>6</v>
      </c>
    </row>
    <row r="230" spans="2:36" x14ac:dyDescent="0.2">
      <c r="B230" s="90">
        <f t="shared" si="44"/>
        <v>49857</v>
      </c>
      <c r="C230" s="83">
        <v>5.687749380059433</v>
      </c>
      <c r="D230" s="83">
        <v>5.6472462603149491</v>
      </c>
      <c r="E230" s="91">
        <f t="shared" si="42"/>
        <v>2036</v>
      </c>
      <c r="K230" s="17">
        <f t="shared" si="45"/>
        <v>7</v>
      </c>
      <c r="L230" s="112">
        <f t="shared" si="46"/>
        <v>2036</v>
      </c>
      <c r="M230" s="86">
        <f t="shared" si="43"/>
        <v>49857</v>
      </c>
      <c r="N230" s="87">
        <v>68.166309999999996</v>
      </c>
      <c r="O230" s="87">
        <v>81.70232</v>
      </c>
      <c r="P230" s="87">
        <v>57.220910000000003</v>
      </c>
      <c r="Q230" s="88">
        <v>68.61251</v>
      </c>
      <c r="S230" s="109">
        <v>75.931543548387097</v>
      </c>
      <c r="T230" s="111">
        <f t="shared" si="47"/>
        <v>1.0759997253043525</v>
      </c>
      <c r="U230" s="111">
        <f t="shared" si="48"/>
        <v>0.90361010449204071</v>
      </c>
      <c r="AD230" s="209" t="str">
        <f t="shared" si="38"/>
        <v>Winter</v>
      </c>
      <c r="AE230">
        <f t="shared" si="39"/>
        <v>1</v>
      </c>
      <c r="AF230" s="207">
        <v>49675</v>
      </c>
      <c r="AG230" s="206">
        <v>416</v>
      </c>
      <c r="AH230" s="206">
        <v>328</v>
      </c>
      <c r="AI230">
        <f t="shared" si="40"/>
        <v>26</v>
      </c>
      <c r="AJ230">
        <f t="shared" si="41"/>
        <v>5</v>
      </c>
    </row>
    <row r="231" spans="2:36" x14ac:dyDescent="0.2">
      <c r="B231" s="90">
        <f t="shared" si="44"/>
        <v>49888</v>
      </c>
      <c r="C231" s="83">
        <v>5.7882719745875608</v>
      </c>
      <c r="D231" s="83">
        <v>5.7400119935400262</v>
      </c>
      <c r="E231" s="91">
        <f t="shared" si="42"/>
        <v>2036</v>
      </c>
      <c r="K231" s="17">
        <f t="shared" si="45"/>
        <v>8</v>
      </c>
      <c r="L231" s="112">
        <f t="shared" si="46"/>
        <v>2036</v>
      </c>
      <c r="M231" s="86">
        <f t="shared" si="43"/>
        <v>49888</v>
      </c>
      <c r="N231" s="87">
        <v>73.423230000000004</v>
      </c>
      <c r="O231" s="87">
        <v>83.726169999999996</v>
      </c>
      <c r="P231" s="87">
        <v>62.720669999999998</v>
      </c>
      <c r="Q231" s="88">
        <v>69.421400000000006</v>
      </c>
      <c r="S231" s="109">
        <v>77.419766021505367</v>
      </c>
      <c r="T231" s="111">
        <f t="shared" si="47"/>
        <v>1.0814572854268618</v>
      </c>
      <c r="U231" s="111">
        <f t="shared" si="48"/>
        <v>0.8966883209220291</v>
      </c>
      <c r="AD231" s="209" t="str">
        <f t="shared" si="38"/>
        <v>Winter</v>
      </c>
      <c r="AE231">
        <f t="shared" si="39"/>
        <v>2</v>
      </c>
      <c r="AF231" s="207">
        <v>49706</v>
      </c>
      <c r="AG231" s="206">
        <v>400</v>
      </c>
      <c r="AH231" s="206">
        <v>296</v>
      </c>
      <c r="AI231">
        <f t="shared" si="40"/>
        <v>25</v>
      </c>
      <c r="AJ231">
        <f t="shared" si="41"/>
        <v>4</v>
      </c>
    </row>
    <row r="232" spans="2:36" x14ac:dyDescent="0.2">
      <c r="B232" s="90">
        <f t="shared" si="44"/>
        <v>49919</v>
      </c>
      <c r="C232" s="83">
        <v>5.6683826416641061</v>
      </c>
      <c r="D232" s="83">
        <v>5.6219277639205547</v>
      </c>
      <c r="E232" s="91">
        <f t="shared" si="42"/>
        <v>2036</v>
      </c>
      <c r="K232" s="17">
        <f t="shared" si="45"/>
        <v>9</v>
      </c>
      <c r="L232" s="112">
        <f t="shared" si="46"/>
        <v>2036</v>
      </c>
      <c r="M232" s="86">
        <f t="shared" si="43"/>
        <v>49919</v>
      </c>
      <c r="N232" s="87">
        <v>74.315380000000005</v>
      </c>
      <c r="O232" s="87">
        <v>69.291679999999999</v>
      </c>
      <c r="P232" s="87">
        <v>67.827200000000005</v>
      </c>
      <c r="Q232" s="88">
        <v>61.794139999999999</v>
      </c>
      <c r="S232" s="109">
        <v>65.959440000000001</v>
      </c>
      <c r="T232" s="111">
        <f t="shared" si="47"/>
        <v>1.0505195313968705</v>
      </c>
      <c r="U232" s="111">
        <f t="shared" si="48"/>
        <v>0.93685058575391178</v>
      </c>
      <c r="AD232" s="209" t="str">
        <f t="shared" si="38"/>
        <v>Winter</v>
      </c>
      <c r="AE232">
        <f t="shared" si="39"/>
        <v>3</v>
      </c>
      <c r="AF232" s="207">
        <v>49735</v>
      </c>
      <c r="AG232" s="206">
        <v>416</v>
      </c>
      <c r="AH232" s="206">
        <v>328</v>
      </c>
      <c r="AI232">
        <f t="shared" si="40"/>
        <v>26</v>
      </c>
      <c r="AJ232">
        <f t="shared" si="41"/>
        <v>5</v>
      </c>
    </row>
    <row r="233" spans="2:36" x14ac:dyDescent="0.2">
      <c r="B233" s="90">
        <f t="shared" si="44"/>
        <v>49949</v>
      </c>
      <c r="C233" s="83">
        <v>5.7379594425658373</v>
      </c>
      <c r="D233" s="83">
        <v>5.6809698787302896</v>
      </c>
      <c r="E233" s="91">
        <f t="shared" si="42"/>
        <v>2036</v>
      </c>
      <c r="K233" s="17">
        <f t="shared" si="45"/>
        <v>10</v>
      </c>
      <c r="L233" s="112">
        <f t="shared" si="46"/>
        <v>2036</v>
      </c>
      <c r="M233" s="86">
        <f t="shared" si="43"/>
        <v>49949</v>
      </c>
      <c r="N233" s="87">
        <v>61.992429999999999</v>
      </c>
      <c r="O233" s="87">
        <v>62.253680000000003</v>
      </c>
      <c r="P233" s="87">
        <v>52.934469999999997</v>
      </c>
      <c r="Q233" s="88">
        <v>57.41939</v>
      </c>
      <c r="S233" s="109">
        <v>60.226397096774193</v>
      </c>
      <c r="T233" s="111">
        <f t="shared" si="47"/>
        <v>1.033661035707786</v>
      </c>
      <c r="U233" s="111">
        <f t="shared" si="48"/>
        <v>0.95339241209691195</v>
      </c>
      <c r="AD233" s="209" t="str">
        <f t="shared" si="38"/>
        <v>Winter</v>
      </c>
      <c r="AE233">
        <f t="shared" si="39"/>
        <v>4</v>
      </c>
      <c r="AF233" s="207">
        <v>49766</v>
      </c>
      <c r="AG233" s="206">
        <v>416</v>
      </c>
      <c r="AH233" s="206">
        <v>304</v>
      </c>
      <c r="AI233">
        <f t="shared" si="40"/>
        <v>26</v>
      </c>
      <c r="AJ233">
        <f t="shared" si="41"/>
        <v>4</v>
      </c>
    </row>
    <row r="234" spans="2:36" x14ac:dyDescent="0.2">
      <c r="B234" s="90">
        <f t="shared" si="44"/>
        <v>49980</v>
      </c>
      <c r="C234" s="83">
        <v>6.0795928066400258</v>
      </c>
      <c r="D234" s="83">
        <v>6.1278336053164661</v>
      </c>
      <c r="E234" s="91">
        <f t="shared" si="42"/>
        <v>2036</v>
      </c>
      <c r="K234" s="17">
        <f t="shared" si="45"/>
        <v>11</v>
      </c>
      <c r="L234" s="112">
        <f t="shared" si="46"/>
        <v>2036</v>
      </c>
      <c r="M234" s="86">
        <f t="shared" si="43"/>
        <v>49980</v>
      </c>
      <c r="N234" s="87">
        <v>60.20729</v>
      </c>
      <c r="O234" s="87">
        <v>58.937730000000002</v>
      </c>
      <c r="P234" s="87">
        <v>55.174219999999998</v>
      </c>
      <c r="Q234" s="88">
        <v>56.086889999999997</v>
      </c>
      <c r="S234" s="109">
        <v>57.605229195561726</v>
      </c>
      <c r="T234" s="111">
        <f t="shared" si="47"/>
        <v>1.0231315945278965</v>
      </c>
      <c r="U234" s="111">
        <f t="shared" si="48"/>
        <v>0.97364233739254502</v>
      </c>
      <c r="AD234" s="209" t="str">
        <f t="shared" si="38"/>
        <v>Winter</v>
      </c>
      <c r="AE234">
        <f t="shared" si="39"/>
        <v>5</v>
      </c>
      <c r="AF234" s="207">
        <v>49796</v>
      </c>
      <c r="AG234" s="206">
        <v>416</v>
      </c>
      <c r="AH234" s="206">
        <v>328</v>
      </c>
      <c r="AI234">
        <f t="shared" si="40"/>
        <v>26</v>
      </c>
      <c r="AJ234">
        <f t="shared" si="41"/>
        <v>5</v>
      </c>
    </row>
    <row r="235" spans="2:36" x14ac:dyDescent="0.2">
      <c r="B235" s="92">
        <f t="shared" si="44"/>
        <v>50010</v>
      </c>
      <c r="C235" s="93">
        <v>6.4069829080848448</v>
      </c>
      <c r="D235" s="93">
        <v>6.6253343246914289</v>
      </c>
      <c r="E235" s="94">
        <f t="shared" si="42"/>
        <v>2036</v>
      </c>
      <c r="K235" s="17">
        <f t="shared" si="45"/>
        <v>12</v>
      </c>
      <c r="L235" s="112">
        <f t="shared" si="46"/>
        <v>2036</v>
      </c>
      <c r="M235" s="95">
        <f t="shared" si="43"/>
        <v>50010</v>
      </c>
      <c r="N235" s="96">
        <v>62.085329999999999</v>
      </c>
      <c r="O235" s="96">
        <v>63.641300000000001</v>
      </c>
      <c r="P235" s="96">
        <v>53.730589999999999</v>
      </c>
      <c r="Q235" s="97">
        <v>60.97936</v>
      </c>
      <c r="S235" s="109">
        <v>62.467756559139787</v>
      </c>
      <c r="T235" s="111">
        <f t="shared" si="47"/>
        <v>1.0187863868578215</v>
      </c>
      <c r="U235" s="111">
        <f t="shared" si="48"/>
        <v>0.97617336300959223</v>
      </c>
      <c r="AD235" s="209" t="str">
        <f t="shared" si="38"/>
        <v>Summer</v>
      </c>
      <c r="AE235">
        <f t="shared" si="39"/>
        <v>6</v>
      </c>
      <c r="AF235" s="207">
        <v>49827</v>
      </c>
      <c r="AG235" s="206">
        <v>400</v>
      </c>
      <c r="AH235" s="206">
        <v>320</v>
      </c>
      <c r="AI235">
        <f t="shared" si="40"/>
        <v>25</v>
      </c>
      <c r="AJ235">
        <f t="shared" si="41"/>
        <v>5</v>
      </c>
    </row>
    <row r="236" spans="2:36" x14ac:dyDescent="0.2">
      <c r="B236" s="266">
        <f t="shared" si="44"/>
        <v>50041</v>
      </c>
      <c r="C236" s="83">
        <v>6.5178549236602112</v>
      </c>
      <c r="D236" s="83">
        <v>6.628170408808927</v>
      </c>
      <c r="E236" s="265">
        <f t="shared" si="42"/>
        <v>2037</v>
      </c>
      <c r="K236" s="17">
        <f t="shared" si="45"/>
        <v>1</v>
      </c>
      <c r="L236" s="112">
        <f t="shared" si="46"/>
        <v>2037</v>
      </c>
      <c r="M236" s="86">
        <f t="shared" si="43"/>
        <v>50041</v>
      </c>
      <c r="N236" s="264">
        <v>62.744030000000002</v>
      </c>
      <c r="O236" s="264">
        <v>63.380549999999999</v>
      </c>
      <c r="P236" s="264">
        <v>54.160559999999997</v>
      </c>
      <c r="Q236" s="263">
        <v>59.750880000000002</v>
      </c>
      <c r="S236" s="109">
        <v>61.78037290322581</v>
      </c>
      <c r="T236" s="111">
        <f t="shared" si="47"/>
        <v>1.0259010592131055</v>
      </c>
      <c r="U236" s="111">
        <f t="shared" si="48"/>
        <v>0.96714987611996361</v>
      </c>
      <c r="AD236" s="209" t="str">
        <f t="shared" si="38"/>
        <v>Summer</v>
      </c>
      <c r="AE236">
        <f t="shared" si="39"/>
        <v>7</v>
      </c>
      <c r="AF236" s="207">
        <v>49857</v>
      </c>
      <c r="AG236" s="206">
        <v>416</v>
      </c>
      <c r="AH236" s="206">
        <v>328</v>
      </c>
      <c r="AI236">
        <f t="shared" si="40"/>
        <v>26</v>
      </c>
      <c r="AJ236">
        <f t="shared" si="41"/>
        <v>5</v>
      </c>
    </row>
    <row r="237" spans="2:36" x14ac:dyDescent="0.2">
      <c r="B237" s="90">
        <f t="shared" si="44"/>
        <v>50072</v>
      </c>
      <c r="C237" s="83">
        <v>6.3959162004303725</v>
      </c>
      <c r="D237" s="83">
        <v>6.5335483296160302</v>
      </c>
      <c r="E237" s="91">
        <f t="shared" si="42"/>
        <v>2037</v>
      </c>
      <c r="K237" s="17">
        <f t="shared" si="45"/>
        <v>2</v>
      </c>
      <c r="L237" s="112">
        <f t="shared" si="46"/>
        <v>2037</v>
      </c>
      <c r="M237" s="86">
        <f t="shared" si="43"/>
        <v>50072</v>
      </c>
      <c r="N237" s="87">
        <v>62.817659999999997</v>
      </c>
      <c r="O237" s="87">
        <v>62.189079999999997</v>
      </c>
      <c r="P237" s="87">
        <v>56.817140000000002</v>
      </c>
      <c r="Q237" s="88">
        <v>59.618369999999999</v>
      </c>
      <c r="S237" s="109">
        <v>61.087347142857141</v>
      </c>
      <c r="T237" s="111">
        <f t="shared" si="47"/>
        <v>1.0180353691668158</v>
      </c>
      <c r="U237" s="111">
        <f t="shared" si="48"/>
        <v>0.97595284111091229</v>
      </c>
      <c r="AD237" s="209" t="str">
        <f t="shared" si="38"/>
        <v>Summer</v>
      </c>
      <c r="AE237">
        <f t="shared" si="39"/>
        <v>8</v>
      </c>
      <c r="AF237" s="207">
        <v>49888</v>
      </c>
      <c r="AG237" s="206">
        <v>416</v>
      </c>
      <c r="AH237" s="206">
        <v>328</v>
      </c>
      <c r="AI237">
        <f t="shared" si="40"/>
        <v>26</v>
      </c>
      <c r="AJ237">
        <f t="shared" si="41"/>
        <v>5</v>
      </c>
    </row>
    <row r="238" spans="2:36" x14ac:dyDescent="0.2">
      <c r="B238" s="90">
        <f t="shared" si="44"/>
        <v>50100</v>
      </c>
      <c r="C238" s="83">
        <v>5.95457999795061</v>
      </c>
      <c r="D238" s="83">
        <v>5.8885712361311615</v>
      </c>
      <c r="E238" s="91">
        <f t="shared" si="42"/>
        <v>2037</v>
      </c>
      <c r="K238" s="17">
        <f t="shared" si="45"/>
        <v>3</v>
      </c>
      <c r="L238" s="112">
        <f t="shared" si="46"/>
        <v>2037</v>
      </c>
      <c r="M238" s="86">
        <f t="shared" si="43"/>
        <v>50100</v>
      </c>
      <c r="N238" s="87">
        <v>52.281170000000003</v>
      </c>
      <c r="O238" s="87">
        <v>55.301139999999997</v>
      </c>
      <c r="P238" s="87">
        <v>47.939720000000001</v>
      </c>
      <c r="Q238" s="88">
        <v>54.483780000000003</v>
      </c>
      <c r="S238" s="109">
        <v>54.941413593539707</v>
      </c>
      <c r="T238" s="111">
        <f t="shared" si="47"/>
        <v>1.0065474545143955</v>
      </c>
      <c r="U238" s="111">
        <f t="shared" si="48"/>
        <v>0.99167051658107475</v>
      </c>
      <c r="AD238" s="209" t="str">
        <f t="shared" si="38"/>
        <v>Summer</v>
      </c>
      <c r="AE238">
        <f t="shared" si="39"/>
        <v>9</v>
      </c>
      <c r="AF238" s="207">
        <v>49919</v>
      </c>
      <c r="AG238" s="206">
        <v>400</v>
      </c>
      <c r="AH238" s="206">
        <v>320</v>
      </c>
      <c r="AI238">
        <f t="shared" si="40"/>
        <v>25</v>
      </c>
      <c r="AJ238">
        <f t="shared" si="41"/>
        <v>5</v>
      </c>
    </row>
    <row r="239" spans="2:36" x14ac:dyDescent="0.2">
      <c r="B239" s="90">
        <f t="shared" si="44"/>
        <v>50131</v>
      </c>
      <c r="C239" s="83">
        <v>5.7558916077466957</v>
      </c>
      <c r="D239" s="83">
        <v>5.5961451810342071</v>
      </c>
      <c r="E239" s="91">
        <f t="shared" si="42"/>
        <v>2037</v>
      </c>
      <c r="K239" s="17">
        <f t="shared" si="45"/>
        <v>4</v>
      </c>
      <c r="L239" s="112">
        <f t="shared" si="46"/>
        <v>2037</v>
      </c>
      <c r="M239" s="86">
        <f t="shared" si="43"/>
        <v>50131</v>
      </c>
      <c r="N239" s="87">
        <v>50.580489999999998</v>
      </c>
      <c r="O239" s="87">
        <v>58.774270000000001</v>
      </c>
      <c r="P239" s="87">
        <v>45.907170000000001</v>
      </c>
      <c r="Q239" s="88">
        <v>56.178660000000001</v>
      </c>
      <c r="S239" s="109">
        <v>57.678345777777771</v>
      </c>
      <c r="T239" s="111">
        <f t="shared" si="47"/>
        <v>1.0190006181252942</v>
      </c>
      <c r="U239" s="111">
        <f t="shared" si="48"/>
        <v>0.97399915414433458</v>
      </c>
      <c r="AD239" s="209" t="str">
        <f t="shared" si="38"/>
        <v>Winter</v>
      </c>
      <c r="AE239">
        <f t="shared" si="39"/>
        <v>10</v>
      </c>
      <c r="AF239" s="207">
        <v>49949</v>
      </c>
      <c r="AG239" s="206">
        <v>432</v>
      </c>
      <c r="AH239" s="206">
        <v>312</v>
      </c>
      <c r="AI239">
        <f t="shared" si="40"/>
        <v>27</v>
      </c>
      <c r="AJ239">
        <f t="shared" si="41"/>
        <v>4</v>
      </c>
    </row>
    <row r="240" spans="2:36" x14ac:dyDescent="0.2">
      <c r="B240" s="90">
        <f t="shared" si="44"/>
        <v>50161</v>
      </c>
      <c r="C240" s="83">
        <v>5.6648986781432527</v>
      </c>
      <c r="D240" s="83">
        <v>5.5875337983501669</v>
      </c>
      <c r="E240" s="91">
        <f t="shared" si="42"/>
        <v>2037</v>
      </c>
      <c r="K240" s="17">
        <f t="shared" si="45"/>
        <v>5</v>
      </c>
      <c r="L240" s="112">
        <f t="shared" si="46"/>
        <v>2037</v>
      </c>
      <c r="M240" s="86">
        <f t="shared" si="43"/>
        <v>50161</v>
      </c>
      <c r="N240" s="87">
        <v>42.963520000000003</v>
      </c>
      <c r="O240" s="87">
        <v>63.82217</v>
      </c>
      <c r="P240" s="87">
        <v>38.807639999999999</v>
      </c>
      <c r="Q240" s="88">
        <v>58.096290000000003</v>
      </c>
      <c r="S240" s="109">
        <v>61.17472010752688</v>
      </c>
      <c r="T240" s="111">
        <f t="shared" si="47"/>
        <v>1.0432768615503216</v>
      </c>
      <c r="U240" s="111">
        <f t="shared" si="48"/>
        <v>0.9496780679647423</v>
      </c>
      <c r="AD240" s="209" t="str">
        <f t="shared" si="38"/>
        <v>Winter</v>
      </c>
      <c r="AE240">
        <f t="shared" si="39"/>
        <v>11</v>
      </c>
      <c r="AF240" s="207">
        <v>49980</v>
      </c>
      <c r="AG240" s="206">
        <v>384</v>
      </c>
      <c r="AH240" s="206">
        <v>336</v>
      </c>
      <c r="AI240">
        <f t="shared" si="40"/>
        <v>24</v>
      </c>
      <c r="AJ240">
        <f t="shared" si="41"/>
        <v>6</v>
      </c>
    </row>
    <row r="241" spans="2:36" x14ac:dyDescent="0.2">
      <c r="B241" s="90">
        <f t="shared" si="44"/>
        <v>50192</v>
      </c>
      <c r="C241" s="83">
        <v>5.7136741674351885</v>
      </c>
      <c r="D241" s="83">
        <v>5.630539146604594</v>
      </c>
      <c r="E241" s="91">
        <f t="shared" si="42"/>
        <v>2037</v>
      </c>
      <c r="K241" s="17">
        <f t="shared" si="45"/>
        <v>6</v>
      </c>
      <c r="L241" s="112">
        <f t="shared" si="46"/>
        <v>2037</v>
      </c>
      <c r="M241" s="86">
        <f t="shared" si="43"/>
        <v>50192</v>
      </c>
      <c r="N241" s="87">
        <v>51.630119999999998</v>
      </c>
      <c r="O241" s="87">
        <v>75.533159999999995</v>
      </c>
      <c r="P241" s="87">
        <v>41.919020000000003</v>
      </c>
      <c r="Q241" s="88">
        <v>63.285130000000002</v>
      </c>
      <c r="S241" s="109">
        <v>70.361769555555554</v>
      </c>
      <c r="T241" s="111">
        <f t="shared" si="47"/>
        <v>1.0734971629779899</v>
      </c>
      <c r="U241" s="111">
        <f t="shared" si="48"/>
        <v>0.89942493487222419</v>
      </c>
      <c r="AD241" s="209" t="str">
        <f t="shared" si="38"/>
        <v>Winter</v>
      </c>
      <c r="AE241">
        <f t="shared" si="39"/>
        <v>12</v>
      </c>
      <c r="AF241" s="207">
        <v>50010</v>
      </c>
      <c r="AG241" s="206">
        <v>416</v>
      </c>
      <c r="AH241" s="206">
        <v>328</v>
      </c>
      <c r="AI241">
        <f t="shared" si="40"/>
        <v>26</v>
      </c>
      <c r="AJ241">
        <f t="shared" si="41"/>
        <v>5</v>
      </c>
    </row>
    <row r="242" spans="2:36" x14ac:dyDescent="0.2">
      <c r="B242" s="90">
        <f t="shared" si="44"/>
        <v>50222</v>
      </c>
      <c r="C242" s="83">
        <v>6.0238493903063848</v>
      </c>
      <c r="D242" s="83">
        <v>6.0605926291488723</v>
      </c>
      <c r="E242" s="91">
        <f t="shared" si="42"/>
        <v>2037</v>
      </c>
      <c r="K242" s="17">
        <f t="shared" si="45"/>
        <v>7</v>
      </c>
      <c r="L242" s="112">
        <f t="shared" si="46"/>
        <v>2037</v>
      </c>
      <c r="M242" s="86">
        <f t="shared" si="43"/>
        <v>50222</v>
      </c>
      <c r="N242" s="87">
        <v>71.604479999999995</v>
      </c>
      <c r="O242" s="87">
        <v>85.752279999999999</v>
      </c>
      <c r="P242" s="87">
        <v>60.266030000000001</v>
      </c>
      <c r="Q242" s="88">
        <v>72.024519999999995</v>
      </c>
      <c r="S242" s="109">
        <v>79.700256774193548</v>
      </c>
      <c r="T242" s="111">
        <f t="shared" si="47"/>
        <v>1.0759348021042519</v>
      </c>
      <c r="U242" s="111">
        <f t="shared" si="48"/>
        <v>0.90369244611168043</v>
      </c>
      <c r="AD242" s="209" t="str">
        <f t="shared" si="38"/>
        <v>Winter</v>
      </c>
      <c r="AE242">
        <f t="shared" si="39"/>
        <v>1</v>
      </c>
      <c r="AF242" s="207">
        <v>50041</v>
      </c>
      <c r="AG242" s="206">
        <v>416</v>
      </c>
      <c r="AH242" s="206">
        <v>328</v>
      </c>
      <c r="AI242">
        <f t="shared" si="40"/>
        <v>26</v>
      </c>
      <c r="AJ242">
        <f t="shared" si="41"/>
        <v>5</v>
      </c>
    </row>
    <row r="243" spans="2:36" x14ac:dyDescent="0.2">
      <c r="B243" s="90">
        <f t="shared" si="44"/>
        <v>50253</v>
      </c>
      <c r="C243" s="83">
        <v>6.1605437237421876</v>
      </c>
      <c r="D243" s="83">
        <v>6.180945726062343</v>
      </c>
      <c r="E243" s="91">
        <f t="shared" si="42"/>
        <v>2037</v>
      </c>
      <c r="K243" s="17">
        <f t="shared" si="45"/>
        <v>8</v>
      </c>
      <c r="L243" s="112">
        <f t="shared" si="46"/>
        <v>2037</v>
      </c>
      <c r="M243" s="86">
        <f t="shared" si="43"/>
        <v>50253</v>
      </c>
      <c r="N243" s="87">
        <v>78.857349999999997</v>
      </c>
      <c r="O243" s="87">
        <v>88.235309999999998</v>
      </c>
      <c r="P243" s="87">
        <v>65.659940000000006</v>
      </c>
      <c r="Q243" s="88">
        <v>73.323239999999998</v>
      </c>
      <c r="S243" s="109">
        <v>81.661171612903217</v>
      </c>
      <c r="T243" s="111">
        <f t="shared" si="47"/>
        <v>1.0805050706137311</v>
      </c>
      <c r="U243" s="111">
        <f t="shared" si="48"/>
        <v>0.89789600800209746</v>
      </c>
      <c r="AD243" s="209" t="str">
        <f t="shared" si="38"/>
        <v>Winter</v>
      </c>
      <c r="AE243">
        <f t="shared" si="39"/>
        <v>2</v>
      </c>
      <c r="AF243" s="207">
        <v>50072</v>
      </c>
      <c r="AG243" s="206">
        <v>384</v>
      </c>
      <c r="AH243" s="206">
        <v>288</v>
      </c>
      <c r="AI243">
        <f t="shared" si="40"/>
        <v>24</v>
      </c>
      <c r="AJ243">
        <f t="shared" si="41"/>
        <v>4</v>
      </c>
    </row>
    <row r="244" spans="2:36" x14ac:dyDescent="0.2">
      <c r="B244" s="90">
        <f t="shared" si="44"/>
        <v>50284</v>
      </c>
      <c r="C244" s="83">
        <v>6.0212876524234042</v>
      </c>
      <c r="D244" s="83">
        <v>6.0433182986150191</v>
      </c>
      <c r="E244" s="91">
        <f t="shared" si="42"/>
        <v>2037</v>
      </c>
      <c r="K244" s="17">
        <f t="shared" si="45"/>
        <v>9</v>
      </c>
      <c r="L244" s="112">
        <f t="shared" si="46"/>
        <v>2037</v>
      </c>
      <c r="M244" s="86">
        <f t="shared" si="43"/>
        <v>50284</v>
      </c>
      <c r="N244" s="87">
        <v>80.018379999999993</v>
      </c>
      <c r="O244" s="87">
        <v>71.494259999999997</v>
      </c>
      <c r="P244" s="87">
        <v>73.080889999999997</v>
      </c>
      <c r="Q244" s="88">
        <v>64.110240000000005</v>
      </c>
      <c r="S244" s="109">
        <v>68.212473333333335</v>
      </c>
      <c r="T244" s="111">
        <f t="shared" si="47"/>
        <v>1.0481112398700101</v>
      </c>
      <c r="U244" s="111">
        <f t="shared" si="48"/>
        <v>0.93986095016248739</v>
      </c>
      <c r="AD244" s="209" t="str">
        <f t="shared" si="38"/>
        <v>Winter</v>
      </c>
      <c r="AE244">
        <f t="shared" si="39"/>
        <v>3</v>
      </c>
      <c r="AF244" s="207">
        <v>50100</v>
      </c>
      <c r="AG244" s="206">
        <v>416</v>
      </c>
      <c r="AH244" s="206">
        <v>328</v>
      </c>
      <c r="AI244">
        <f t="shared" si="40"/>
        <v>26</v>
      </c>
      <c r="AJ244">
        <f t="shared" si="41"/>
        <v>5</v>
      </c>
    </row>
    <row r="245" spans="2:36" x14ac:dyDescent="0.2">
      <c r="B245" s="90">
        <f t="shared" si="44"/>
        <v>50314</v>
      </c>
      <c r="C245" s="83">
        <v>6.0921965570242858</v>
      </c>
      <c r="D245" s="83">
        <v>6.0605410639830994</v>
      </c>
      <c r="E245" s="91">
        <f t="shared" si="42"/>
        <v>2037</v>
      </c>
      <c r="K245" s="17">
        <f t="shared" si="45"/>
        <v>10</v>
      </c>
      <c r="L245" s="112">
        <f t="shared" si="46"/>
        <v>2037</v>
      </c>
      <c r="M245" s="86">
        <f t="shared" si="43"/>
        <v>50314</v>
      </c>
      <c r="N245" s="87">
        <v>61.720910000000003</v>
      </c>
      <c r="O245" s="87">
        <v>63.064399999999999</v>
      </c>
      <c r="P245" s="87">
        <v>52.994759999999999</v>
      </c>
      <c r="Q245" s="88">
        <v>58.390059999999998</v>
      </c>
      <c r="S245" s="109">
        <v>61.104192903225808</v>
      </c>
      <c r="T245" s="111">
        <f t="shared" si="47"/>
        <v>1.0320797477822623</v>
      </c>
      <c r="U245" s="111">
        <f t="shared" si="48"/>
        <v>0.95558188768609809</v>
      </c>
      <c r="AD245" s="209" t="str">
        <f t="shared" si="38"/>
        <v>Winter</v>
      </c>
      <c r="AE245">
        <f t="shared" si="39"/>
        <v>4</v>
      </c>
      <c r="AF245" s="207">
        <v>50131</v>
      </c>
      <c r="AG245" s="206">
        <v>416</v>
      </c>
      <c r="AH245" s="206">
        <v>304</v>
      </c>
      <c r="AI245">
        <f t="shared" si="40"/>
        <v>26</v>
      </c>
      <c r="AJ245">
        <f t="shared" si="41"/>
        <v>4</v>
      </c>
    </row>
    <row r="246" spans="2:36" x14ac:dyDescent="0.2">
      <c r="B246" s="90">
        <f t="shared" si="44"/>
        <v>50345</v>
      </c>
      <c r="C246" s="83">
        <v>6.4236854390818738</v>
      </c>
      <c r="D246" s="83">
        <v>6.4991543640456442</v>
      </c>
      <c r="E246" s="91">
        <f t="shared" si="42"/>
        <v>2037</v>
      </c>
      <c r="K246" s="17">
        <f t="shared" si="45"/>
        <v>11</v>
      </c>
      <c r="L246" s="112">
        <f t="shared" si="46"/>
        <v>2037</v>
      </c>
      <c r="M246" s="86">
        <f t="shared" si="43"/>
        <v>50345</v>
      </c>
      <c r="N246" s="87">
        <v>65.737909999999999</v>
      </c>
      <c r="O246" s="87">
        <v>62.700609999999998</v>
      </c>
      <c r="P246" s="87">
        <v>59.135219999999997</v>
      </c>
      <c r="Q246" s="88">
        <v>59.41142</v>
      </c>
      <c r="S246" s="109">
        <v>61.163221608876562</v>
      </c>
      <c r="T246" s="111">
        <f t="shared" si="47"/>
        <v>1.0251358308258294</v>
      </c>
      <c r="U246" s="111">
        <f t="shared" si="48"/>
        <v>0.97135857852487084</v>
      </c>
      <c r="AD246" s="209" t="str">
        <f t="shared" si="38"/>
        <v>Winter</v>
      </c>
      <c r="AE246">
        <f t="shared" si="39"/>
        <v>5</v>
      </c>
      <c r="AF246" s="207">
        <v>50161</v>
      </c>
      <c r="AG246" s="206">
        <v>400</v>
      </c>
      <c r="AH246" s="206">
        <v>344</v>
      </c>
      <c r="AI246">
        <f t="shared" si="40"/>
        <v>25</v>
      </c>
      <c r="AJ246">
        <f t="shared" si="41"/>
        <v>6</v>
      </c>
    </row>
    <row r="247" spans="2:36" x14ac:dyDescent="0.2">
      <c r="B247" s="92">
        <f t="shared" si="44"/>
        <v>50375</v>
      </c>
      <c r="C247" s="93">
        <v>6.8090732861973571</v>
      </c>
      <c r="D247" s="93">
        <v>7.1097374919601268</v>
      </c>
      <c r="E247" s="94">
        <f t="shared" si="42"/>
        <v>2037</v>
      </c>
      <c r="K247" s="17">
        <f t="shared" si="45"/>
        <v>12</v>
      </c>
      <c r="L247" s="112">
        <f t="shared" si="46"/>
        <v>2037</v>
      </c>
      <c r="M247" s="95">
        <f t="shared" si="43"/>
        <v>50375</v>
      </c>
      <c r="N247" s="96">
        <v>67.915880000000001</v>
      </c>
      <c r="O247" s="96">
        <v>67.181370000000001</v>
      </c>
      <c r="P247" s="96">
        <v>58.756709999999998</v>
      </c>
      <c r="Q247" s="97">
        <v>64.676360000000003</v>
      </c>
      <c r="S247" s="109">
        <v>66.077010752688182</v>
      </c>
      <c r="T247" s="111">
        <f t="shared" si="47"/>
        <v>1.0167132143953241</v>
      </c>
      <c r="U247" s="111">
        <f t="shared" si="48"/>
        <v>0.97880275247422266</v>
      </c>
      <c r="AD247" s="209" t="str">
        <f t="shared" si="38"/>
        <v>Summer</v>
      </c>
      <c r="AE247">
        <f t="shared" si="39"/>
        <v>6</v>
      </c>
      <c r="AF247" s="207">
        <v>50192</v>
      </c>
      <c r="AG247" s="206">
        <v>416</v>
      </c>
      <c r="AH247" s="206">
        <v>304</v>
      </c>
      <c r="AI247">
        <f t="shared" si="40"/>
        <v>26</v>
      </c>
      <c r="AJ247">
        <f t="shared" si="41"/>
        <v>4</v>
      </c>
    </row>
    <row r="248" spans="2:36" x14ac:dyDescent="0.2">
      <c r="AD248" s="209" t="str">
        <f t="shared" si="38"/>
        <v>Summer</v>
      </c>
      <c r="AE248">
        <f t="shared" si="39"/>
        <v>7</v>
      </c>
      <c r="AF248" s="207">
        <v>50222</v>
      </c>
      <c r="AG248" s="206">
        <v>416</v>
      </c>
      <c r="AH248" s="206">
        <v>328</v>
      </c>
      <c r="AI248">
        <f t="shared" si="40"/>
        <v>26</v>
      </c>
      <c r="AJ248">
        <f t="shared" si="41"/>
        <v>5</v>
      </c>
    </row>
    <row r="249" spans="2:36" x14ac:dyDescent="0.2">
      <c r="C249" s="102" t="s">
        <v>111</v>
      </c>
      <c r="D249" s="102" t="s">
        <v>224</v>
      </c>
      <c r="N249" s="102" t="s">
        <v>69</v>
      </c>
      <c r="O249" s="102" t="s">
        <v>70</v>
      </c>
      <c r="P249" s="102" t="s">
        <v>69</v>
      </c>
      <c r="Q249" s="102" t="s">
        <v>70</v>
      </c>
      <c r="AD249" s="209" t="str">
        <f t="shared" si="38"/>
        <v>Summer</v>
      </c>
      <c r="AE249">
        <f t="shared" si="39"/>
        <v>8</v>
      </c>
      <c r="AF249" s="207">
        <v>50253</v>
      </c>
      <c r="AG249" s="206">
        <v>416</v>
      </c>
      <c r="AH249" s="206">
        <v>328</v>
      </c>
      <c r="AI249">
        <f t="shared" si="40"/>
        <v>26</v>
      </c>
      <c r="AJ249">
        <f t="shared" si="41"/>
        <v>5</v>
      </c>
    </row>
    <row r="250" spans="2:36" x14ac:dyDescent="0.2">
      <c r="C250" s="104">
        <v>46</v>
      </c>
      <c r="D250" s="104">
        <v>43</v>
      </c>
      <c r="N250" s="104">
        <v>7</v>
      </c>
      <c r="O250" s="104">
        <v>6</v>
      </c>
      <c r="P250" s="104">
        <f>N250+8</f>
        <v>15</v>
      </c>
      <c r="Q250" s="104">
        <f>O250+8</f>
        <v>14</v>
      </c>
      <c r="AD250" s="209" t="str">
        <f t="shared" si="38"/>
        <v>Summer</v>
      </c>
      <c r="AE250">
        <f t="shared" si="39"/>
        <v>9</v>
      </c>
      <c r="AF250" s="207">
        <v>50284</v>
      </c>
      <c r="AG250" s="206">
        <v>400</v>
      </c>
      <c r="AH250" s="206">
        <v>320</v>
      </c>
      <c r="AI250">
        <f t="shared" si="40"/>
        <v>25</v>
      </c>
      <c r="AJ250">
        <f t="shared" si="41"/>
        <v>5</v>
      </c>
    </row>
    <row r="251" spans="2:36" x14ac:dyDescent="0.2">
      <c r="M251" s="105"/>
      <c r="AD251" s="209" t="str">
        <f t="shared" si="38"/>
        <v>Winter</v>
      </c>
      <c r="AE251">
        <f t="shared" si="39"/>
        <v>10</v>
      </c>
      <c r="AF251" s="207">
        <v>50314</v>
      </c>
      <c r="AG251" s="206">
        <v>432</v>
      </c>
      <c r="AH251" s="206">
        <v>312</v>
      </c>
      <c r="AI251">
        <f t="shared" si="40"/>
        <v>27</v>
      </c>
      <c r="AJ251">
        <f t="shared" si="41"/>
        <v>4</v>
      </c>
    </row>
    <row r="252" spans="2:36" x14ac:dyDescent="0.2">
      <c r="B252" s="107" t="s">
        <v>72</v>
      </c>
      <c r="C252" s="66">
        <v>76.569945960370887</v>
      </c>
      <c r="D252" s="66">
        <v>77.1231324756194</v>
      </c>
      <c r="M252" s="103" t="s">
        <v>72</v>
      </c>
      <c r="N252" s="108">
        <v>0</v>
      </c>
      <c r="O252" s="108">
        <v>0</v>
      </c>
      <c r="P252" s="108">
        <v>0</v>
      </c>
      <c r="Q252" s="108">
        <v>0</v>
      </c>
      <c r="AD252" s="209" t="str">
        <f t="shared" si="38"/>
        <v>Winter</v>
      </c>
      <c r="AE252">
        <f t="shared" si="39"/>
        <v>11</v>
      </c>
      <c r="AF252" s="207">
        <v>50345</v>
      </c>
      <c r="AG252" s="206">
        <v>384</v>
      </c>
      <c r="AH252" s="206">
        <v>336</v>
      </c>
      <c r="AI252">
        <f t="shared" si="40"/>
        <v>24</v>
      </c>
      <c r="AJ252">
        <f t="shared" si="41"/>
        <v>6</v>
      </c>
    </row>
    <row r="253" spans="2:36" x14ac:dyDescent="0.2">
      <c r="AD253" s="209" t="str">
        <f t="shared" si="38"/>
        <v>Winter</v>
      </c>
      <c r="AE253">
        <f t="shared" si="39"/>
        <v>12</v>
      </c>
      <c r="AF253" s="207">
        <v>50375</v>
      </c>
      <c r="AG253" s="206">
        <v>416</v>
      </c>
      <c r="AH253" s="206">
        <v>328</v>
      </c>
      <c r="AI253">
        <f t="shared" si="40"/>
        <v>26</v>
      </c>
      <c r="AJ253">
        <f t="shared" si="41"/>
        <v>5</v>
      </c>
    </row>
  </sheetData>
  <printOptions horizontalCentered="1"/>
  <pageMargins left="0.3" right="0.3" top="0.8" bottom="0.4" header="0.5" footer="0.2"/>
  <pageSetup fitToHeight="20" orientation="landscape" r:id="rId1"/>
  <headerFooter alignWithMargins="0">
    <oddFooter>&amp;L&amp;8ljh    &amp;F   ( &amp;A ) &amp;C &amp;R &amp;8&amp;D  &amp;T</oddFooter>
  </headerFooter>
  <rowBreaks count="3" manualBreakCount="3">
    <brk id="31" max="5" man="1"/>
    <brk id="67" max="5" man="1"/>
    <brk id="10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zoomScale="80" zoomScaleNormal="80" zoomScaleSheetLayoutView="80" workbookViewId="0">
      <selection sqref="A1:N1"/>
    </sheetView>
  </sheetViews>
  <sheetFormatPr defaultColWidth="9.33203125" defaultRowHeight="15" x14ac:dyDescent="0.25"/>
  <cols>
    <col min="1" max="1" width="3.33203125" style="146" customWidth="1"/>
    <col min="2" max="2" width="6.5" style="146" customWidth="1"/>
    <col min="3" max="3" width="23.33203125" style="146" customWidth="1"/>
    <col min="4" max="4" width="14.33203125" style="146" customWidth="1"/>
    <col min="5" max="5" width="12" style="146" customWidth="1"/>
    <col min="6" max="6" width="8.5" style="146" customWidth="1"/>
    <col min="7" max="8" width="13.5" style="146" customWidth="1"/>
    <col min="9" max="9" width="2.83203125" style="146" customWidth="1"/>
    <col min="10" max="10" width="16.33203125" style="146" customWidth="1"/>
    <col min="11" max="11" width="9.33203125" style="146"/>
    <col min="12" max="12" width="2" style="146" customWidth="1"/>
    <col min="13" max="13" width="16" style="146" customWidth="1"/>
    <col min="14" max="16384" width="9.33203125" style="146"/>
  </cols>
  <sheetData>
    <row r="1" spans="1:18" s="15" customFormat="1" ht="15.75" x14ac:dyDescent="0.25">
      <c r="A1" s="373" t="s">
        <v>192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</row>
    <row r="2" spans="1:18" s="15" customFormat="1" ht="15.75" x14ac:dyDescent="0.25">
      <c r="A2" s="374" t="s">
        <v>193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</row>
    <row r="3" spans="1:18" s="144" customFormat="1" ht="15.75" customHeight="1" x14ac:dyDescent="0.25">
      <c r="B3" s="278"/>
      <c r="C3" s="145"/>
      <c r="D3" s="145"/>
      <c r="E3" s="145"/>
      <c r="F3" s="145"/>
      <c r="G3" s="279"/>
      <c r="H3" s="145"/>
      <c r="O3" s="146"/>
      <c r="P3" s="146"/>
      <c r="Q3" s="146"/>
      <c r="R3" s="146"/>
    </row>
    <row r="4" spans="1:18" s="144" customFormat="1" x14ac:dyDescent="0.25">
      <c r="B4" s="375" t="s">
        <v>139</v>
      </c>
      <c r="C4" s="376"/>
      <c r="D4" s="376"/>
      <c r="E4" s="376"/>
      <c r="F4" s="376"/>
      <c r="G4" s="376"/>
      <c r="H4" s="377"/>
      <c r="J4" s="147" t="s">
        <v>33</v>
      </c>
      <c r="K4" s="147"/>
      <c r="L4" s="148"/>
      <c r="M4" s="148"/>
      <c r="N4" s="149"/>
      <c r="O4" s="146"/>
      <c r="P4" s="146"/>
      <c r="Q4" s="146"/>
      <c r="R4" s="146"/>
    </row>
    <row r="5" spans="1:18" s="144" customFormat="1" ht="26.25" x14ac:dyDescent="0.25">
      <c r="B5" s="150" t="s">
        <v>140</v>
      </c>
      <c r="C5" s="151" t="s">
        <v>141</v>
      </c>
      <c r="D5" s="152" t="s">
        <v>142</v>
      </c>
      <c r="E5" s="152" t="s">
        <v>143</v>
      </c>
      <c r="F5" s="151" t="s">
        <v>17</v>
      </c>
      <c r="G5" s="280" t="s">
        <v>33</v>
      </c>
      <c r="H5" s="152" t="s">
        <v>144</v>
      </c>
      <c r="I5" s="144" t="s">
        <v>145</v>
      </c>
      <c r="J5" s="153" t="s">
        <v>146</v>
      </c>
      <c r="K5" s="153" t="s">
        <v>41</v>
      </c>
      <c r="M5" s="153" t="s">
        <v>146</v>
      </c>
      <c r="N5" s="153" t="s">
        <v>46</v>
      </c>
      <c r="O5" s="146"/>
      <c r="P5" s="146"/>
      <c r="Q5" s="146"/>
      <c r="R5" s="146"/>
    </row>
    <row r="6" spans="1:18" s="144" customFormat="1" ht="4.5" customHeight="1" x14ac:dyDescent="0.25">
      <c r="B6" s="154"/>
      <c r="C6" s="155"/>
      <c r="D6" s="154"/>
      <c r="E6" s="154"/>
      <c r="F6" s="156"/>
      <c r="G6" s="281"/>
      <c r="H6" s="157"/>
      <c r="O6" s="146"/>
      <c r="P6" s="146"/>
      <c r="Q6" s="146"/>
      <c r="R6" s="146"/>
    </row>
    <row r="7" spans="1:18" s="144" customFormat="1" ht="12" customHeight="1" x14ac:dyDescent="0.25">
      <c r="B7" s="158">
        <f t="shared" ref="B7:B17" si="0">OFFSET(B7,-1,0)+1</f>
        <v>1</v>
      </c>
      <c r="C7" s="165" t="s">
        <v>191</v>
      </c>
      <c r="D7" s="159">
        <v>0</v>
      </c>
      <c r="E7" s="287">
        <v>25</v>
      </c>
      <c r="F7" s="160">
        <v>0.85</v>
      </c>
      <c r="G7" s="283">
        <v>0</v>
      </c>
      <c r="H7" s="161">
        <v>43101</v>
      </c>
      <c r="I7" s="162"/>
      <c r="J7" s="163" t="s">
        <v>147</v>
      </c>
      <c r="K7" s="164">
        <v>0.158</v>
      </c>
      <c r="M7" s="163" t="str">
        <f t="shared" ref="M7:M12" si="1">"CC_W_"&amp;J7</f>
        <v xml:space="preserve">CC_W_Wind </v>
      </c>
      <c r="N7" s="164">
        <v>0.11776428835036618</v>
      </c>
      <c r="O7" s="146"/>
      <c r="P7" s="146"/>
      <c r="Q7" s="146"/>
      <c r="R7" s="146"/>
    </row>
    <row r="8" spans="1:18" s="144" customFormat="1" ht="12" customHeight="1" x14ac:dyDescent="0.25">
      <c r="B8" s="158">
        <f t="shared" si="0"/>
        <v>2</v>
      </c>
      <c r="C8" s="165" t="s">
        <v>220</v>
      </c>
      <c r="D8" s="159">
        <v>13.294122371373328</v>
      </c>
      <c r="E8" s="287">
        <v>20</v>
      </c>
      <c r="F8" s="160">
        <v>0.84220890410958904</v>
      </c>
      <c r="G8" s="283">
        <v>0.66500000000000004</v>
      </c>
      <c r="H8" s="161">
        <v>43709</v>
      </c>
      <c r="I8" s="162"/>
      <c r="J8" s="163" t="s">
        <v>15</v>
      </c>
      <c r="K8" s="164">
        <v>0.37912293315598289</v>
      </c>
      <c r="M8" s="163" t="str">
        <f t="shared" si="1"/>
        <v>CC_W_Fixed</v>
      </c>
      <c r="N8" s="164">
        <v>0.53861399146353772</v>
      </c>
      <c r="O8" s="146"/>
      <c r="P8" s="146"/>
      <c r="Q8" s="146"/>
      <c r="R8" s="146"/>
    </row>
    <row r="9" spans="1:18" s="144" customFormat="1" ht="12" customHeight="1" x14ac:dyDescent="0.25">
      <c r="B9" s="158">
        <f t="shared" si="0"/>
        <v>3</v>
      </c>
      <c r="C9" s="165" t="s">
        <v>221</v>
      </c>
      <c r="D9" s="159">
        <v>-4.54</v>
      </c>
      <c r="E9" s="287">
        <v>-7</v>
      </c>
      <c r="F9" s="160"/>
      <c r="G9" s="283">
        <v>0.64900000000000002</v>
      </c>
      <c r="H9" s="161"/>
      <c r="I9" s="162"/>
      <c r="J9" s="163" t="s">
        <v>148</v>
      </c>
      <c r="K9" s="164">
        <v>0.59672377662708742</v>
      </c>
      <c r="M9" s="163" t="str">
        <f t="shared" si="1"/>
        <v>CC_W_Tracking</v>
      </c>
      <c r="N9" s="164">
        <v>0.64803174039612643</v>
      </c>
      <c r="O9" s="146"/>
      <c r="P9" s="146"/>
      <c r="Q9" s="146"/>
      <c r="R9" s="146"/>
    </row>
    <row r="10" spans="1:18" s="144" customFormat="1" ht="12" customHeight="1" x14ac:dyDescent="0.25">
      <c r="B10" s="158">
        <f t="shared" si="0"/>
        <v>4</v>
      </c>
      <c r="C10" s="165" t="s">
        <v>222</v>
      </c>
      <c r="D10" s="159">
        <v>-6.48</v>
      </c>
      <c r="E10" s="287">
        <v>-10</v>
      </c>
      <c r="F10" s="160"/>
      <c r="G10" s="283">
        <v>0.64800000000000002</v>
      </c>
      <c r="H10" s="161"/>
      <c r="I10" s="162"/>
      <c r="J10" s="163" t="s">
        <v>149</v>
      </c>
      <c r="K10" s="164">
        <v>1</v>
      </c>
      <c r="M10" s="163" t="str">
        <f t="shared" si="1"/>
        <v xml:space="preserve">CC_W_Gas </v>
      </c>
      <c r="N10" s="164">
        <v>1</v>
      </c>
      <c r="O10" s="146"/>
      <c r="P10" s="146"/>
      <c r="Q10" s="146"/>
      <c r="R10" s="146"/>
    </row>
    <row r="11" spans="1:18" s="144" customFormat="1" ht="12" customHeight="1" x14ac:dyDescent="0.25">
      <c r="B11" s="158">
        <f t="shared" si="0"/>
        <v>5</v>
      </c>
      <c r="C11" s="165" t="s">
        <v>223</v>
      </c>
      <c r="D11" s="159">
        <v>0</v>
      </c>
      <c r="E11" s="287">
        <v>20</v>
      </c>
      <c r="F11" s="160">
        <v>0.14267123287671232</v>
      </c>
      <c r="G11" s="283">
        <v>0</v>
      </c>
      <c r="H11" s="161">
        <v>43160</v>
      </c>
      <c r="J11" s="163" t="s">
        <v>150</v>
      </c>
      <c r="K11" s="164">
        <v>1</v>
      </c>
      <c r="M11" s="163" t="str">
        <f t="shared" si="1"/>
        <v xml:space="preserve">CC_W_Hydro </v>
      </c>
      <c r="N11" s="164">
        <v>1</v>
      </c>
      <c r="O11" s="146"/>
      <c r="P11" s="146"/>
      <c r="Q11" s="146"/>
      <c r="R11" s="146"/>
    </row>
    <row r="12" spans="1:18" s="144" customFormat="1" ht="12" hidden="1" customHeight="1" x14ac:dyDescent="0.25">
      <c r="B12" s="158">
        <f t="shared" si="0"/>
        <v>6</v>
      </c>
      <c r="C12" s="165"/>
      <c r="D12" s="159"/>
      <c r="E12" s="287"/>
      <c r="F12" s="160"/>
      <c r="G12" s="283"/>
      <c r="H12" s="161"/>
      <c r="J12" s="163" t="s">
        <v>15</v>
      </c>
      <c r="K12" s="164">
        <v>0.34100000000000003</v>
      </c>
      <c r="M12" s="163" t="str">
        <f t="shared" si="1"/>
        <v>CC_W_Fixed</v>
      </c>
      <c r="N12" s="164">
        <v>0.32200000000000001</v>
      </c>
      <c r="O12" s="146"/>
      <c r="P12" s="146"/>
      <c r="Q12" s="146"/>
      <c r="R12" s="146"/>
    </row>
    <row r="13" spans="1:18" s="144" customFormat="1" ht="12" hidden="1" customHeight="1" x14ac:dyDescent="0.25">
      <c r="B13" s="158">
        <f t="shared" si="0"/>
        <v>7</v>
      </c>
      <c r="C13" s="165"/>
      <c r="D13" s="159"/>
      <c r="E13" s="287"/>
      <c r="F13" s="160"/>
      <c r="G13" s="283"/>
      <c r="H13" s="161"/>
      <c r="O13" s="146"/>
      <c r="P13" s="146"/>
      <c r="Q13" s="146"/>
      <c r="R13" s="146"/>
    </row>
    <row r="14" spans="1:18" s="144" customFormat="1" ht="12" hidden="1" customHeight="1" x14ac:dyDescent="0.25">
      <c r="B14" s="158">
        <f t="shared" si="0"/>
        <v>8</v>
      </c>
      <c r="C14" s="165"/>
      <c r="D14" s="159"/>
      <c r="E14" s="287"/>
      <c r="F14" s="160"/>
      <c r="G14" s="283"/>
      <c r="H14" s="161"/>
      <c r="O14" s="146"/>
      <c r="P14" s="146"/>
      <c r="Q14" s="146"/>
      <c r="R14" s="146"/>
    </row>
    <row r="15" spans="1:18" s="144" customFormat="1" ht="12" hidden="1" customHeight="1" x14ac:dyDescent="0.25">
      <c r="B15" s="158">
        <f t="shared" si="0"/>
        <v>9</v>
      </c>
      <c r="C15" s="165"/>
      <c r="D15" s="159"/>
      <c r="E15" s="287"/>
      <c r="F15" s="160"/>
      <c r="G15" s="283"/>
      <c r="H15" s="161"/>
      <c r="O15" s="146"/>
      <c r="P15" s="146"/>
      <c r="Q15" s="146"/>
      <c r="R15" s="146"/>
    </row>
    <row r="16" spans="1:18" s="144" customFormat="1" ht="12" hidden="1" customHeight="1" x14ac:dyDescent="0.25">
      <c r="B16" s="158">
        <f t="shared" si="0"/>
        <v>10</v>
      </c>
      <c r="C16" s="165"/>
      <c r="D16" s="159"/>
      <c r="E16" s="287"/>
      <c r="F16" s="160"/>
      <c r="G16" s="283"/>
      <c r="H16" s="161"/>
      <c r="O16" s="146"/>
      <c r="P16" s="146"/>
      <c r="Q16" s="146"/>
      <c r="R16" s="146"/>
    </row>
    <row r="17" spans="1:18" s="144" customFormat="1" ht="12" hidden="1" customHeight="1" x14ac:dyDescent="0.25">
      <c r="B17" s="158">
        <f t="shared" si="0"/>
        <v>11</v>
      </c>
      <c r="C17" s="165"/>
      <c r="D17" s="159"/>
      <c r="E17" s="287"/>
      <c r="F17" s="160"/>
      <c r="G17" s="283"/>
      <c r="H17" s="161"/>
      <c r="O17" s="146"/>
      <c r="P17" s="146"/>
      <c r="Q17" s="146"/>
      <c r="R17" s="146"/>
    </row>
    <row r="18" spans="1:18" s="144" customFormat="1" ht="12" hidden="1" customHeight="1" x14ac:dyDescent="0.25">
      <c r="B18" s="158">
        <f t="shared" ref="B18" si="2">B17+1</f>
        <v>12</v>
      </c>
      <c r="C18" s="165"/>
      <c r="D18" s="159"/>
      <c r="E18" s="287"/>
      <c r="F18" s="160"/>
      <c r="G18" s="283"/>
      <c r="H18" s="161"/>
      <c r="O18" s="146"/>
      <c r="P18" s="146"/>
      <c r="Q18" s="146"/>
      <c r="R18" s="146"/>
    </row>
    <row r="19" spans="1:18" s="144" customFormat="1" ht="12" hidden="1" customHeight="1" x14ac:dyDescent="0.25">
      <c r="B19" s="158">
        <v>13</v>
      </c>
      <c r="C19" s="165"/>
      <c r="D19" s="159"/>
      <c r="E19" s="287"/>
      <c r="F19" s="160"/>
      <c r="G19" s="283"/>
      <c r="H19" s="161"/>
      <c r="O19" s="146"/>
      <c r="P19" s="146"/>
      <c r="Q19" s="146"/>
      <c r="R19" s="146"/>
    </row>
    <row r="20" spans="1:18" s="144" customFormat="1" ht="12" hidden="1" customHeight="1" x14ac:dyDescent="0.25">
      <c r="B20" s="158"/>
      <c r="C20" s="165"/>
      <c r="D20" s="159"/>
      <c r="E20" s="159"/>
      <c r="F20" s="160"/>
      <c r="G20" s="282"/>
      <c r="H20" s="161"/>
      <c r="O20" s="146"/>
      <c r="P20" s="146"/>
      <c r="Q20" s="146"/>
      <c r="R20" s="146"/>
    </row>
    <row r="21" spans="1:18" s="144" customFormat="1" ht="12" hidden="1" customHeight="1" x14ac:dyDescent="0.25">
      <c r="B21" s="158"/>
      <c r="C21" s="165"/>
      <c r="D21" s="159"/>
      <c r="E21" s="159"/>
      <c r="F21" s="160"/>
      <c r="G21" s="282"/>
      <c r="H21" s="161"/>
      <c r="O21" s="146"/>
      <c r="P21" s="146"/>
      <c r="Q21" s="146"/>
      <c r="R21" s="146"/>
    </row>
    <row r="22" spans="1:18" s="144" customFormat="1" ht="12" hidden="1" customHeight="1" x14ac:dyDescent="0.25">
      <c r="B22" s="158"/>
      <c r="C22" s="165"/>
      <c r="D22" s="159"/>
      <c r="E22" s="159"/>
      <c r="F22" s="160"/>
      <c r="G22" s="282"/>
      <c r="H22" s="161"/>
      <c r="O22" s="146"/>
      <c r="P22" s="146"/>
      <c r="Q22" s="146"/>
      <c r="R22" s="146"/>
    </row>
    <row r="23" spans="1:18" s="144" customFormat="1" ht="12" hidden="1" customHeight="1" x14ac:dyDescent="0.25">
      <c r="B23" s="158"/>
      <c r="C23" s="165"/>
      <c r="D23" s="159"/>
      <c r="E23" s="159"/>
      <c r="F23" s="160"/>
      <c r="G23" s="284"/>
      <c r="H23" s="161"/>
      <c r="O23" s="146"/>
      <c r="P23" s="146"/>
      <c r="Q23" s="146"/>
      <c r="R23" s="146"/>
    </row>
    <row r="24" spans="1:18" s="144" customFormat="1" ht="12" hidden="1" customHeight="1" x14ac:dyDescent="0.25">
      <c r="B24" s="158"/>
      <c r="C24" s="165"/>
      <c r="D24" s="159"/>
      <c r="E24" s="159"/>
      <c r="F24" s="160"/>
      <c r="G24" s="284"/>
      <c r="H24" s="161"/>
      <c r="O24" s="146"/>
      <c r="P24" s="146"/>
      <c r="Q24" s="146"/>
      <c r="R24" s="146"/>
    </row>
    <row r="25" spans="1:18" s="144" customFormat="1" ht="12" hidden="1" customHeight="1" x14ac:dyDescent="0.25">
      <c r="B25" s="158"/>
      <c r="C25" s="165"/>
      <c r="D25" s="159"/>
      <c r="E25" s="159"/>
      <c r="F25" s="160"/>
      <c r="G25" s="284"/>
      <c r="H25" s="161"/>
      <c r="O25" s="146"/>
      <c r="P25" s="146"/>
      <c r="Q25" s="146"/>
      <c r="R25" s="146"/>
    </row>
    <row r="26" spans="1:18" s="144" customFormat="1" ht="12" hidden="1" customHeight="1" x14ac:dyDescent="0.25">
      <c r="B26" s="158"/>
      <c r="C26" s="165"/>
      <c r="D26" s="159"/>
      <c r="E26" s="159"/>
      <c r="F26" s="160"/>
      <c r="G26" s="282"/>
      <c r="H26" s="161"/>
      <c r="O26" s="146"/>
      <c r="P26" s="146"/>
      <c r="Q26" s="146"/>
      <c r="R26" s="146"/>
    </row>
    <row r="27" spans="1:18" s="144" customFormat="1" ht="12" hidden="1" customHeight="1" x14ac:dyDescent="0.25">
      <c r="B27" s="158"/>
      <c r="C27" s="165"/>
      <c r="D27" s="159"/>
      <c r="E27" s="159"/>
      <c r="F27" s="160"/>
      <c r="G27" s="282"/>
      <c r="H27" s="161"/>
      <c r="O27" s="146"/>
      <c r="P27" s="146"/>
      <c r="Q27" s="146"/>
      <c r="R27" s="146"/>
    </row>
    <row r="28" spans="1:18" s="144" customFormat="1" ht="3.75" hidden="1" customHeight="1" x14ac:dyDescent="0.25">
      <c r="B28" s="158"/>
      <c r="C28" s="165"/>
      <c r="D28" s="159"/>
      <c r="E28" s="159"/>
      <c r="F28" s="160"/>
      <c r="G28" s="284"/>
      <c r="H28" s="161"/>
      <c r="O28" s="146"/>
      <c r="P28" s="146"/>
      <c r="Q28" s="146"/>
      <c r="R28" s="146"/>
    </row>
    <row r="29" spans="1:18" s="144" customFormat="1" ht="15" hidden="1" customHeight="1" x14ac:dyDescent="0.25">
      <c r="B29" s="158"/>
      <c r="C29" s="165"/>
      <c r="D29" s="159"/>
      <c r="E29" s="159"/>
      <c r="F29" s="160"/>
      <c r="G29" s="282"/>
      <c r="H29" s="161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4" customFormat="1" ht="6.75" hidden="1" customHeight="1" x14ac:dyDescent="0.25">
      <c r="A30" s="174"/>
      <c r="B30" s="158"/>
      <c r="C30" s="165"/>
      <c r="D30" s="159"/>
      <c r="E30" s="159"/>
      <c r="F30" s="160"/>
      <c r="G30" s="282"/>
      <c r="H30" s="161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4" customFormat="1" ht="23.25" customHeight="1" x14ac:dyDescent="0.25">
      <c r="A31" s="146"/>
      <c r="B31" s="166"/>
      <c r="C31" s="167"/>
      <c r="D31" s="168"/>
      <c r="E31" s="168"/>
      <c r="F31" s="169"/>
      <c r="G31" s="285"/>
      <c r="H31" s="170"/>
      <c r="J31" s="146"/>
      <c r="K31" s="146"/>
      <c r="L31" s="146"/>
      <c r="M31" s="146"/>
      <c r="N31" s="146"/>
      <c r="O31" s="146"/>
      <c r="P31" s="146"/>
      <c r="Q31" s="146"/>
      <c r="R31" s="146"/>
    </row>
    <row r="32" spans="1:18" x14ac:dyDescent="0.25">
      <c r="B32" s="378" t="s">
        <v>151</v>
      </c>
      <c r="C32" s="379"/>
      <c r="D32" s="171">
        <f>ROUND(SUM(D7:D31),2)</f>
        <v>2.27</v>
      </c>
      <c r="E32" s="171">
        <f>ROUND(SUM(E7:E31),2)</f>
        <v>48</v>
      </c>
      <c r="F32" s="172"/>
      <c r="G32" s="286"/>
      <c r="H32" s="173"/>
    </row>
  </sheetData>
  <mergeCells count="4">
    <mergeCell ref="A1:N1"/>
    <mergeCell ref="A2:N2"/>
    <mergeCell ref="B4:H4"/>
    <mergeCell ref="B32:C32"/>
  </mergeCells>
  <conditionalFormatting sqref="E17">
    <cfRule type="expression" dxfId="12" priority="23">
      <formula>AND(ISLOGICAL(#REF!),#REF!=FALSE)</formula>
    </cfRule>
  </conditionalFormatting>
  <conditionalFormatting sqref="E13">
    <cfRule type="expression" dxfId="11" priority="19">
      <formula>AND(ISLOGICAL(#REF!),#REF!=FALSE)</formula>
    </cfRule>
  </conditionalFormatting>
  <conditionalFormatting sqref="H13">
    <cfRule type="expression" dxfId="10" priority="20">
      <formula>AND(ISLOGICAL(#REF!),#REF!=FALSE)</formula>
    </cfRule>
  </conditionalFormatting>
  <conditionalFormatting sqref="E11">
    <cfRule type="expression" dxfId="9" priority="16">
      <formula>AND(ISLOGICAL(#REF!),#REF!=FALSE)</formula>
    </cfRule>
  </conditionalFormatting>
  <conditionalFormatting sqref="E11">
    <cfRule type="expression" dxfId="8" priority="15">
      <formula>AND(ISLOGICAL(#REF!),#REF!=FALSE)</formula>
    </cfRule>
  </conditionalFormatting>
  <conditionalFormatting sqref="E18">
    <cfRule type="expression" dxfId="7" priority="4">
      <formula>AND(ISLOGICAL(#REF!),#REF!=FALSE)</formula>
    </cfRule>
  </conditionalFormatting>
  <conditionalFormatting sqref="E18">
    <cfRule type="expression" dxfId="6" priority="3">
      <formula>AND(ISLOGICAL(#REF!),#REF!=FALSE)</formula>
    </cfRule>
  </conditionalFormatting>
  <conditionalFormatting sqref="H18">
    <cfRule type="expression" dxfId="5" priority="2">
      <formula>AND(ISLOGICAL(#REF!),#REF!=FALSE)</formula>
    </cfRule>
  </conditionalFormatting>
  <conditionalFormatting sqref="H18">
    <cfRule type="expression" dxfId="4" priority="1">
      <formula>AND(ISLOGICAL(#REF!),#REF!=FALSE)</formula>
    </cfRule>
  </conditionalFormatting>
  <conditionalFormatting sqref="H14 H17">
    <cfRule type="expression" dxfId="3" priority="31">
      <formula>AND(ISLOGICAL(#REF!),#REF!=FALSE)</formula>
    </cfRule>
  </conditionalFormatting>
  <conditionalFormatting sqref="H15:H16">
    <cfRule type="expression" dxfId="2" priority="35">
      <formula>AND(ISLOGICAL(#REF!),#REF!=FALSE)</formula>
    </cfRule>
  </conditionalFormatting>
  <conditionalFormatting sqref="B7:B14">
    <cfRule type="expression" dxfId="1" priority="39">
      <formula>AND($E7&gt;0,#REF!=1)</formula>
    </cfRule>
  </conditionalFormatting>
  <conditionalFormatting sqref="B15:B17">
    <cfRule type="expression" dxfId="0" priority="45">
      <formula>AND($E15&gt;0,#REF!=1)</formula>
    </cfRule>
  </conditionalFormatting>
  <printOptions horizontalCentered="1"/>
  <pageMargins left="0.25" right="0.25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7"/>
  <sheetViews>
    <sheetView showGridLines="0" zoomScale="70" zoomScaleNormal="70" workbookViewId="0"/>
  </sheetViews>
  <sheetFormatPr defaultColWidth="9.33203125" defaultRowHeight="12.75" x14ac:dyDescent="0.2"/>
  <cols>
    <col min="1" max="1" width="1.6640625" style="66" customWidth="1"/>
    <col min="2" max="2" width="23.83203125" style="66" customWidth="1"/>
    <col min="3" max="3" width="11.83203125" style="66" customWidth="1"/>
    <col min="4" max="4" width="9.83203125" style="66" customWidth="1"/>
    <col min="5" max="5" width="10.33203125" style="66" customWidth="1"/>
    <col min="6" max="6" width="11.5" style="66" customWidth="1"/>
    <col min="7" max="7" width="8.5" style="66" customWidth="1"/>
    <col min="8" max="8" width="11.5" style="66" customWidth="1"/>
    <col min="9" max="9" width="9.33203125" style="66" customWidth="1"/>
    <col min="10" max="10" width="8.5" style="66" customWidth="1"/>
    <col min="11" max="11" width="10.5" style="66" customWidth="1"/>
    <col min="12" max="12" width="8.83203125" style="66" customWidth="1"/>
    <col min="13" max="13" width="8.5" style="66" customWidth="1"/>
    <col min="14" max="15" width="9.5" style="66" customWidth="1"/>
    <col min="16" max="16" width="4.5" style="66" customWidth="1"/>
    <col min="17" max="16384" width="9.33203125" style="66"/>
  </cols>
  <sheetData>
    <row r="1" spans="2:20" s="4" customFormat="1" ht="15.75" x14ac:dyDescent="0.25">
      <c r="B1" s="1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4"/>
    </row>
    <row r="2" spans="2:20" s="6" customFormat="1" ht="15" x14ac:dyDescent="0.25"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4"/>
    </row>
    <row r="3" spans="2:20" s="6" customFormat="1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4"/>
    </row>
    <row r="4" spans="2:20" x14ac:dyDescent="0.2">
      <c r="C4" s="134" t="s">
        <v>78</v>
      </c>
      <c r="D4" s="135"/>
      <c r="E4" s="135"/>
      <c r="F4" s="134" t="s">
        <v>79</v>
      </c>
      <c r="G4" s="135"/>
      <c r="H4" s="135"/>
      <c r="I4" s="134" t="s">
        <v>80</v>
      </c>
      <c r="J4" s="135"/>
      <c r="K4" s="135"/>
      <c r="L4" s="380" t="s">
        <v>81</v>
      </c>
      <c r="M4" s="381"/>
      <c r="N4" s="382"/>
      <c r="O4" s="371"/>
      <c r="P4" s="44"/>
    </row>
    <row r="5" spans="2:20" x14ac:dyDescent="0.2">
      <c r="B5" s="44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44"/>
    </row>
    <row r="6" spans="2:20" ht="38.25" x14ac:dyDescent="0.2">
      <c r="B6" s="133"/>
      <c r="C6" s="100" t="s">
        <v>177</v>
      </c>
      <c r="D6" s="214" t="s">
        <v>12</v>
      </c>
      <c r="E6" s="213" t="s">
        <v>178</v>
      </c>
      <c r="F6" s="100" t="s">
        <v>177</v>
      </c>
      <c r="G6" s="214" t="s">
        <v>12</v>
      </c>
      <c r="H6" s="213" t="s">
        <v>178</v>
      </c>
      <c r="I6" s="100" t="s">
        <v>177</v>
      </c>
      <c r="J6" s="214" t="s">
        <v>12</v>
      </c>
      <c r="K6" s="213" t="s">
        <v>178</v>
      </c>
      <c r="L6" s="100" t="s">
        <v>177</v>
      </c>
      <c r="M6" s="214" t="s">
        <v>12</v>
      </c>
      <c r="N6" s="213" t="s">
        <v>178</v>
      </c>
      <c r="O6" s="369"/>
      <c r="P6" s="44"/>
    </row>
    <row r="7" spans="2:20" hidden="1" x14ac:dyDescent="0.2">
      <c r="B7" s="113"/>
      <c r="C7" s="215" t="s">
        <v>13</v>
      </c>
      <c r="D7" s="216" t="s">
        <v>13</v>
      </c>
      <c r="E7" s="214"/>
      <c r="F7" s="215" t="s">
        <v>13</v>
      </c>
      <c r="G7" s="216" t="s">
        <v>13</v>
      </c>
      <c r="H7" s="214"/>
      <c r="I7" s="215" t="s">
        <v>13</v>
      </c>
      <c r="J7" s="216" t="s">
        <v>13</v>
      </c>
      <c r="K7" s="214"/>
      <c r="L7" s="215" t="s">
        <v>13</v>
      </c>
      <c r="M7" s="216" t="s">
        <v>13</v>
      </c>
      <c r="N7" s="214"/>
      <c r="O7" s="229"/>
      <c r="P7" s="44"/>
    </row>
    <row r="8" spans="2:20" x14ac:dyDescent="0.2">
      <c r="B8" s="113" t="s">
        <v>0</v>
      </c>
      <c r="C8" s="100" t="s">
        <v>20</v>
      </c>
      <c r="D8" s="214" t="s">
        <v>20</v>
      </c>
      <c r="E8" s="214" t="s">
        <v>20</v>
      </c>
      <c r="F8" s="100" t="s">
        <v>20</v>
      </c>
      <c r="G8" s="214" t="s">
        <v>20</v>
      </c>
      <c r="H8" s="214" t="s">
        <v>20</v>
      </c>
      <c r="I8" s="100" t="s">
        <v>20</v>
      </c>
      <c r="J8" s="214" t="s">
        <v>20</v>
      </c>
      <c r="K8" s="214" t="s">
        <v>20</v>
      </c>
      <c r="L8" s="100" t="s">
        <v>20</v>
      </c>
      <c r="M8" s="214" t="s">
        <v>20</v>
      </c>
      <c r="N8" s="214" t="s">
        <v>20</v>
      </c>
      <c r="O8" s="229"/>
      <c r="P8" s="44"/>
    </row>
    <row r="9" spans="2:20" x14ac:dyDescent="0.2">
      <c r="B9" s="233"/>
      <c r="C9" s="234" t="s">
        <v>2</v>
      </c>
      <c r="D9" s="235" t="s">
        <v>3</v>
      </c>
      <c r="E9" s="235" t="s">
        <v>4</v>
      </c>
      <c r="F9" s="232" t="s">
        <v>5</v>
      </c>
      <c r="G9" s="235" t="s">
        <v>169</v>
      </c>
      <c r="H9" s="235" t="s">
        <v>170</v>
      </c>
      <c r="I9" s="232" t="s">
        <v>171</v>
      </c>
      <c r="J9" s="232" t="s">
        <v>172</v>
      </c>
      <c r="K9" s="232" t="s">
        <v>173</v>
      </c>
      <c r="L9" s="232" t="s">
        <v>174</v>
      </c>
      <c r="M9" s="232" t="s">
        <v>175</v>
      </c>
      <c r="N9" s="372" t="s">
        <v>176</v>
      </c>
      <c r="O9" s="370"/>
      <c r="P9" s="44"/>
    </row>
    <row r="10" spans="2:20" s="17" customFormat="1" x14ac:dyDescent="0.2">
      <c r="B10" s="221"/>
      <c r="C10" s="217"/>
      <c r="D10" s="217"/>
      <c r="E10" s="224" t="str">
        <f>C9&amp;" - "&amp;D9</f>
        <v>(a) - (b)</v>
      </c>
      <c r="F10" s="218"/>
      <c r="G10" s="217"/>
      <c r="H10" s="224" t="str">
        <f>F9&amp;" - "&amp;G9</f>
        <v>(d) - (e)</v>
      </c>
      <c r="I10" s="218"/>
      <c r="J10" s="217"/>
      <c r="K10" s="224" t="str">
        <f>I9&amp;" - "&amp;J9</f>
        <v>(g) - (h)</v>
      </c>
      <c r="L10" s="218"/>
      <c r="M10" s="217"/>
      <c r="N10" s="274" t="str">
        <f>L9&amp;" - "&amp;M9</f>
        <v>(j) - (k)</v>
      </c>
      <c r="O10" s="224"/>
      <c r="P10" s="219"/>
    </row>
    <row r="11" spans="2:20" x14ac:dyDescent="0.2">
      <c r="B11" s="220"/>
      <c r="C11" s="114"/>
      <c r="D11" s="114"/>
      <c r="E11" s="114"/>
      <c r="F11" s="115"/>
      <c r="G11" s="114"/>
      <c r="H11" s="114"/>
      <c r="I11" s="115"/>
      <c r="J11" s="114"/>
      <c r="K11" s="114"/>
      <c r="L11" s="115"/>
      <c r="M11" s="114"/>
      <c r="N11" s="275"/>
      <c r="O11" s="114"/>
      <c r="P11" s="44"/>
    </row>
    <row r="12" spans="2:20" x14ac:dyDescent="0.2">
      <c r="B12" s="222">
        <v>2018</v>
      </c>
      <c r="C12" s="117">
        <f>($D$47*INDEX('Tariff Page'!$D$9:$D$30,MATCH($B12,'Tariff Page'!$B$9:$B$30,0))+$D$48*INDEX('Tariff Page'!$C$9:$C$30,MATCH($B12,'Tariff Page'!$B$9:$B$30,0))+$D$49*INDEX('Tariff Page'!$F$9:$F$30,MATCH($B12,'Tariff Page'!$B$9:$B$30,0))+$D$50*INDEX('Tariff Page'!$E$9:$E$30,MATCH($B12,'Tariff Page'!$B$9:$B$30,0)))*10</f>
        <v>17.87818329485669</v>
      </c>
      <c r="D12" s="117">
        <v>19.845038415417093</v>
      </c>
      <c r="E12" s="118">
        <f t="shared" ref="E12:E29" si="0">C12-D12</f>
        <v>-1.9668551205604032</v>
      </c>
      <c r="F12" s="119">
        <f>($G$47*INDEX('Tariff Page Wind'!$D$9:$D$32,MATCH($B12,'Tariff Page Wind'!$B$9:$B$32,0))+$G$48*INDEX('Tariff Page Wind'!$C$9:$C$32,MATCH($B12,'Tariff Page Wind'!$B$9:$B$32,0))+$G$49*INDEX('Tariff Page Wind'!$F$9:$F$32,MATCH($B12,'Tariff Page Wind'!$B$9:$B$32,0))+$G$50*INDEX('Tariff Page Wind'!$E$9:$E$32,MATCH($B12,'Tariff Page Wind'!$B$9:$B$32,0)))*10</f>
        <v>14.758045015329069</v>
      </c>
      <c r="G12" s="117">
        <v>17.884447492097291</v>
      </c>
      <c r="H12" s="118">
        <f t="shared" ref="H12:H29" si="1">F12-G12</f>
        <v>-3.1264024767682219</v>
      </c>
      <c r="I12" s="119">
        <f>($J$47*INDEX('Tariff Page Solar Fixed'!$D$9:$D$31,MATCH($B12,'Tariff Page Solar Fixed'!$B$9:$B$31,0))+$J$48*INDEX('Tariff Page Solar Fixed'!$C$9:$C$31,MATCH($B12,'Tariff Page Solar Fixed'!$B$9:$B$31,0))+$J$49*INDEX('Tariff Page Solar Fixed'!$F$9:$F$31,MATCH($B12,'Tariff Page Solar Fixed'!$B$9:$B$31,0))+$J$50*INDEX('Tariff Page Solar Fixed'!$E$9:$E$31,MATCH($B12,'Tariff Page Solar Fixed'!$B$9:$B$31,0)))*10</f>
        <v>15.643069382930799</v>
      </c>
      <c r="J12" s="117">
        <v>19.281054496979564</v>
      </c>
      <c r="K12" s="118">
        <f t="shared" ref="K12:K29" si="2">I12-J12</f>
        <v>-3.6379851140487656</v>
      </c>
      <c r="L12" s="119">
        <f>($M$47*INDEX('Tariff Page Solar Tracking'!$D$9:$D$31,MATCH($B12,'Tariff Page Solar Tracking'!$B$9:$B$31,0))+$M$48*INDEX('Tariff Page Solar Tracking'!$C$9:$C$31,MATCH($B12,'Tariff Page Solar Tracking'!$B$9:$B$31,0))+$M$49*INDEX('Tariff Page Solar Tracking'!$F$9:$F$31,MATCH($B12,'Tariff Page Solar Tracking'!$B$9:$B$31,0))+$M$50*INDEX('Tariff Page Solar Tracking'!$E$9:$E$31,MATCH($B12,'Tariff Page Solar Tracking'!$B$9:$B$31,0)))*10</f>
        <v>16.644228210285718</v>
      </c>
      <c r="M12" s="117">
        <v>19.426294734833533</v>
      </c>
      <c r="N12" s="276">
        <f t="shared" ref="N12:N29" si="3">L12-M12</f>
        <v>-2.7820665245478153</v>
      </c>
      <c r="O12" s="118"/>
      <c r="P12" s="44"/>
      <c r="R12" s="111"/>
      <c r="S12" s="111"/>
    </row>
    <row r="13" spans="2:20" s="44" customFormat="1" x14ac:dyDescent="0.2">
      <c r="B13" s="222">
        <f>B12+1</f>
        <v>2019</v>
      </c>
      <c r="C13" s="117">
        <f>($D$47*INDEX('Tariff Page'!$D$9:$D$30,MATCH($B13,'Tariff Page'!$B$9:$B$30,0))+$D$48*INDEX('Tariff Page'!$C$9:$C$30,MATCH($B13,'Tariff Page'!$B$9:$B$30,0))+$D$49*INDEX('Tariff Page'!$F$9:$F$30,MATCH($B13,'Tariff Page'!$B$9:$B$30,0))+$D$50*INDEX('Tariff Page'!$E$9:$E$30,MATCH($B13,'Tariff Page'!$B$9:$B$30,0)))*10</f>
        <v>18.460125506493771</v>
      </c>
      <c r="D13" s="117">
        <v>20.264639295401832</v>
      </c>
      <c r="E13" s="118">
        <f t="shared" si="0"/>
        <v>-1.8045137889080607</v>
      </c>
      <c r="F13" s="119">
        <f>($G$47*INDEX('Tariff Page Wind'!$D$9:$D$32,MATCH($B13,'Tariff Page Wind'!$B$9:$B$32,0))+$G$48*INDEX('Tariff Page Wind'!$C$9:$C$32,MATCH($B13,'Tariff Page Wind'!$B$9:$B$32,0))+$G$49*INDEX('Tariff Page Wind'!$F$9:$F$32,MATCH($B13,'Tariff Page Wind'!$B$9:$B$32,0))+$G$50*INDEX('Tariff Page Wind'!$E$9:$E$32,MATCH($B13,'Tariff Page Wind'!$B$9:$B$32,0)))*10</f>
        <v>15.593478208237368</v>
      </c>
      <c r="G13" s="117">
        <v>18.200540440070675</v>
      </c>
      <c r="H13" s="118">
        <f t="shared" si="1"/>
        <v>-2.6070622318333072</v>
      </c>
      <c r="I13" s="119">
        <f>($J$47*INDEX('Tariff Page Solar Fixed'!$D$9:$D$31,MATCH($B13,'Tariff Page Solar Fixed'!$B$9:$B$31,0))+$J$48*INDEX('Tariff Page Solar Fixed'!$C$9:$C$31,MATCH($B13,'Tariff Page Solar Fixed'!$B$9:$B$31,0))+$J$49*INDEX('Tariff Page Solar Fixed'!$F$9:$F$31,MATCH($B13,'Tariff Page Solar Fixed'!$B$9:$B$31,0))+$J$50*INDEX('Tariff Page Solar Fixed'!$E$9:$E$31,MATCH($B13,'Tariff Page Solar Fixed'!$B$9:$B$31,0)))*10</f>
        <v>15.473440252426101</v>
      </c>
      <c r="J13" s="117">
        <v>19.430914930320018</v>
      </c>
      <c r="K13" s="118">
        <f t="shared" si="2"/>
        <v>-3.9574746778939165</v>
      </c>
      <c r="L13" s="119">
        <f>($M$47*INDEX('Tariff Page Solar Tracking'!$D$9:$D$31,MATCH($B13,'Tariff Page Solar Tracking'!$B$9:$B$31,0))+$M$48*INDEX('Tariff Page Solar Tracking'!$C$9:$C$31,MATCH($B13,'Tariff Page Solar Tracking'!$B$9:$B$31,0))+$M$49*INDEX('Tariff Page Solar Tracking'!$F$9:$F$31,MATCH($B13,'Tariff Page Solar Tracking'!$B$9:$B$31,0))+$M$50*INDEX('Tariff Page Solar Tracking'!$E$9:$E$31,MATCH($B13,'Tariff Page Solar Tracking'!$B$9:$B$31,0)))*10</f>
        <v>16.405257998988333</v>
      </c>
      <c r="M13" s="117">
        <v>19.643833438650301</v>
      </c>
      <c r="N13" s="276">
        <f t="shared" si="3"/>
        <v>-3.2385754396619681</v>
      </c>
      <c r="O13" s="118"/>
      <c r="T13" s="120"/>
    </row>
    <row r="14" spans="2:20" x14ac:dyDescent="0.2">
      <c r="B14" s="222">
        <f t="shared" ref="B14:B28" si="4">B13+1</f>
        <v>2020</v>
      </c>
      <c r="C14" s="117">
        <f>($D$47*INDEX('Tariff Page'!$D$9:$D$30,MATCH($B14,'Tariff Page'!$B$9:$B$30,0))+$D$48*INDEX('Tariff Page'!$C$9:$C$30,MATCH($B14,'Tariff Page'!$B$9:$B$30,0))+$D$49*INDEX('Tariff Page'!$F$9:$F$30,MATCH($B14,'Tariff Page'!$B$9:$B$30,0))+$D$50*INDEX('Tariff Page'!$E$9:$E$30,MATCH($B14,'Tariff Page'!$B$9:$B$30,0)))*10</f>
        <v>17.453835139788623</v>
      </c>
      <c r="D14" s="117">
        <v>22.207068125539877</v>
      </c>
      <c r="E14" s="118">
        <f t="shared" si="0"/>
        <v>-4.7532329857512536</v>
      </c>
      <c r="F14" s="119">
        <f>($G$47*INDEX('Tariff Page Wind'!$D$9:$D$32,MATCH($B14,'Tariff Page Wind'!$B$9:$B$32,0))+$G$48*INDEX('Tariff Page Wind'!$C$9:$C$32,MATCH($B14,'Tariff Page Wind'!$B$9:$B$32,0))+$G$49*INDEX('Tariff Page Wind'!$F$9:$F$32,MATCH($B14,'Tariff Page Wind'!$B$9:$B$32,0))+$G$50*INDEX('Tariff Page Wind'!$E$9:$E$32,MATCH($B14,'Tariff Page Wind'!$B$9:$B$32,0)))*10</f>
        <v>12.574015112182405</v>
      </c>
      <c r="G14" s="117">
        <v>19.72141579493865</v>
      </c>
      <c r="H14" s="118">
        <f t="shared" si="1"/>
        <v>-7.1474006827562455</v>
      </c>
      <c r="I14" s="119">
        <f>($J$47*INDEX('Tariff Page Solar Fixed'!$D$9:$D$31,MATCH($B14,'Tariff Page Solar Fixed'!$B$9:$B$31,0))+$J$48*INDEX('Tariff Page Solar Fixed'!$C$9:$C$31,MATCH($B14,'Tariff Page Solar Fixed'!$B$9:$B$31,0))+$J$49*INDEX('Tariff Page Solar Fixed'!$F$9:$F$31,MATCH($B14,'Tariff Page Solar Fixed'!$B$9:$B$31,0))+$J$50*INDEX('Tariff Page Solar Fixed'!$E$9:$E$31,MATCH($B14,'Tariff Page Solar Fixed'!$B$9:$B$31,0)))*10</f>
        <v>13.730337439506767</v>
      </c>
      <c r="J14" s="117">
        <v>21.143567517357052</v>
      </c>
      <c r="K14" s="118">
        <f t="shared" si="2"/>
        <v>-7.4132300778502849</v>
      </c>
      <c r="L14" s="119">
        <f>($M$47*INDEX('Tariff Page Solar Tracking'!$D$9:$D$31,MATCH($B14,'Tariff Page Solar Tracking'!$B$9:$B$31,0))+$M$48*INDEX('Tariff Page Solar Tracking'!$C$9:$C$31,MATCH($B14,'Tariff Page Solar Tracking'!$B$9:$B$31,0))+$M$49*INDEX('Tariff Page Solar Tracking'!$F$9:$F$31,MATCH($B14,'Tariff Page Solar Tracking'!$B$9:$B$31,0))+$M$50*INDEX('Tariff Page Solar Tracking'!$E$9:$E$31,MATCH($B14,'Tariff Page Solar Tracking'!$B$9:$B$31,0)))*10</f>
        <v>14.492581870292991</v>
      </c>
      <c r="M14" s="117">
        <v>21.261938751989248</v>
      </c>
      <c r="N14" s="276">
        <f t="shared" si="3"/>
        <v>-6.7693568816962575</v>
      </c>
      <c r="O14" s="118"/>
      <c r="T14" s="111"/>
    </row>
    <row r="15" spans="2:20" x14ac:dyDescent="0.2">
      <c r="B15" s="222">
        <f t="shared" si="4"/>
        <v>2021</v>
      </c>
      <c r="C15" s="117">
        <f>($D$47*INDEX('Tariff Page'!$D$9:$D$30,MATCH($B15,'Tariff Page'!$B$9:$B$30,0))+$D$48*INDEX('Tariff Page'!$C$9:$C$30,MATCH($B15,'Tariff Page'!$B$9:$B$30,0))+$D$49*INDEX('Tariff Page'!$F$9:$F$30,MATCH($B15,'Tariff Page'!$B$9:$B$30,0))+$D$50*INDEX('Tariff Page'!$E$9:$E$30,MATCH($B15,'Tariff Page'!$B$9:$B$30,0)))*10</f>
        <v>18.488811077695729</v>
      </c>
      <c r="D15" s="117">
        <v>20.501991227581499</v>
      </c>
      <c r="E15" s="118">
        <f t="shared" si="0"/>
        <v>-2.0131801498857698</v>
      </c>
      <c r="F15" s="119">
        <f>($G$47*INDEX('Tariff Page Wind'!$D$9:$D$32,MATCH($B15,'Tariff Page Wind'!$B$9:$B$32,0))+$G$48*INDEX('Tariff Page Wind'!$C$9:$C$32,MATCH($B15,'Tariff Page Wind'!$B$9:$B$32,0))+$G$49*INDEX('Tariff Page Wind'!$F$9:$F$32,MATCH($B15,'Tariff Page Wind'!$B$9:$B$32,0))+$G$50*INDEX('Tariff Page Wind'!$E$9:$E$32,MATCH($B15,'Tariff Page Wind'!$B$9:$B$32,0)))*10</f>
        <v>10.167254730323849</v>
      </c>
      <c r="G15" s="117">
        <v>47.516218450793382</v>
      </c>
      <c r="H15" s="118">
        <f t="shared" si="1"/>
        <v>-37.348963720469534</v>
      </c>
      <c r="I15" s="119">
        <f>($J$47*INDEX('Tariff Page Solar Fixed'!$D$9:$D$31,MATCH($B15,'Tariff Page Solar Fixed'!$B$9:$B$31,0))+$J$48*INDEX('Tariff Page Solar Fixed'!$C$9:$C$31,MATCH($B15,'Tariff Page Solar Fixed'!$B$9:$B$31,0))+$J$49*INDEX('Tariff Page Solar Fixed'!$F$9:$F$31,MATCH($B15,'Tariff Page Solar Fixed'!$B$9:$B$31,0))+$J$50*INDEX('Tariff Page Solar Fixed'!$E$9:$E$31,MATCH($B15,'Tariff Page Solar Fixed'!$B$9:$B$31,0)))*10</f>
        <v>14.814620591808094</v>
      </c>
      <c r="J15" s="117">
        <v>19.029113797114078</v>
      </c>
      <c r="K15" s="118">
        <f t="shared" si="2"/>
        <v>-4.2144932053059847</v>
      </c>
      <c r="L15" s="119">
        <f>($M$47*INDEX('Tariff Page Solar Tracking'!$D$9:$D$31,MATCH($B15,'Tariff Page Solar Tracking'!$B$9:$B$31,0))+$M$48*INDEX('Tariff Page Solar Tracking'!$C$9:$C$31,MATCH($B15,'Tariff Page Solar Tracking'!$B$9:$B$31,0))+$M$49*INDEX('Tariff Page Solar Tracking'!$F$9:$F$31,MATCH($B15,'Tariff Page Solar Tracking'!$B$9:$B$31,0))+$M$50*INDEX('Tariff Page Solar Tracking'!$E$9:$E$31,MATCH($B15,'Tariff Page Solar Tracking'!$B$9:$B$31,0)))*10</f>
        <v>15.335462600371798</v>
      </c>
      <c r="M15" s="117">
        <v>19.453027971029087</v>
      </c>
      <c r="N15" s="276">
        <f t="shared" si="3"/>
        <v>-4.1175653706572888</v>
      </c>
      <c r="O15" s="118"/>
      <c r="T15" s="111"/>
    </row>
    <row r="16" spans="2:20" x14ac:dyDescent="0.2">
      <c r="B16" s="222">
        <f t="shared" si="4"/>
        <v>2022</v>
      </c>
      <c r="C16" s="117">
        <f>($D$47*INDEX('Tariff Page'!$D$9:$D$30,MATCH($B16,'Tariff Page'!$B$9:$B$30,0))+$D$48*INDEX('Tariff Page'!$C$9:$C$30,MATCH($B16,'Tariff Page'!$B$9:$B$30,0))+$D$49*INDEX('Tariff Page'!$F$9:$F$30,MATCH($B16,'Tariff Page'!$B$9:$B$30,0))+$D$50*INDEX('Tariff Page'!$E$9:$E$30,MATCH($B16,'Tariff Page'!$B$9:$B$30,0)))*10</f>
        <v>19.610307939532881</v>
      </c>
      <c r="D16" s="117">
        <v>21.951461334814645</v>
      </c>
      <c r="E16" s="118">
        <f t="shared" si="0"/>
        <v>-2.3411533952817649</v>
      </c>
      <c r="F16" s="119">
        <f>($G$47*INDEX('Tariff Page Wind'!$D$9:$D$32,MATCH($B16,'Tariff Page Wind'!$B$9:$B$32,0))+$G$48*INDEX('Tariff Page Wind'!$C$9:$C$32,MATCH($B16,'Tariff Page Wind'!$B$9:$B$32,0))+$G$49*INDEX('Tariff Page Wind'!$F$9:$F$32,MATCH($B16,'Tariff Page Wind'!$B$9:$B$32,0))+$G$50*INDEX('Tariff Page Wind'!$E$9:$E$32,MATCH($B16,'Tariff Page Wind'!$B$9:$B$32,0)))*10</f>
        <v>14.195229803774767</v>
      </c>
      <c r="G16" s="117">
        <v>48.828629037186808</v>
      </c>
      <c r="H16" s="118">
        <f t="shared" si="1"/>
        <v>-34.633399233412042</v>
      </c>
      <c r="I16" s="119">
        <f>($J$47*INDEX('Tariff Page Solar Fixed'!$D$9:$D$31,MATCH($B16,'Tariff Page Solar Fixed'!$B$9:$B$31,0))+$J$48*INDEX('Tariff Page Solar Fixed'!$C$9:$C$31,MATCH($B16,'Tariff Page Solar Fixed'!$B$9:$B$31,0))+$J$49*INDEX('Tariff Page Solar Fixed'!$F$9:$F$31,MATCH($B16,'Tariff Page Solar Fixed'!$B$9:$B$31,0))+$J$50*INDEX('Tariff Page Solar Fixed'!$E$9:$E$31,MATCH($B16,'Tariff Page Solar Fixed'!$B$9:$B$31,0)))*10</f>
        <v>15.72064318013642</v>
      </c>
      <c r="J16" s="117">
        <v>20.289661394792159</v>
      </c>
      <c r="K16" s="118">
        <f t="shared" si="2"/>
        <v>-4.5690182146557383</v>
      </c>
      <c r="L16" s="119">
        <f>($M$47*INDEX('Tariff Page Solar Tracking'!$D$9:$D$31,MATCH($B16,'Tariff Page Solar Tracking'!$B$9:$B$31,0))+$M$48*INDEX('Tariff Page Solar Tracking'!$C$9:$C$31,MATCH($B16,'Tariff Page Solar Tracking'!$B$9:$B$31,0))+$M$49*INDEX('Tariff Page Solar Tracking'!$F$9:$F$31,MATCH($B16,'Tariff Page Solar Tracking'!$B$9:$B$31,0))+$M$50*INDEX('Tariff Page Solar Tracking'!$E$9:$E$31,MATCH($B16,'Tariff Page Solar Tracking'!$B$9:$B$31,0)))*10</f>
        <v>16.292461012139764</v>
      </c>
      <c r="M16" s="117">
        <v>20.768344529918096</v>
      </c>
      <c r="N16" s="276">
        <f t="shared" si="3"/>
        <v>-4.4758835177783318</v>
      </c>
      <c r="O16" s="118"/>
      <c r="T16" s="111"/>
    </row>
    <row r="17" spans="1:20" x14ac:dyDescent="0.2">
      <c r="B17" s="222">
        <f t="shared" si="4"/>
        <v>2023</v>
      </c>
      <c r="C17" s="117">
        <f>($D$47*INDEX('Tariff Page'!$D$9:$D$30,MATCH($B17,'Tariff Page'!$B$9:$B$30,0))+$D$48*INDEX('Tariff Page'!$C$9:$C$30,MATCH($B17,'Tariff Page'!$B$9:$B$30,0))+$D$49*INDEX('Tariff Page'!$F$9:$F$30,MATCH($B17,'Tariff Page'!$B$9:$B$30,0))+$D$50*INDEX('Tariff Page'!$E$9:$E$30,MATCH($B17,'Tariff Page'!$B$9:$B$30,0)))*10</f>
        <v>20.741596104115075</v>
      </c>
      <c r="D17" s="117">
        <v>21.675035551384187</v>
      </c>
      <c r="E17" s="118">
        <f t="shared" si="0"/>
        <v>-0.93343944726911232</v>
      </c>
      <c r="F17" s="119">
        <f>($G$47*INDEX('Tariff Page Wind'!$D$9:$D$32,MATCH($B17,'Tariff Page Wind'!$B$9:$B$32,0))+$G$48*INDEX('Tariff Page Wind'!$C$9:$C$32,MATCH($B17,'Tariff Page Wind'!$B$9:$B$32,0))+$G$49*INDEX('Tariff Page Wind'!$F$9:$F$32,MATCH($B17,'Tariff Page Wind'!$B$9:$B$32,0))+$G$50*INDEX('Tariff Page Wind'!$E$9:$E$32,MATCH($B17,'Tariff Page Wind'!$B$9:$B$32,0)))*10</f>
        <v>10.438247877659554</v>
      </c>
      <c r="G17" s="117">
        <v>49.646260675542607</v>
      </c>
      <c r="H17" s="118">
        <f t="shared" si="1"/>
        <v>-39.20801279788305</v>
      </c>
      <c r="I17" s="119">
        <f>($J$47*INDEX('Tariff Page Solar Fixed'!$D$9:$D$31,MATCH($B17,'Tariff Page Solar Fixed'!$B$9:$B$31,0))+$J$48*INDEX('Tariff Page Solar Fixed'!$C$9:$C$31,MATCH($B17,'Tariff Page Solar Fixed'!$B$9:$B$31,0))+$J$49*INDEX('Tariff Page Solar Fixed'!$F$9:$F$31,MATCH($B17,'Tariff Page Solar Fixed'!$B$9:$B$31,0))+$J$50*INDEX('Tariff Page Solar Fixed'!$E$9:$E$31,MATCH($B17,'Tariff Page Solar Fixed'!$B$9:$B$31,0)))*10</f>
        <v>17.269204961051024</v>
      </c>
      <c r="J17" s="117">
        <v>20.210317408956435</v>
      </c>
      <c r="K17" s="118">
        <f t="shared" si="2"/>
        <v>-2.9411124479054109</v>
      </c>
      <c r="L17" s="119">
        <f>($M$47*INDEX('Tariff Page Solar Tracking'!$D$9:$D$31,MATCH($B17,'Tariff Page Solar Tracking'!$B$9:$B$31,0))+$M$48*INDEX('Tariff Page Solar Tracking'!$C$9:$C$31,MATCH($B17,'Tariff Page Solar Tracking'!$B$9:$B$31,0))+$M$49*INDEX('Tariff Page Solar Tracking'!$F$9:$F$31,MATCH($B17,'Tariff Page Solar Tracking'!$B$9:$B$31,0))+$M$50*INDEX('Tariff Page Solar Tracking'!$E$9:$E$31,MATCH($B17,'Tariff Page Solar Tracking'!$B$9:$B$31,0)))*10</f>
        <v>18.184131386881528</v>
      </c>
      <c r="M17" s="117">
        <v>20.681775308565303</v>
      </c>
      <c r="N17" s="276">
        <f t="shared" si="3"/>
        <v>-2.4976439216837747</v>
      </c>
      <c r="O17" s="118"/>
      <c r="T17" s="111"/>
    </row>
    <row r="18" spans="1:20" x14ac:dyDescent="0.2">
      <c r="B18" s="222">
        <f t="shared" si="4"/>
        <v>2024</v>
      </c>
      <c r="C18" s="117">
        <f>($D$47*INDEX('Tariff Page'!$D$9:$D$30,MATCH($B18,'Tariff Page'!$B$9:$B$30,0))+$D$48*INDEX('Tariff Page'!$C$9:$C$30,MATCH($B18,'Tariff Page'!$B$9:$B$30,0))+$D$49*INDEX('Tariff Page'!$F$9:$F$30,MATCH($B18,'Tariff Page'!$B$9:$B$30,0))+$D$50*INDEX('Tariff Page'!$E$9:$E$30,MATCH($B18,'Tariff Page'!$B$9:$B$30,0)))*10</f>
        <v>22.930124348824755</v>
      </c>
      <c r="D18" s="117">
        <v>24.793779684152657</v>
      </c>
      <c r="E18" s="118">
        <f t="shared" si="0"/>
        <v>-1.863655335327902</v>
      </c>
      <c r="F18" s="119">
        <f>($G$47*INDEX('Tariff Page Wind'!$D$9:$D$32,MATCH($B18,'Tariff Page Wind'!$B$9:$B$32,0))+$G$48*INDEX('Tariff Page Wind'!$C$9:$C$32,MATCH($B18,'Tariff Page Wind'!$B$9:$B$32,0))+$G$49*INDEX('Tariff Page Wind'!$F$9:$F$32,MATCH($B18,'Tariff Page Wind'!$B$9:$B$32,0))+$G$50*INDEX('Tariff Page Wind'!$E$9:$E$32,MATCH($B18,'Tariff Page Wind'!$B$9:$B$32,0)))*10</f>
        <v>12.730690456974456</v>
      </c>
      <c r="G18" s="117">
        <v>50.805064368506052</v>
      </c>
      <c r="H18" s="118">
        <f t="shared" si="1"/>
        <v>-38.074373911531595</v>
      </c>
      <c r="I18" s="119">
        <f>($J$47*INDEX('Tariff Page Solar Fixed'!$D$9:$D$31,MATCH($B18,'Tariff Page Solar Fixed'!$B$9:$B$31,0))+$J$48*INDEX('Tariff Page Solar Fixed'!$C$9:$C$31,MATCH($B18,'Tariff Page Solar Fixed'!$B$9:$B$31,0))+$J$49*INDEX('Tariff Page Solar Fixed'!$F$9:$F$31,MATCH($B18,'Tariff Page Solar Fixed'!$B$9:$B$31,0))+$J$50*INDEX('Tariff Page Solar Fixed'!$E$9:$E$31,MATCH($B18,'Tariff Page Solar Fixed'!$B$9:$B$31,0)))*10</f>
        <v>18.492493591739926</v>
      </c>
      <c r="J18" s="117">
        <v>22.45672200809959</v>
      </c>
      <c r="K18" s="118">
        <f t="shared" si="2"/>
        <v>-3.9642284163596635</v>
      </c>
      <c r="L18" s="119">
        <f>($M$47*INDEX('Tariff Page Solar Tracking'!$D$9:$D$31,MATCH($B18,'Tariff Page Solar Tracking'!$B$9:$B$31,0))+$M$48*INDEX('Tariff Page Solar Tracking'!$C$9:$C$31,MATCH($B18,'Tariff Page Solar Tracking'!$B$9:$B$31,0))+$M$49*INDEX('Tariff Page Solar Tracking'!$F$9:$F$31,MATCH($B18,'Tariff Page Solar Tracking'!$B$9:$B$31,0))+$M$50*INDEX('Tariff Page Solar Tracking'!$E$9:$E$31,MATCH($B18,'Tariff Page Solar Tracking'!$B$9:$B$31,0)))*10</f>
        <v>19.542967384210652</v>
      </c>
      <c r="M18" s="117">
        <v>23.154044494901701</v>
      </c>
      <c r="N18" s="276">
        <f t="shared" si="3"/>
        <v>-3.6110771106910491</v>
      </c>
      <c r="O18" s="118"/>
      <c r="T18" s="111"/>
    </row>
    <row r="19" spans="1:20" x14ac:dyDescent="0.2">
      <c r="B19" s="222">
        <f t="shared" si="4"/>
        <v>2025</v>
      </c>
      <c r="C19" s="117">
        <f>($D$47*INDEX('Tariff Page'!$D$9:$D$30,MATCH($B19,'Tariff Page'!$B$9:$B$30,0))+$D$48*INDEX('Tariff Page'!$C$9:$C$30,MATCH($B19,'Tariff Page'!$B$9:$B$30,0))+$D$49*INDEX('Tariff Page'!$F$9:$F$30,MATCH($B19,'Tariff Page'!$B$9:$B$30,0))+$D$50*INDEX('Tariff Page'!$E$9:$E$30,MATCH($B19,'Tariff Page'!$B$9:$B$30,0)))*10</f>
        <v>26.608100157821966</v>
      </c>
      <c r="D19" s="117">
        <v>28.881191973547388</v>
      </c>
      <c r="E19" s="118">
        <f t="shared" si="0"/>
        <v>-2.2730918157254223</v>
      </c>
      <c r="F19" s="119">
        <f>($G$47*INDEX('Tariff Page Wind'!$D$9:$D$32,MATCH($B19,'Tariff Page Wind'!$B$9:$B$32,0))+$G$48*INDEX('Tariff Page Wind'!$C$9:$C$32,MATCH($B19,'Tariff Page Wind'!$B$9:$B$32,0))+$G$49*INDEX('Tariff Page Wind'!$F$9:$F$32,MATCH($B19,'Tariff Page Wind'!$B$9:$B$32,0))+$G$50*INDEX('Tariff Page Wind'!$E$9:$E$32,MATCH($B19,'Tariff Page Wind'!$B$9:$B$32,0)))*10</f>
        <v>11.713184431078087</v>
      </c>
      <c r="G19" s="117">
        <v>54.301980333953196</v>
      </c>
      <c r="H19" s="118">
        <f t="shared" si="1"/>
        <v>-42.588795902875106</v>
      </c>
      <c r="I19" s="119">
        <f>($J$47*INDEX('Tariff Page Solar Fixed'!$D$9:$D$31,MATCH($B19,'Tariff Page Solar Fixed'!$B$9:$B$31,0))+$J$48*INDEX('Tariff Page Solar Fixed'!$C$9:$C$31,MATCH($B19,'Tariff Page Solar Fixed'!$B$9:$B$31,0))+$J$49*INDEX('Tariff Page Solar Fixed'!$F$9:$F$31,MATCH($B19,'Tariff Page Solar Fixed'!$B$9:$B$31,0))+$J$50*INDEX('Tariff Page Solar Fixed'!$E$9:$E$31,MATCH($B19,'Tariff Page Solar Fixed'!$B$9:$B$31,0)))*10</f>
        <v>22.706872774813171</v>
      </c>
      <c r="J19" s="117">
        <v>26.618053406021879</v>
      </c>
      <c r="K19" s="118">
        <f t="shared" si="2"/>
        <v>-3.9111806312087083</v>
      </c>
      <c r="L19" s="119">
        <f>($M$47*INDEX('Tariff Page Solar Tracking'!$D$9:$D$31,MATCH($B19,'Tariff Page Solar Tracking'!$B$9:$B$31,0))+$M$48*INDEX('Tariff Page Solar Tracking'!$C$9:$C$31,MATCH($B19,'Tariff Page Solar Tracking'!$B$9:$B$31,0))+$M$49*INDEX('Tariff Page Solar Tracking'!$F$9:$F$31,MATCH($B19,'Tariff Page Solar Tracking'!$B$9:$B$31,0))+$M$50*INDEX('Tariff Page Solar Tracking'!$E$9:$E$31,MATCH($B19,'Tariff Page Solar Tracking'!$B$9:$B$31,0)))*10</f>
        <v>23.779968712614455</v>
      </c>
      <c r="M19" s="117">
        <v>27.290558458463533</v>
      </c>
      <c r="N19" s="276">
        <f t="shared" si="3"/>
        <v>-3.510589745849078</v>
      </c>
      <c r="O19" s="118"/>
      <c r="T19" s="111"/>
    </row>
    <row r="20" spans="1:20" x14ac:dyDescent="0.2">
      <c r="B20" s="222">
        <f t="shared" si="4"/>
        <v>2026</v>
      </c>
      <c r="C20" s="117">
        <f>($D$47*INDEX('Tariff Page'!$D$9:$D$30,MATCH($B20,'Tariff Page'!$B$9:$B$30,0))+$D$48*INDEX('Tariff Page'!$C$9:$C$30,MATCH($B20,'Tariff Page'!$B$9:$B$30,0))+$D$49*INDEX('Tariff Page'!$F$9:$F$30,MATCH($B20,'Tariff Page'!$B$9:$B$30,0))+$D$50*INDEX('Tariff Page'!$E$9:$E$30,MATCH($B20,'Tariff Page'!$B$9:$B$30,0)))*10</f>
        <v>28.119736922326204</v>
      </c>
      <c r="D20" s="117">
        <v>28.874552085027947</v>
      </c>
      <c r="E20" s="118">
        <f t="shared" si="0"/>
        <v>-0.75481516270174254</v>
      </c>
      <c r="F20" s="119">
        <f>($G$47*INDEX('Tariff Page Wind'!$D$9:$D$32,MATCH($B20,'Tariff Page Wind'!$B$9:$B$32,0))+$G$48*INDEX('Tariff Page Wind'!$C$9:$C$32,MATCH($B20,'Tariff Page Wind'!$B$9:$B$32,0))+$G$49*INDEX('Tariff Page Wind'!$F$9:$F$32,MATCH($B20,'Tariff Page Wind'!$B$9:$B$32,0))+$G$50*INDEX('Tariff Page Wind'!$E$9:$E$32,MATCH($B20,'Tariff Page Wind'!$B$9:$B$32,0)))*10</f>
        <v>13.51901397558024</v>
      </c>
      <c r="G20" s="117">
        <v>55.187355691561081</v>
      </c>
      <c r="H20" s="118">
        <f t="shared" si="1"/>
        <v>-41.668341715980844</v>
      </c>
      <c r="I20" s="119">
        <f>($J$47*INDEX('Tariff Page Solar Fixed'!$D$9:$D$31,MATCH($B20,'Tariff Page Solar Fixed'!$B$9:$B$31,0))+$J$48*INDEX('Tariff Page Solar Fixed'!$C$9:$C$31,MATCH($B20,'Tariff Page Solar Fixed'!$B$9:$B$31,0))+$J$49*INDEX('Tariff Page Solar Fixed'!$F$9:$F$31,MATCH($B20,'Tariff Page Solar Fixed'!$B$9:$B$31,0))+$J$50*INDEX('Tariff Page Solar Fixed'!$E$9:$E$31,MATCH($B20,'Tariff Page Solar Fixed'!$B$9:$B$31,0)))*10</f>
        <v>21.348785445376368</v>
      </c>
      <c r="J20" s="117">
        <v>26.230925411436644</v>
      </c>
      <c r="K20" s="118">
        <f t="shared" si="2"/>
        <v>-4.8821399660602758</v>
      </c>
      <c r="L20" s="119">
        <f>($M$47*INDEX('Tariff Page Solar Tracking'!$D$9:$D$31,MATCH($B20,'Tariff Page Solar Tracking'!$B$9:$B$31,0))+$M$48*INDEX('Tariff Page Solar Tracking'!$C$9:$C$31,MATCH($B20,'Tariff Page Solar Tracking'!$B$9:$B$31,0))+$M$49*INDEX('Tariff Page Solar Tracking'!$F$9:$F$31,MATCH($B20,'Tariff Page Solar Tracking'!$B$9:$B$31,0))+$M$50*INDEX('Tariff Page Solar Tracking'!$E$9:$E$31,MATCH($B20,'Tariff Page Solar Tracking'!$B$9:$B$31,0)))*10</f>
        <v>22.768372742295455</v>
      </c>
      <c r="M20" s="117">
        <v>27.061599732297385</v>
      </c>
      <c r="N20" s="276">
        <f t="shared" si="3"/>
        <v>-4.29322699000193</v>
      </c>
      <c r="O20" s="118"/>
      <c r="T20" s="111"/>
    </row>
    <row r="21" spans="1:20" x14ac:dyDescent="0.2">
      <c r="B21" s="222">
        <f t="shared" si="4"/>
        <v>2027</v>
      </c>
      <c r="C21" s="117">
        <f>($D$47*INDEX('Tariff Page'!$D$9:$D$30,MATCH($B21,'Tariff Page'!$B$9:$B$30,0))+$D$48*INDEX('Tariff Page'!$C$9:$C$30,MATCH($B21,'Tariff Page'!$B$9:$B$30,0))+$D$49*INDEX('Tariff Page'!$F$9:$F$30,MATCH($B21,'Tariff Page'!$B$9:$B$30,0))+$D$50*INDEX('Tariff Page'!$E$9:$E$30,MATCH($B21,'Tariff Page'!$B$9:$B$30,0)))*10</f>
        <v>29.048350791678878</v>
      </c>
      <c r="D21" s="117">
        <v>29.675845658034778</v>
      </c>
      <c r="E21" s="118">
        <f t="shared" si="0"/>
        <v>-0.62749486635589946</v>
      </c>
      <c r="F21" s="119">
        <f>($G$47*INDEX('Tariff Page Wind'!$D$9:$D$32,MATCH($B21,'Tariff Page Wind'!$B$9:$B$32,0))+$G$48*INDEX('Tariff Page Wind'!$C$9:$C$32,MATCH($B21,'Tariff Page Wind'!$B$9:$B$32,0))+$G$49*INDEX('Tariff Page Wind'!$F$9:$F$32,MATCH($B21,'Tariff Page Wind'!$B$9:$B$32,0))+$G$50*INDEX('Tariff Page Wind'!$E$9:$E$32,MATCH($B21,'Tariff Page Wind'!$B$9:$B$32,0)))*10</f>
        <v>13.497126854840786</v>
      </c>
      <c r="G21" s="117">
        <v>56.784945177044435</v>
      </c>
      <c r="H21" s="118">
        <f t="shared" si="1"/>
        <v>-43.287818322203648</v>
      </c>
      <c r="I21" s="119">
        <f>($J$47*INDEX('Tariff Page Solar Fixed'!$D$9:$D$31,MATCH($B21,'Tariff Page Solar Fixed'!$B$9:$B$31,0))+$J$48*INDEX('Tariff Page Solar Fixed'!$C$9:$C$31,MATCH($B21,'Tariff Page Solar Fixed'!$B$9:$B$31,0))+$J$49*INDEX('Tariff Page Solar Fixed'!$F$9:$F$31,MATCH($B21,'Tariff Page Solar Fixed'!$B$9:$B$31,0))+$J$50*INDEX('Tariff Page Solar Fixed'!$E$9:$E$31,MATCH($B21,'Tariff Page Solar Fixed'!$B$9:$B$31,0)))*10</f>
        <v>22.001960861017089</v>
      </c>
      <c r="J21" s="117">
        <v>26.208654468693197</v>
      </c>
      <c r="K21" s="118">
        <f t="shared" si="2"/>
        <v>-4.2066936076761081</v>
      </c>
      <c r="L21" s="119">
        <f>($M$47*INDEX('Tariff Page Solar Tracking'!$D$9:$D$31,MATCH($B21,'Tariff Page Solar Tracking'!$B$9:$B$31,0))+$M$48*INDEX('Tariff Page Solar Tracking'!$C$9:$C$31,MATCH($B21,'Tariff Page Solar Tracking'!$B$9:$B$31,0))+$M$49*INDEX('Tariff Page Solar Tracking'!$F$9:$F$31,MATCH($B21,'Tariff Page Solar Tracking'!$B$9:$B$31,0))+$M$50*INDEX('Tariff Page Solar Tracking'!$E$9:$E$31,MATCH($B21,'Tariff Page Solar Tracking'!$B$9:$B$31,0)))*10</f>
        <v>23.537749067764786</v>
      </c>
      <c r="M21" s="117">
        <v>27.264062757782259</v>
      </c>
      <c r="N21" s="276">
        <f t="shared" si="3"/>
        <v>-3.7263136900174736</v>
      </c>
      <c r="O21" s="118"/>
      <c r="T21" s="111"/>
    </row>
    <row r="22" spans="1:20" x14ac:dyDescent="0.2">
      <c r="B22" s="222">
        <f t="shared" si="4"/>
        <v>2028</v>
      </c>
      <c r="C22" s="117">
        <f>($D$47*INDEX('Tariff Page'!$D$9:$D$30,MATCH($B22,'Tariff Page'!$B$9:$B$30,0))+$D$48*INDEX('Tariff Page'!$C$9:$C$30,MATCH($B22,'Tariff Page'!$B$9:$B$30,0))+$D$49*INDEX('Tariff Page'!$F$9:$F$30,MATCH($B22,'Tariff Page'!$B$9:$B$30,0))+$D$50*INDEX('Tariff Page'!$E$9:$E$30,MATCH($B22,'Tariff Page'!$B$9:$B$30,0)))*10</f>
        <v>34.062416709659182</v>
      </c>
      <c r="D22" s="117">
        <v>34.993107680351613</v>
      </c>
      <c r="E22" s="118">
        <f t="shared" si="0"/>
        <v>-0.93069097069243156</v>
      </c>
      <c r="F22" s="119">
        <f>($G$47*INDEX('Tariff Page Wind'!$D$9:$D$32,MATCH($B22,'Tariff Page Wind'!$B$9:$B$32,0))+$G$48*INDEX('Tariff Page Wind'!$C$9:$C$32,MATCH($B22,'Tariff Page Wind'!$B$9:$B$32,0))+$G$49*INDEX('Tariff Page Wind'!$F$9:$F$32,MATCH($B22,'Tariff Page Wind'!$B$9:$B$32,0))+$G$50*INDEX('Tariff Page Wind'!$E$9:$E$32,MATCH($B22,'Tariff Page Wind'!$B$9:$B$32,0)))*10</f>
        <v>8.4378472140864886</v>
      </c>
      <c r="G22" s="117">
        <v>54.015415185274883</v>
      </c>
      <c r="H22" s="118">
        <f t="shared" si="1"/>
        <v>-45.577567971188394</v>
      </c>
      <c r="I22" s="119">
        <f>($J$47*INDEX('Tariff Page Solar Fixed'!$D$9:$D$31,MATCH($B22,'Tariff Page Solar Fixed'!$B$9:$B$31,0))+$J$48*INDEX('Tariff Page Solar Fixed'!$C$9:$C$31,MATCH($B22,'Tariff Page Solar Fixed'!$B$9:$B$31,0))+$J$49*INDEX('Tariff Page Solar Fixed'!$F$9:$F$31,MATCH($B22,'Tariff Page Solar Fixed'!$B$9:$B$31,0))+$J$50*INDEX('Tariff Page Solar Fixed'!$E$9:$E$31,MATCH($B22,'Tariff Page Solar Fixed'!$B$9:$B$31,0)))*10</f>
        <v>27.515944869256099</v>
      </c>
      <c r="J22" s="117">
        <v>31.953815943815069</v>
      </c>
      <c r="K22" s="118">
        <f t="shared" si="2"/>
        <v>-4.43787107455897</v>
      </c>
      <c r="L22" s="119">
        <f>($M$47*INDEX('Tariff Page Solar Tracking'!$D$9:$D$31,MATCH($B22,'Tariff Page Solar Tracking'!$B$9:$B$31,0))+$M$48*INDEX('Tariff Page Solar Tracking'!$C$9:$C$31,MATCH($B22,'Tariff Page Solar Tracking'!$B$9:$B$31,0))+$M$49*INDEX('Tariff Page Solar Tracking'!$F$9:$F$31,MATCH($B22,'Tariff Page Solar Tracking'!$B$9:$B$31,0))+$M$50*INDEX('Tariff Page Solar Tracking'!$E$9:$E$31,MATCH($B22,'Tariff Page Solar Tracking'!$B$9:$B$31,0)))*10</f>
        <v>29.249882938413684</v>
      </c>
      <c r="M22" s="117">
        <v>33.501339698526003</v>
      </c>
      <c r="N22" s="276">
        <f t="shared" si="3"/>
        <v>-4.251456760112319</v>
      </c>
      <c r="O22" s="118"/>
      <c r="T22" s="111"/>
    </row>
    <row r="23" spans="1:20" x14ac:dyDescent="0.2">
      <c r="B23" s="222">
        <f t="shared" si="4"/>
        <v>2029</v>
      </c>
      <c r="C23" s="117">
        <f>($D$47*INDEX('Tariff Page'!$D$9:$D$30,MATCH($B23,'Tariff Page'!$B$9:$B$30,0))+$D$48*INDEX('Tariff Page'!$C$9:$C$30,MATCH($B23,'Tariff Page'!$B$9:$B$30,0))+$D$49*INDEX('Tariff Page'!$F$9:$F$30,MATCH($B23,'Tariff Page'!$B$9:$B$30,0))+$D$50*INDEX('Tariff Page'!$E$9:$E$30,MATCH($B23,'Tariff Page'!$B$9:$B$30,0)))*10</f>
        <v>38.751799998997072</v>
      </c>
      <c r="D23" s="117">
        <v>55.961980492629657</v>
      </c>
      <c r="E23" s="118">
        <f t="shared" si="0"/>
        <v>-17.210180493632585</v>
      </c>
      <c r="F23" s="119">
        <f>($G$47*INDEX('Tariff Page Wind'!$D$9:$D$32,MATCH($B23,'Tariff Page Wind'!$B$9:$B$32,0))+$G$48*INDEX('Tariff Page Wind'!$C$9:$C$32,MATCH($B23,'Tariff Page Wind'!$B$9:$B$32,0))+$G$49*INDEX('Tariff Page Wind'!$F$9:$F$32,MATCH($B23,'Tariff Page Wind'!$B$9:$B$32,0))+$G$50*INDEX('Tariff Page Wind'!$E$9:$E$32,MATCH($B23,'Tariff Page Wind'!$B$9:$B$32,0)))*10</f>
        <v>6.3707473351576667</v>
      </c>
      <c r="G23" s="117">
        <v>54.483325243428702</v>
      </c>
      <c r="H23" s="118">
        <f t="shared" si="1"/>
        <v>-48.112577908271035</v>
      </c>
      <c r="I23" s="119">
        <f>($J$47*INDEX('Tariff Page Solar Fixed'!$D$9:$D$31,MATCH($B23,'Tariff Page Solar Fixed'!$B$9:$B$31,0))+$J$48*INDEX('Tariff Page Solar Fixed'!$C$9:$C$31,MATCH($B23,'Tariff Page Solar Fixed'!$B$9:$B$31,0))+$J$49*INDEX('Tariff Page Solar Fixed'!$F$9:$F$31,MATCH($B23,'Tariff Page Solar Fixed'!$B$9:$B$31,0))+$J$50*INDEX('Tariff Page Solar Fixed'!$E$9:$E$31,MATCH($B23,'Tariff Page Solar Fixed'!$B$9:$B$31,0)))*10</f>
        <v>29.337970053971141</v>
      </c>
      <c r="J23" s="117">
        <v>36.96232514788565</v>
      </c>
      <c r="K23" s="118">
        <f t="shared" si="2"/>
        <v>-7.6243550939145095</v>
      </c>
      <c r="L23" s="119">
        <f>($M$47*INDEX('Tariff Page Solar Tracking'!$D$9:$D$31,MATCH($B23,'Tariff Page Solar Tracking'!$B$9:$B$31,0))+$M$48*INDEX('Tariff Page Solar Tracking'!$C$9:$C$31,MATCH($B23,'Tariff Page Solar Tracking'!$B$9:$B$31,0))+$M$49*INDEX('Tariff Page Solar Tracking'!$F$9:$F$31,MATCH($B23,'Tariff Page Solar Tracking'!$B$9:$B$31,0))+$M$50*INDEX('Tariff Page Solar Tracking'!$E$9:$E$31,MATCH($B23,'Tariff Page Solar Tracking'!$B$9:$B$31,0)))*10</f>
        <v>32.137341289939272</v>
      </c>
      <c r="M23" s="117">
        <v>37.224770263782375</v>
      </c>
      <c r="N23" s="276">
        <f t="shared" si="3"/>
        <v>-5.0874289738431031</v>
      </c>
      <c r="O23" s="118"/>
      <c r="T23" s="111"/>
    </row>
    <row r="24" spans="1:20" x14ac:dyDescent="0.2">
      <c r="B24" s="222">
        <f t="shared" si="4"/>
        <v>2030</v>
      </c>
      <c r="C24" s="117">
        <f>($D$47*INDEX('Tariff Page'!$D$9:$D$30,MATCH($B24,'Tariff Page'!$B$9:$B$30,0))+$D$48*INDEX('Tariff Page'!$C$9:$C$30,MATCH($B24,'Tariff Page'!$B$9:$B$30,0))+$D$49*INDEX('Tariff Page'!$F$9:$F$30,MATCH($B24,'Tariff Page'!$B$9:$B$30,0))+$D$50*INDEX('Tariff Page'!$E$9:$E$30,MATCH($B24,'Tariff Page'!$B$9:$B$30,0)))*10</f>
        <v>44.064067571116283</v>
      </c>
      <c r="D24" s="117">
        <v>56.908157417955181</v>
      </c>
      <c r="E24" s="118">
        <f t="shared" si="0"/>
        <v>-12.844089846838898</v>
      </c>
      <c r="F24" s="119">
        <f>($G$47*INDEX('Tariff Page Wind'!$D$9:$D$32,MATCH($B24,'Tariff Page Wind'!$B$9:$B$32,0))+$G$48*INDEX('Tariff Page Wind'!$C$9:$C$32,MATCH($B24,'Tariff Page Wind'!$B$9:$B$32,0))+$G$49*INDEX('Tariff Page Wind'!$F$9:$F$32,MATCH($B24,'Tariff Page Wind'!$B$9:$B$32,0))+$G$50*INDEX('Tariff Page Wind'!$E$9:$E$32,MATCH($B24,'Tariff Page Wind'!$B$9:$B$32,0)))*10</f>
        <v>15.265230826740094</v>
      </c>
      <c r="G24" s="117">
        <v>55.877998648221343</v>
      </c>
      <c r="H24" s="118">
        <f t="shared" si="1"/>
        <v>-40.612767821481249</v>
      </c>
      <c r="I24" s="119">
        <f>($J$47*INDEX('Tariff Page Solar Fixed'!$D$9:$D$31,MATCH($B24,'Tariff Page Solar Fixed'!$B$9:$B$31,0))+$J$48*INDEX('Tariff Page Solar Fixed'!$C$9:$C$31,MATCH($B24,'Tariff Page Solar Fixed'!$B$9:$B$31,0))+$J$49*INDEX('Tariff Page Solar Fixed'!$F$9:$F$31,MATCH($B24,'Tariff Page Solar Fixed'!$B$9:$B$31,0))+$J$50*INDEX('Tariff Page Solar Fixed'!$E$9:$E$31,MATCH($B24,'Tariff Page Solar Fixed'!$B$9:$B$31,0)))*10</f>
        <v>43.258787696045445</v>
      </c>
      <c r="J24" s="117">
        <v>36.69964558570318</v>
      </c>
      <c r="K24" s="118">
        <f t="shared" si="2"/>
        <v>6.5591421103422647</v>
      </c>
      <c r="L24" s="119">
        <f>($M$47*INDEX('Tariff Page Solar Tracking'!$D$9:$D$31,MATCH($B24,'Tariff Page Solar Tracking'!$B$9:$B$31,0))+$M$48*INDEX('Tariff Page Solar Tracking'!$C$9:$C$31,MATCH($B24,'Tariff Page Solar Tracking'!$B$9:$B$31,0))+$M$49*INDEX('Tariff Page Solar Tracking'!$F$9:$F$31,MATCH($B24,'Tariff Page Solar Tracking'!$B$9:$B$31,0))+$M$50*INDEX('Tariff Page Solar Tracking'!$E$9:$E$31,MATCH($B24,'Tariff Page Solar Tracking'!$B$9:$B$31,0)))*10</f>
        <v>50.160600452780706</v>
      </c>
      <c r="M24" s="117">
        <v>38.460291851510917</v>
      </c>
      <c r="N24" s="276">
        <f t="shared" si="3"/>
        <v>11.700308601269789</v>
      </c>
      <c r="O24" s="118"/>
      <c r="Q24" s="143"/>
      <c r="T24" s="111"/>
    </row>
    <row r="25" spans="1:20" x14ac:dyDescent="0.2">
      <c r="B25" s="222">
        <f t="shared" si="4"/>
        <v>2031</v>
      </c>
      <c r="C25" s="117">
        <f>($D$47*INDEX('Tariff Page'!$D$9:$D$30,MATCH($B25,'Tariff Page'!$B$9:$B$30,0))+$D$48*INDEX('Tariff Page'!$C$9:$C$30,MATCH($B25,'Tariff Page'!$B$9:$B$30,0))+$D$49*INDEX('Tariff Page'!$F$9:$F$30,MATCH($B25,'Tariff Page'!$B$9:$B$30,0))+$D$50*INDEX('Tariff Page'!$E$9:$E$30,MATCH($B25,'Tariff Page'!$B$9:$B$30,0)))*10</f>
        <v>44.530326683772969</v>
      </c>
      <c r="D25" s="117">
        <v>59.06445404486729</v>
      </c>
      <c r="E25" s="118">
        <f t="shared" si="0"/>
        <v>-14.53412736109432</v>
      </c>
      <c r="F25" s="119">
        <f>($G$47*INDEX('Tariff Page Wind'!$D$9:$D$32,MATCH($B25,'Tariff Page Wind'!$B$9:$B$32,0))+$G$48*INDEX('Tariff Page Wind'!$C$9:$C$32,MATCH($B25,'Tariff Page Wind'!$B$9:$B$32,0))+$G$49*INDEX('Tariff Page Wind'!$F$9:$F$32,MATCH($B25,'Tariff Page Wind'!$B$9:$B$32,0))+$G$50*INDEX('Tariff Page Wind'!$E$9:$E$32,MATCH($B25,'Tariff Page Wind'!$B$9:$B$32,0)))*10</f>
        <v>57.667481306762141</v>
      </c>
      <c r="G25" s="117">
        <v>57.395535541354249</v>
      </c>
      <c r="H25" s="118">
        <f t="shared" si="1"/>
        <v>0.27194576540789228</v>
      </c>
      <c r="I25" s="119">
        <f>($J$47*INDEX('Tariff Page Solar Fixed'!$D$9:$D$31,MATCH($B25,'Tariff Page Solar Fixed'!$B$9:$B$31,0))+$J$48*INDEX('Tariff Page Solar Fixed'!$C$9:$C$31,MATCH($B25,'Tariff Page Solar Fixed'!$B$9:$B$31,0))+$J$49*INDEX('Tariff Page Solar Fixed'!$F$9:$F$31,MATCH($B25,'Tariff Page Solar Fixed'!$B$9:$B$31,0))+$J$50*INDEX('Tariff Page Solar Fixed'!$E$9:$E$31,MATCH($B25,'Tariff Page Solar Fixed'!$B$9:$B$31,0)))*10</f>
        <v>44.57089707686265</v>
      </c>
      <c r="J25" s="117">
        <v>66.533419019651177</v>
      </c>
      <c r="K25" s="118">
        <f t="shared" si="2"/>
        <v>-21.962521942788527</v>
      </c>
      <c r="L25" s="119">
        <f>($M$47*INDEX('Tariff Page Solar Tracking'!$D$9:$D$31,MATCH($B25,'Tariff Page Solar Tracking'!$B$9:$B$31,0))+$M$48*INDEX('Tariff Page Solar Tracking'!$C$9:$C$31,MATCH($B25,'Tariff Page Solar Tracking'!$B$9:$B$31,0))+$M$49*INDEX('Tariff Page Solar Tracking'!$F$9:$F$31,MATCH($B25,'Tariff Page Solar Tracking'!$B$9:$B$31,0))+$M$50*INDEX('Tariff Page Solar Tracking'!$E$9:$E$31,MATCH($B25,'Tariff Page Solar Tracking'!$B$9:$B$31,0)))*10</f>
        <v>51.729245760137928</v>
      </c>
      <c r="M25" s="117">
        <v>78.771751057997676</v>
      </c>
      <c r="N25" s="276">
        <f t="shared" si="3"/>
        <v>-27.042505297859748</v>
      </c>
      <c r="O25" s="118"/>
      <c r="Q25" s="143"/>
      <c r="T25" s="111"/>
    </row>
    <row r="26" spans="1:20" x14ac:dyDescent="0.2">
      <c r="B26" s="222">
        <f t="shared" si="4"/>
        <v>2032</v>
      </c>
      <c r="C26" s="117">
        <f>($D$47*INDEX('Tariff Page'!$D$9:$D$30,MATCH($B26,'Tariff Page'!$B$9:$B$30,0))+$D$48*INDEX('Tariff Page'!$C$9:$C$30,MATCH($B26,'Tariff Page'!$B$9:$B$30,0))+$D$49*INDEX('Tariff Page'!$F$9:$F$30,MATCH($B26,'Tariff Page'!$B$9:$B$30,0))+$D$50*INDEX('Tariff Page'!$E$9:$E$30,MATCH($B26,'Tariff Page'!$B$9:$B$30,0)))*10</f>
        <v>48.055335159052461</v>
      </c>
      <c r="D26" s="117">
        <v>61.202743051063408</v>
      </c>
      <c r="E26" s="118">
        <f t="shared" si="0"/>
        <v>-13.147407892010946</v>
      </c>
      <c r="F26" s="119">
        <f>($G$47*INDEX('Tariff Page Wind'!$D$9:$D$32,MATCH($B26,'Tariff Page Wind'!$B$9:$B$32,0))+$G$48*INDEX('Tariff Page Wind'!$C$9:$C$32,MATCH($B26,'Tariff Page Wind'!$B$9:$B$32,0))+$G$49*INDEX('Tariff Page Wind'!$F$9:$F$32,MATCH($B26,'Tariff Page Wind'!$B$9:$B$32,0))+$G$50*INDEX('Tariff Page Wind'!$E$9:$E$32,MATCH($B26,'Tariff Page Wind'!$B$9:$B$32,0)))*10</f>
        <v>58.764600099355135</v>
      </c>
      <c r="G26" s="117">
        <v>58.352151398821633</v>
      </c>
      <c r="H26" s="118">
        <f t="shared" si="1"/>
        <v>0.41244870053350269</v>
      </c>
      <c r="I26" s="119">
        <f>($J$47*INDEX('Tariff Page Solar Fixed'!$D$9:$D$31,MATCH($B26,'Tariff Page Solar Fixed'!$B$9:$B$31,0))+$J$48*INDEX('Tariff Page Solar Fixed'!$C$9:$C$31,MATCH($B26,'Tariff Page Solar Fixed'!$B$9:$B$31,0))+$J$49*INDEX('Tariff Page Solar Fixed'!$F$9:$F$31,MATCH($B26,'Tariff Page Solar Fixed'!$B$9:$B$31,0))+$J$50*INDEX('Tariff Page Solar Fixed'!$E$9:$E$31,MATCH($B26,'Tariff Page Solar Fixed'!$B$9:$B$31,0)))*10</f>
        <v>45.628167139407118</v>
      </c>
      <c r="J26" s="117">
        <v>67.923702976164776</v>
      </c>
      <c r="K26" s="118">
        <f t="shared" si="2"/>
        <v>-22.295535836757658</v>
      </c>
      <c r="L26" s="119">
        <f>($M$47*INDEX('Tariff Page Solar Tracking'!$D$9:$D$31,MATCH($B26,'Tariff Page Solar Tracking'!$B$9:$B$31,0))+$M$48*INDEX('Tariff Page Solar Tracking'!$C$9:$C$31,MATCH($B26,'Tariff Page Solar Tracking'!$B$9:$B$31,0))+$M$49*INDEX('Tariff Page Solar Tracking'!$F$9:$F$31,MATCH($B26,'Tariff Page Solar Tracking'!$B$9:$B$31,0))+$M$50*INDEX('Tariff Page Solar Tracking'!$E$9:$E$31,MATCH($B26,'Tariff Page Solar Tracking'!$B$9:$B$31,0)))*10</f>
        <v>53.00799293723535</v>
      </c>
      <c r="M26" s="117">
        <v>80.603231839176885</v>
      </c>
      <c r="N26" s="276">
        <f t="shared" si="3"/>
        <v>-27.595238901941535</v>
      </c>
      <c r="O26" s="118"/>
      <c r="Q26" s="143"/>
      <c r="T26" s="111"/>
    </row>
    <row r="27" spans="1:20" x14ac:dyDescent="0.2">
      <c r="B27" s="222">
        <f t="shared" si="4"/>
        <v>2033</v>
      </c>
      <c r="C27" s="117">
        <f>($D$47*INDEX('Tariff Page'!$D$9:$D$30,MATCH($B27,'Tariff Page'!$B$9:$B$30,0))+$D$48*INDEX('Tariff Page'!$C$9:$C$30,MATCH($B27,'Tariff Page'!$B$9:$B$30,0))+$D$49*INDEX('Tariff Page'!$F$9:$F$30,MATCH($B27,'Tariff Page'!$B$9:$B$30,0))+$D$50*INDEX('Tariff Page'!$E$9:$E$30,MATCH($B27,'Tariff Page'!$B$9:$B$30,0)))*10</f>
        <v>48.978831042478042</v>
      </c>
      <c r="D27" s="117">
        <v>61.886670807759202</v>
      </c>
      <c r="E27" s="118">
        <f t="shared" si="0"/>
        <v>-12.90783976528116</v>
      </c>
      <c r="F27" s="119">
        <f>($G$47*INDEX('Tariff Page Wind'!$D$9:$D$32,MATCH($B27,'Tariff Page Wind'!$B$9:$B$32,0))+$G$48*INDEX('Tariff Page Wind'!$C$9:$C$32,MATCH($B27,'Tariff Page Wind'!$B$9:$B$32,0))+$G$49*INDEX('Tariff Page Wind'!$F$9:$F$32,MATCH($B27,'Tariff Page Wind'!$B$9:$B$32,0))+$G$50*INDEX('Tariff Page Wind'!$E$9:$E$32,MATCH($B27,'Tariff Page Wind'!$B$9:$B$32,0)))*10</f>
        <v>61.74141664807572</v>
      </c>
      <c r="G27" s="117">
        <v>59.770367766029949</v>
      </c>
      <c r="H27" s="118">
        <f t="shared" si="1"/>
        <v>1.9710488820457712</v>
      </c>
      <c r="I27" s="119">
        <f>($J$47*INDEX('Tariff Page Solar Fixed'!$D$9:$D$31,MATCH($B27,'Tariff Page Solar Fixed'!$B$9:$B$31,0))+$J$48*INDEX('Tariff Page Solar Fixed'!$C$9:$C$31,MATCH($B27,'Tariff Page Solar Fixed'!$B$9:$B$31,0))+$J$49*INDEX('Tariff Page Solar Fixed'!$F$9:$F$31,MATCH($B27,'Tariff Page Solar Fixed'!$B$9:$B$31,0))+$J$50*INDEX('Tariff Page Solar Fixed'!$E$9:$E$31,MATCH($B27,'Tariff Page Solar Fixed'!$B$9:$B$31,0)))*10</f>
        <v>42.186163134132634</v>
      </c>
      <c r="J27" s="117">
        <v>69.116843407667801</v>
      </c>
      <c r="K27" s="118">
        <f t="shared" si="2"/>
        <v>-26.930680273535167</v>
      </c>
      <c r="L27" s="119">
        <f>($M$47*INDEX('Tariff Page Solar Tracking'!$D$9:$D$31,MATCH($B27,'Tariff Page Solar Tracking'!$B$9:$B$31,0))+$M$48*INDEX('Tariff Page Solar Tracking'!$C$9:$C$31,MATCH($B27,'Tariff Page Solar Tracking'!$B$9:$B$31,0))+$M$49*INDEX('Tariff Page Solar Tracking'!$F$9:$F$31,MATCH($B27,'Tariff Page Solar Tracking'!$B$9:$B$31,0))+$M$50*INDEX('Tariff Page Solar Tracking'!$E$9:$E$31,MATCH($B27,'Tariff Page Solar Tracking'!$B$9:$B$31,0)))*10</f>
        <v>49.688863809733206</v>
      </c>
      <c r="M27" s="117">
        <v>82.828920845690291</v>
      </c>
      <c r="N27" s="276">
        <f t="shared" si="3"/>
        <v>-33.140057035957085</v>
      </c>
      <c r="O27" s="118"/>
      <c r="Q27" s="143"/>
      <c r="T27" s="111"/>
    </row>
    <row r="28" spans="1:20" x14ac:dyDescent="0.2">
      <c r="B28" s="222">
        <f t="shared" si="4"/>
        <v>2034</v>
      </c>
      <c r="C28" s="117">
        <f>($D$47*INDEX('Tariff Page'!$D$9:$D$30,MATCH($B28,'Tariff Page'!$B$9:$B$30,0))+$D$48*INDEX('Tariff Page'!$C$9:$C$30,MATCH($B28,'Tariff Page'!$B$9:$B$30,0))+$D$49*INDEX('Tariff Page'!$F$9:$F$30,MATCH($B28,'Tariff Page'!$B$9:$B$30,0))+$D$50*INDEX('Tariff Page'!$E$9:$E$30,MATCH($B28,'Tariff Page'!$B$9:$B$30,0)))*10</f>
        <v>49.019221996453901</v>
      </c>
      <c r="D28" s="117">
        <v>64.976723321077841</v>
      </c>
      <c r="E28" s="118">
        <f t="shared" si="0"/>
        <v>-15.957501324623941</v>
      </c>
      <c r="F28" s="119">
        <f>($G$47*INDEX('Tariff Page Wind'!$D$9:$D$32,MATCH($B28,'Tariff Page Wind'!$B$9:$B$32,0))+$G$48*INDEX('Tariff Page Wind'!$C$9:$C$32,MATCH($B28,'Tariff Page Wind'!$B$9:$B$32,0))+$G$49*INDEX('Tariff Page Wind'!$F$9:$F$32,MATCH($B28,'Tariff Page Wind'!$B$9:$B$32,0))+$G$50*INDEX('Tariff Page Wind'!$E$9:$E$32,MATCH($B28,'Tariff Page Wind'!$B$9:$B$32,0)))*10</f>
        <v>62.810206161766224</v>
      </c>
      <c r="G28" s="117">
        <v>60.915857831527795</v>
      </c>
      <c r="H28" s="118">
        <f t="shared" si="1"/>
        <v>1.8943483302384294</v>
      </c>
      <c r="I28" s="119">
        <f>($J$47*INDEX('Tariff Page Solar Fixed'!$D$9:$D$31,MATCH($B28,'Tariff Page Solar Fixed'!$B$9:$B$31,0))+$J$48*INDEX('Tariff Page Solar Fixed'!$C$9:$C$31,MATCH($B28,'Tariff Page Solar Fixed'!$B$9:$B$31,0))+$J$49*INDEX('Tariff Page Solar Fixed'!$F$9:$F$31,MATCH($B28,'Tariff Page Solar Fixed'!$B$9:$B$31,0))+$J$50*INDEX('Tariff Page Solar Fixed'!$E$9:$E$31,MATCH($B28,'Tariff Page Solar Fixed'!$B$9:$B$31,0)))*10</f>
        <v>43.72254835734843</v>
      </c>
      <c r="J28" s="117">
        <v>70.883468462965908</v>
      </c>
      <c r="K28" s="118">
        <f t="shared" si="2"/>
        <v>-27.160920105617478</v>
      </c>
      <c r="L28" s="119">
        <f>($M$47*INDEX('Tariff Page Solar Tracking'!$D$9:$D$31,MATCH($B28,'Tariff Page Solar Tracking'!$B$9:$B$31,0))+$M$48*INDEX('Tariff Page Solar Tracking'!$C$9:$C$31,MATCH($B28,'Tariff Page Solar Tracking'!$B$9:$B$31,0))+$M$49*INDEX('Tariff Page Solar Tracking'!$F$9:$F$31,MATCH($B28,'Tariff Page Solar Tracking'!$B$9:$B$31,0))+$M$50*INDEX('Tariff Page Solar Tracking'!$E$9:$E$31,MATCH($B28,'Tariff Page Solar Tracking'!$B$9:$B$31,0)))*10</f>
        <v>51.619589180788942</v>
      </c>
      <c r="M28" s="117">
        <v>85.133640365918552</v>
      </c>
      <c r="N28" s="276">
        <f t="shared" si="3"/>
        <v>-33.51405118512961</v>
      </c>
      <c r="O28" s="118"/>
      <c r="P28" s="44"/>
      <c r="T28" s="111"/>
    </row>
    <row r="29" spans="1:20" x14ac:dyDescent="0.2">
      <c r="B29" s="225">
        <v>2035</v>
      </c>
      <c r="C29" s="226">
        <f>($D$47*INDEX('Tariff Page'!$D$9:$D$30,MATCH($B29,'Tariff Page'!$B$9:$B$30,0))+$D$48*INDEX('Tariff Page'!$C$9:$C$30,MATCH($B29,'Tariff Page'!$B$9:$B$30,0))+$D$49*INDEX('Tariff Page'!$F$9:$F$30,MATCH($B29,'Tariff Page'!$B$9:$B$30,0))+$D$50*INDEX('Tariff Page'!$E$9:$E$30,MATCH($B29,'Tariff Page'!$B$9:$B$30,0)))*10</f>
        <v>52.580655027161221</v>
      </c>
      <c r="D29" s="226">
        <v>66.886828187094309</v>
      </c>
      <c r="E29" s="227">
        <f t="shared" si="0"/>
        <v>-14.306173159933088</v>
      </c>
      <c r="F29" s="228">
        <f>($G$47*INDEX('Tariff Page Wind'!$D$9:$D$32,MATCH($B29,'Tariff Page Wind'!$B$9:$B$32,0))+$G$48*INDEX('Tariff Page Wind'!$C$9:$C$32,MATCH($B29,'Tariff Page Wind'!$B$9:$B$32,0))+$G$49*INDEX('Tariff Page Wind'!$F$9:$F$32,MATCH($B29,'Tariff Page Wind'!$B$9:$B$32,0))+$G$50*INDEX('Tariff Page Wind'!$E$9:$E$32,MATCH($B29,'Tariff Page Wind'!$B$9:$B$32,0)))*10</f>
        <v>62.536835840892749</v>
      </c>
      <c r="G29" s="226">
        <v>62.622133085075511</v>
      </c>
      <c r="H29" s="227">
        <f t="shared" si="1"/>
        <v>-8.5297244182761744E-2</v>
      </c>
      <c r="I29" s="228">
        <f>($J$47*INDEX('Tariff Page Solar Fixed'!$D$9:$D$31,MATCH($B29,'Tariff Page Solar Fixed'!$B$9:$B$31,0))+$J$48*INDEX('Tariff Page Solar Fixed'!$C$9:$C$31,MATCH($B29,'Tariff Page Solar Fixed'!$B$9:$B$31,0))+$J$49*INDEX('Tariff Page Solar Fixed'!$F$9:$F$31,MATCH($B29,'Tariff Page Solar Fixed'!$B$9:$B$31,0))+$J$50*INDEX('Tariff Page Solar Fixed'!$E$9:$E$31,MATCH($B29,'Tariff Page Solar Fixed'!$B$9:$B$31,0)))*10</f>
        <v>46.49855943873262</v>
      </c>
      <c r="J29" s="226">
        <v>72.755014655136421</v>
      </c>
      <c r="K29" s="227">
        <f t="shared" si="2"/>
        <v>-26.256455216403801</v>
      </c>
      <c r="L29" s="228">
        <f>($M$47*INDEX('Tariff Page Solar Tracking'!$D$9:$D$31,MATCH($B29,'Tariff Page Solar Tracking'!$B$9:$B$31,0))+$M$48*INDEX('Tariff Page Solar Tracking'!$C$9:$C$31,MATCH($B29,'Tariff Page Solar Tracking'!$B$9:$B$31,0))+$M$49*INDEX('Tariff Page Solar Tracking'!$F$9:$F$31,MATCH($B29,'Tariff Page Solar Tracking'!$B$9:$B$31,0))+$M$50*INDEX('Tariff Page Solar Tracking'!$E$9:$E$31,MATCH($B29,'Tariff Page Solar Tracking'!$B$9:$B$31,0)))*10</f>
        <v>55.190230356117304</v>
      </c>
      <c r="M29" s="226">
        <v>87.390703205071262</v>
      </c>
      <c r="N29" s="277">
        <f t="shared" si="3"/>
        <v>-32.200472848953957</v>
      </c>
      <c r="O29" s="118"/>
      <c r="P29" s="44"/>
      <c r="T29" s="111"/>
    </row>
    <row r="30" spans="1:20" x14ac:dyDescent="0.2">
      <c r="A30" s="44"/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44"/>
      <c r="T30" s="111"/>
    </row>
    <row r="31" spans="1:20" hidden="1" x14ac:dyDescent="0.2">
      <c r="A31" s="44"/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44"/>
      <c r="T31" s="111"/>
    </row>
    <row r="32" spans="1:20" hidden="1" x14ac:dyDescent="0.2">
      <c r="A32" s="44"/>
      <c r="B32" s="116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44"/>
    </row>
    <row r="33" spans="1:23" hidden="1" x14ac:dyDescent="0.2">
      <c r="A33" s="44"/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44"/>
    </row>
    <row r="34" spans="1:23" hidden="1" x14ac:dyDescent="0.2">
      <c r="A34" s="44"/>
      <c r="B34" s="116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44"/>
    </row>
    <row r="35" spans="1:23" x14ac:dyDescent="0.2">
      <c r="A35" s="44"/>
      <c r="B35" t="s">
        <v>190</v>
      </c>
      <c r="C35" s="229"/>
      <c r="D35" s="44"/>
      <c r="E35" s="44"/>
      <c r="F35" s="229"/>
      <c r="G35" s="44"/>
      <c r="H35" s="44"/>
      <c r="I35" s="229"/>
      <c r="J35" s="44"/>
      <c r="K35" s="44"/>
      <c r="L35" s="229"/>
      <c r="M35" s="44"/>
      <c r="N35" s="44"/>
      <c r="O35" s="44"/>
      <c r="P35" s="44"/>
    </row>
    <row r="36" spans="1:23" x14ac:dyDescent="0.2">
      <c r="A36" s="44"/>
      <c r="B36" s="230" t="str">
        <f>"15 Year ("&amp;B12&amp;" to "&amp;B26&amp;") Levelized Prices (Nominal) @ "&amp;TEXT($Q$37,"?.00%")&amp;" Discount Rate"</f>
        <v>15 Year (2018 to 2032) Levelized Prices (Nominal) @ 6.91% Discount Rate</v>
      </c>
      <c r="C36" s="229"/>
      <c r="D36" s="44"/>
      <c r="E36" s="44"/>
      <c r="F36" s="229"/>
      <c r="G36" s="44"/>
      <c r="H36" s="44"/>
      <c r="I36" s="229"/>
      <c r="J36" s="44"/>
      <c r="K36" s="44"/>
      <c r="L36" s="229"/>
      <c r="M36" s="44"/>
      <c r="N36" s="44"/>
      <c r="O36" s="44"/>
      <c r="P36" s="223"/>
      <c r="Q36" s="17" t="s">
        <v>201</v>
      </c>
    </row>
    <row r="37" spans="1:23" x14ac:dyDescent="0.2">
      <c r="A37" s="44"/>
      <c r="B37" s="231" t="s">
        <v>8</v>
      </c>
      <c r="C37" s="117">
        <f t="shared" ref="C37:N37" si="5">-PMT($Q$37,COUNT(C12:C26),NPV($Q$37,C12:C26))</f>
        <v>25.853154061885967</v>
      </c>
      <c r="D37" s="117">
        <f t="shared" si="5"/>
        <v>30.052806299512536</v>
      </c>
      <c r="E37" s="118">
        <f t="shared" si="5"/>
        <v>-4.1996522376265695</v>
      </c>
      <c r="F37" s="117">
        <f>-PMT($Q$37,COUNT(F12:F26),NPV($Q$37,F12:F26))</f>
        <v>16.304463547903001</v>
      </c>
      <c r="G37" s="117">
        <f t="shared" si="5"/>
        <v>43.023867664758207</v>
      </c>
      <c r="H37" s="118">
        <f t="shared" si="5"/>
        <v>-26.719404116855209</v>
      </c>
      <c r="I37" s="117">
        <f t="shared" si="5"/>
        <v>21.853441522387367</v>
      </c>
      <c r="J37" s="117">
        <f t="shared" si="5"/>
        <v>27.377981051631835</v>
      </c>
      <c r="K37" s="118">
        <f t="shared" si="5"/>
        <v>-5.5245395292444615</v>
      </c>
      <c r="L37" s="117">
        <f t="shared" si="5"/>
        <v>23.725600548448426</v>
      </c>
      <c r="M37" s="117">
        <f t="shared" si="5"/>
        <v>28.937391807077574</v>
      </c>
      <c r="N37" s="118">
        <f t="shared" si="5"/>
        <v>-5.2117912586291526</v>
      </c>
      <c r="O37" s="118"/>
      <c r="P37" s="123"/>
      <c r="Q37" s="26">
        <v>6.9099999999999995E-2</v>
      </c>
    </row>
    <row r="38" spans="1:23" x14ac:dyDescent="0.2">
      <c r="B38" s="122"/>
      <c r="C38" s="117"/>
      <c r="D38" s="117"/>
      <c r="E38" s="118"/>
      <c r="F38" s="117"/>
      <c r="G38" s="117"/>
      <c r="H38" s="118"/>
      <c r="I38" s="117"/>
      <c r="J38" s="117"/>
      <c r="K38" s="118"/>
      <c r="L38" s="117"/>
      <c r="M38" s="117"/>
      <c r="N38" s="118"/>
      <c r="O38" s="118"/>
      <c r="P38" s="123"/>
      <c r="Q38" s="26"/>
    </row>
    <row r="39" spans="1:23" x14ac:dyDescent="0.2">
      <c r="B39" s="74" t="str">
        <f>"15 Year ("&amp;B13&amp;" to "&amp;B27&amp;") Levelized Prices (Nominal) @ "&amp;TEXT($Q$37,"?.00%")&amp;" Discount Rate"</f>
        <v>15 Year (2019 to 2033) Levelized Prices (Nominal) @ 6.91% Discount Rate</v>
      </c>
      <c r="C39" s="102"/>
      <c r="F39" s="102"/>
      <c r="I39" s="102"/>
      <c r="L39" s="102"/>
      <c r="P39" s="121"/>
      <c r="Q39" s="17"/>
    </row>
    <row r="40" spans="1:23" x14ac:dyDescent="0.2">
      <c r="B40" s="122" t="s">
        <v>8</v>
      </c>
      <c r="C40" s="117">
        <f t="shared" ref="C40:N40" si="6">-PMT($Q$37,COUNT(C13:C27),NPV($Q$37,C13:C27))</f>
        <v>27.650468411054899</v>
      </c>
      <c r="D40" s="117">
        <f t="shared" si="6"/>
        <v>32.442826577408098</v>
      </c>
      <c r="E40" s="118">
        <f t="shared" si="6"/>
        <v>-4.7923581663531971</v>
      </c>
      <c r="F40" s="117">
        <f t="shared" si="6"/>
        <v>18.294006577991151</v>
      </c>
      <c r="G40" s="117">
        <f t="shared" si="6"/>
        <v>46.439425526364595</v>
      </c>
      <c r="H40" s="118">
        <f t="shared" si="6"/>
        <v>-28.145418948373443</v>
      </c>
      <c r="I40" s="117">
        <f t="shared" si="6"/>
        <v>23.346194922143052</v>
      </c>
      <c r="J40" s="117">
        <f t="shared" si="6"/>
        <v>29.934464298821002</v>
      </c>
      <c r="K40" s="118">
        <f t="shared" si="6"/>
        <v>-6.5882693766779479</v>
      </c>
      <c r="L40" s="117">
        <f t="shared" si="6"/>
        <v>25.539065396784991</v>
      </c>
      <c r="M40" s="117">
        <f t="shared" si="6"/>
        <v>32.13523525126147</v>
      </c>
      <c r="N40" s="118">
        <f t="shared" si="6"/>
        <v>-6.596169854476468</v>
      </c>
      <c r="O40" s="118"/>
    </row>
    <row r="41" spans="1:23" x14ac:dyDescent="0.2">
      <c r="B41" s="122"/>
      <c r="C41" s="117"/>
      <c r="D41" s="117"/>
      <c r="E41" s="118"/>
      <c r="F41" s="117"/>
      <c r="G41" s="117"/>
      <c r="H41" s="118"/>
      <c r="I41" s="117"/>
      <c r="J41" s="117"/>
      <c r="K41" s="118"/>
      <c r="L41" s="117"/>
      <c r="M41" s="117"/>
      <c r="N41" s="118"/>
      <c r="O41" s="118"/>
    </row>
    <row r="42" spans="1:23" x14ac:dyDescent="0.2">
      <c r="B42" s="74" t="str">
        <f>"15 Year ("&amp;B14&amp;" to "&amp;B28&amp;") Levelized Prices (Nominal) @ "&amp;TEXT($Q$37,"?.00%")&amp;" Discount Rate"</f>
        <v>15 Year (2020 to 2034) Levelized Prices (Nominal) @ 6.91% Discount Rate</v>
      </c>
      <c r="C42" s="102"/>
      <c r="F42" s="102"/>
      <c r="I42" s="102"/>
      <c r="L42" s="102"/>
      <c r="P42" s="121"/>
      <c r="Q42" s="17"/>
    </row>
    <row r="43" spans="1:23" x14ac:dyDescent="0.2">
      <c r="B43" s="122" t="s">
        <v>8</v>
      </c>
      <c r="C43" s="118">
        <f t="shared" ref="C43:N43" si="7">-PMT($Q$37,COUNT(C14:C28),NPV($Q$37,C14:C28))</f>
        <v>29.510064303604398</v>
      </c>
      <c r="D43" s="118">
        <f t="shared" si="7"/>
        <v>35.076011345713518</v>
      </c>
      <c r="E43" s="118">
        <f t="shared" si="7"/>
        <v>-5.5659470421091175</v>
      </c>
      <c r="F43" s="118">
        <f t="shared" si="7"/>
        <v>20.372649492590053</v>
      </c>
      <c r="G43" s="118">
        <f t="shared" si="7"/>
        <v>50.102391447101276</v>
      </c>
      <c r="H43" s="118">
        <f t="shared" si="7"/>
        <v>-29.729741954511226</v>
      </c>
      <c r="I43" s="118">
        <f t="shared" si="7"/>
        <v>25.022181194211029</v>
      </c>
      <c r="J43" s="118">
        <f t="shared" si="7"/>
        <v>32.722031067755729</v>
      </c>
      <c r="K43" s="118">
        <f t="shared" si="7"/>
        <v>-7.699849873544709</v>
      </c>
      <c r="L43" s="118">
        <f t="shared" si="7"/>
        <v>27.581296064032717</v>
      </c>
      <c r="M43" s="118">
        <f t="shared" si="7"/>
        <v>35.622653834072999</v>
      </c>
      <c r="N43" s="118">
        <f t="shared" si="7"/>
        <v>-8.0413577700402872</v>
      </c>
      <c r="O43" s="118"/>
    </row>
    <row r="44" spans="1:23" x14ac:dyDescent="0.2">
      <c r="B44" s="122"/>
    </row>
    <row r="45" spans="1:23" x14ac:dyDescent="0.2">
      <c r="B45"/>
      <c r="C45"/>
      <c r="D45"/>
      <c r="E45"/>
      <c r="F45" s="63"/>
      <c r="G45"/>
      <c r="H45"/>
      <c r="I45" s="63"/>
      <c r="J45"/>
      <c r="K45"/>
      <c r="L45" s="63"/>
      <c r="M45"/>
      <c r="N45"/>
      <c r="O45"/>
    </row>
    <row r="46" spans="1:23" x14ac:dyDescent="0.2">
      <c r="B46"/>
      <c r="C46"/>
      <c r="D46" t="s">
        <v>61</v>
      </c>
      <c r="E46"/>
      <c r="F46" s="63"/>
      <c r="G46" s="262" t="s">
        <v>62</v>
      </c>
      <c r="I46" s="63"/>
      <c r="J46" s="262" t="s">
        <v>100</v>
      </c>
      <c r="L46" s="64"/>
      <c r="M46" s="262" t="s">
        <v>101</v>
      </c>
      <c r="P46" s="124"/>
      <c r="Q46" s="124"/>
      <c r="R46" s="124"/>
      <c r="S46" s="124"/>
      <c r="T46" s="125"/>
      <c r="U46" s="125"/>
      <c r="V46" s="125"/>
      <c r="W46" s="125"/>
    </row>
    <row r="47" spans="1:23" x14ac:dyDescent="0.2">
      <c r="B47" s="50" t="s">
        <v>57</v>
      </c>
      <c r="C47" s="50"/>
      <c r="D47" s="45">
        <f>'OFPC Source'!$AN$19</f>
        <v>0.18722294654498045</v>
      </c>
      <c r="E47" s="45"/>
      <c r="F47" s="64"/>
      <c r="G47" s="127">
        <v>0.12622772685548039</v>
      </c>
      <c r="H47" s="45"/>
      <c r="I47" s="64"/>
      <c r="J47" s="127">
        <v>0.31113275152605013</v>
      </c>
      <c r="K47" s="45"/>
      <c r="L47" s="64"/>
      <c r="M47" s="127">
        <v>0.32920509548889204</v>
      </c>
      <c r="N47" s="45"/>
      <c r="O47" s="45"/>
    </row>
    <row r="48" spans="1:23" x14ac:dyDescent="0.2">
      <c r="B48" s="50" t="s">
        <v>58</v>
      </c>
      <c r="C48" s="50"/>
      <c r="D48" s="45">
        <f>'OFPC Source'!$AN$20</f>
        <v>0.3732290308561495</v>
      </c>
      <c r="E48" s="45"/>
      <c r="F48" s="64"/>
      <c r="G48" s="127">
        <v>0.24208294062250676</v>
      </c>
      <c r="H48" s="45"/>
      <c r="I48" s="64"/>
      <c r="J48" s="127">
        <v>0.52472063097542176</v>
      </c>
      <c r="K48" s="45"/>
      <c r="L48" s="64"/>
      <c r="M48" s="127">
        <v>0.46026453781858651</v>
      </c>
      <c r="N48" s="45"/>
      <c r="O48" s="45"/>
    </row>
    <row r="49" spans="2:15" x14ac:dyDescent="0.2">
      <c r="B49" s="50" t="s">
        <v>59</v>
      </c>
      <c r="C49" s="50"/>
      <c r="D49" s="45">
        <f>'OFPC Source'!$AN$21</f>
        <v>0.1468057366362451</v>
      </c>
      <c r="E49" s="45"/>
      <c r="F49" s="64"/>
      <c r="G49" s="127">
        <v>0.24640710121359649</v>
      </c>
      <c r="H49" s="45"/>
      <c r="I49" s="64"/>
      <c r="J49" s="127">
        <v>6.5066986914763897E-2</v>
      </c>
      <c r="K49" s="45"/>
      <c r="L49" s="64"/>
      <c r="M49" s="127">
        <v>0.10285010302070161</v>
      </c>
      <c r="N49" s="45"/>
      <c r="O49" s="45"/>
    </row>
    <row r="50" spans="2:15" x14ac:dyDescent="0.2">
      <c r="B50" s="50" t="s">
        <v>60</v>
      </c>
      <c r="C50" s="50"/>
      <c r="D50" s="45">
        <f>'OFPC Source'!$AN$22</f>
        <v>0.29274228596262497</v>
      </c>
      <c r="E50" s="45"/>
      <c r="F50" s="64"/>
      <c r="G50" s="127">
        <v>0.38528223130841627</v>
      </c>
      <c r="H50" s="50"/>
      <c r="I50" s="64"/>
      <c r="J50" s="127">
        <v>9.9079630583764081E-2</v>
      </c>
      <c r="K50" s="50"/>
      <c r="L50" s="64"/>
      <c r="M50" s="127">
        <v>0.10768026367181986</v>
      </c>
      <c r="N50" s="50"/>
      <c r="O50" s="50"/>
    </row>
    <row r="51" spans="2:15" x14ac:dyDescent="0.2">
      <c r="B51"/>
      <c r="C51"/>
      <c r="D51"/>
      <c r="E51"/>
      <c r="F51" s="63"/>
      <c r="G51"/>
      <c r="H51"/>
      <c r="I51" s="63"/>
      <c r="J51"/>
      <c r="K51"/>
      <c r="L51" s="63"/>
      <c r="M51"/>
      <c r="N51"/>
      <c r="O51"/>
    </row>
    <row r="53" spans="2:15" x14ac:dyDescent="0.2">
      <c r="F53" s="126"/>
      <c r="I53" s="126"/>
      <c r="J53" s="126"/>
      <c r="K53" s="126"/>
      <c r="L53" s="126"/>
    </row>
    <row r="54" spans="2:15" ht="15" x14ac:dyDescent="0.25">
      <c r="B54" s="295" t="str">
        <f>'Table 3 Comparison'!$B$36</f>
        <v>15 Year (2018 to 2032) Levelized Prices (Nominal) @ 6.91% Discount Rate</v>
      </c>
      <c r="C54" s="294"/>
      <c r="D54" s="294"/>
      <c r="E54" s="294"/>
      <c r="F54" s="294"/>
    </row>
    <row r="55" spans="2:15" s="110" customFormat="1" ht="30" x14ac:dyDescent="0.25">
      <c r="B55" s="296"/>
      <c r="C55" s="297" t="s">
        <v>200</v>
      </c>
      <c r="D55" s="297" t="s">
        <v>34</v>
      </c>
      <c r="E55" s="297" t="s">
        <v>199</v>
      </c>
      <c r="F55" s="298" t="s">
        <v>198</v>
      </c>
    </row>
    <row r="56" spans="2:15" ht="15" x14ac:dyDescent="0.25">
      <c r="B56" s="299" t="s">
        <v>197</v>
      </c>
      <c r="C56" s="300">
        <f>'Table 3 Comparison'!$D$37</f>
        <v>30.052806299512536</v>
      </c>
      <c r="D56" s="301">
        <f>'Table 3 Comparison'!$G$37</f>
        <v>43.023867664758207</v>
      </c>
      <c r="E56" s="301">
        <f>'Table 3 Comparison'!$J$37</f>
        <v>27.377981051631835</v>
      </c>
      <c r="F56" s="302">
        <f>'Table 3 Comparison'!$M$37</f>
        <v>28.937391807077574</v>
      </c>
    </row>
    <row r="57" spans="2:15" ht="21" customHeight="1" x14ac:dyDescent="0.25">
      <c r="B57" s="303" t="s">
        <v>202</v>
      </c>
      <c r="C57" s="300">
        <f>'Table 3 Comparison'!$C$37</f>
        <v>25.853154061885967</v>
      </c>
      <c r="D57" s="301">
        <f>'Table 3 Comparison'!$F$37</f>
        <v>16.304463547903001</v>
      </c>
      <c r="E57" s="301">
        <f>'Table 3 Comparison'!$I$37</f>
        <v>21.853441522387367</v>
      </c>
      <c r="F57" s="302">
        <f>'Table 3 Comparison'!$L$37</f>
        <v>23.725600548448426</v>
      </c>
      <c r="G57" s="118"/>
      <c r="H57" s="118"/>
      <c r="I57" s="118"/>
      <c r="J57" s="118"/>
    </row>
    <row r="58" spans="2:15" ht="24.75" customHeight="1" x14ac:dyDescent="0.25">
      <c r="B58" s="290" t="s">
        <v>196</v>
      </c>
      <c r="C58" s="293">
        <f>C57-C56</f>
        <v>-4.1996522376265695</v>
      </c>
      <c r="D58" s="292">
        <f>D57-D56</f>
        <v>-26.719404116855205</v>
      </c>
      <c r="E58" s="292">
        <f>E57-E56</f>
        <v>-5.5245395292444677</v>
      </c>
      <c r="F58" s="291">
        <f>F57-F56</f>
        <v>-5.2117912586291482</v>
      </c>
      <c r="G58" s="118"/>
      <c r="H58" s="118"/>
      <c r="I58" s="118"/>
      <c r="J58" s="118"/>
    </row>
    <row r="59" spans="2:15" ht="15" x14ac:dyDescent="0.25">
      <c r="B59" s="290" t="s">
        <v>195</v>
      </c>
      <c r="C59" s="289">
        <f>C58/C56</f>
        <v>-0.13974243189710669</v>
      </c>
      <c r="D59" s="288">
        <f>D58/D56</f>
        <v>-0.62103677719196904</v>
      </c>
      <c r="E59" s="288">
        <f>E58/E56</f>
        <v>-0.20178768912235709</v>
      </c>
      <c r="F59" s="304">
        <f>F58/F56</f>
        <v>-0.18010577087857779</v>
      </c>
    </row>
    <row r="62" spans="2:15" ht="15" x14ac:dyDescent="0.25">
      <c r="B62" s="295" t="str">
        <f>'Table 3 Comparison'!$B$39</f>
        <v>15 Year (2019 to 2033) Levelized Prices (Nominal) @ 6.91% Discount Rate</v>
      </c>
      <c r="C62" s="294"/>
      <c r="D62" s="294"/>
      <c r="E62" s="294"/>
      <c r="F62" s="294"/>
    </row>
    <row r="63" spans="2:15" s="110" customFormat="1" ht="30" x14ac:dyDescent="0.25">
      <c r="B63" s="296"/>
      <c r="C63" s="297" t="s">
        <v>200</v>
      </c>
      <c r="D63" s="297" t="s">
        <v>34</v>
      </c>
      <c r="E63" s="297" t="s">
        <v>199</v>
      </c>
      <c r="F63" s="298" t="s">
        <v>198</v>
      </c>
    </row>
    <row r="64" spans="2:15" ht="15" x14ac:dyDescent="0.25">
      <c r="B64" s="299" t="s">
        <v>197</v>
      </c>
      <c r="C64" s="300">
        <f>'Table 3 Comparison'!$D$40</f>
        <v>32.442826577408098</v>
      </c>
      <c r="D64" s="301">
        <f>'Table 3 Comparison'!$G$40</f>
        <v>46.439425526364595</v>
      </c>
      <c r="E64" s="301">
        <f>'Table 3 Comparison'!$J$40</f>
        <v>29.934464298821002</v>
      </c>
      <c r="F64" s="302">
        <f>'Table 3 Comparison'!$M$40</f>
        <v>32.13523525126147</v>
      </c>
    </row>
    <row r="65" spans="2:10" ht="16.899999999999999" customHeight="1" x14ac:dyDescent="0.25">
      <c r="B65" s="303" t="s">
        <v>202</v>
      </c>
      <c r="C65" s="300">
        <f>'Table 3 Comparison'!$C$40</f>
        <v>27.650468411054899</v>
      </c>
      <c r="D65" s="301">
        <f>'Table 3 Comparison'!$F$40</f>
        <v>18.294006577991151</v>
      </c>
      <c r="E65" s="301">
        <f>'Table 3 Comparison'!$I$40</f>
        <v>23.346194922143052</v>
      </c>
      <c r="F65" s="302">
        <f>'Table 3 Comparison'!$L$40</f>
        <v>25.539065396784991</v>
      </c>
      <c r="G65" s="118"/>
      <c r="H65" s="118"/>
      <c r="I65" s="118"/>
      <c r="J65" s="118"/>
    </row>
    <row r="66" spans="2:10" ht="24.75" customHeight="1" x14ac:dyDescent="0.25">
      <c r="B66" s="290" t="s">
        <v>196</v>
      </c>
      <c r="C66" s="293">
        <f>C65-C64</f>
        <v>-4.7923581663531998</v>
      </c>
      <c r="D66" s="292">
        <f>D65-D64</f>
        <v>-28.145418948373443</v>
      </c>
      <c r="E66" s="292">
        <f>E65-E64</f>
        <v>-6.5882693766779497</v>
      </c>
      <c r="F66" s="291">
        <f>F65-F64</f>
        <v>-6.5961698544764786</v>
      </c>
      <c r="G66" s="118"/>
      <c r="H66" s="118"/>
      <c r="I66" s="118"/>
      <c r="J66" s="118"/>
    </row>
    <row r="67" spans="2:10" ht="15" x14ac:dyDescent="0.25">
      <c r="B67" s="290" t="s">
        <v>195</v>
      </c>
      <c r="C67" s="289">
        <f>C66/C64</f>
        <v>-0.14771703553383997</v>
      </c>
      <c r="D67" s="288">
        <f>D66/D64</f>
        <v>-0.60606733673728852</v>
      </c>
      <c r="E67" s="288">
        <f>E66/E64</f>
        <v>-0.22008977047026812</v>
      </c>
      <c r="F67" s="304">
        <f>F66/F64</f>
        <v>-0.20526284630878952</v>
      </c>
    </row>
  </sheetData>
  <mergeCells count="1">
    <mergeCell ref="L4:N4"/>
  </mergeCells>
  <phoneticPr fontId="12" type="noConversion"/>
  <printOptions horizontalCentered="1"/>
  <pageMargins left="0.25" right="0.25" top="0.75" bottom="0.75" header="0.3" footer="0.3"/>
  <pageSetup scale="81" orientation="landscape" r:id="rId1"/>
  <headerFooter alignWithMargins="0">
    <oddFooter>&amp;L&amp;8NPC Group -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D37"/>
  <sheetViews>
    <sheetView zoomScaleNormal="100" workbookViewId="0"/>
  </sheetViews>
  <sheetFormatPr defaultColWidth="9.33203125" defaultRowHeight="12.75" x14ac:dyDescent="0.2"/>
  <cols>
    <col min="1" max="1" width="2" style="16" customWidth="1"/>
    <col min="2" max="2" width="24.5" style="16" customWidth="1"/>
    <col min="3" max="4" width="19.6640625" style="16" customWidth="1"/>
    <col min="5" max="5" width="2.1640625" style="16" customWidth="1"/>
    <col min="6" max="16384" width="9.33203125" style="16"/>
  </cols>
  <sheetData>
    <row r="1" spans="2:4" ht="15.75" x14ac:dyDescent="0.25">
      <c r="B1" s="7" t="s">
        <v>7</v>
      </c>
      <c r="C1" s="10"/>
      <c r="D1" s="10"/>
    </row>
    <row r="2" spans="2:4" ht="15.75" x14ac:dyDescent="0.25">
      <c r="B2" s="7" t="s">
        <v>19</v>
      </c>
      <c r="C2" s="10"/>
      <c r="D2" s="10"/>
    </row>
    <row r="3" spans="2:4" ht="15.75" x14ac:dyDescent="0.25">
      <c r="B3" s="7" t="s">
        <v>9</v>
      </c>
      <c r="C3" s="19"/>
      <c r="D3" s="19"/>
    </row>
    <row r="4" spans="2:4" ht="15.75" x14ac:dyDescent="0.25">
      <c r="B4" s="139"/>
      <c r="C4" s="19"/>
      <c r="D4" s="140"/>
    </row>
    <row r="5" spans="2:4" x14ac:dyDescent="0.2">
      <c r="B5" s="8"/>
      <c r="C5" s="8"/>
      <c r="D5" s="8"/>
    </row>
    <row r="6" spans="2:4" x14ac:dyDescent="0.2">
      <c r="B6" s="12" t="s">
        <v>0</v>
      </c>
      <c r="C6" s="12" t="str">
        <f>'OFPC Source'!D249</f>
        <v>West Side</v>
      </c>
      <c r="D6" s="12" t="str">
        <f>'OFPC Source'!C249</f>
        <v>IRP - Wyo NE</v>
      </c>
    </row>
    <row r="7" spans="2:4" x14ac:dyDescent="0.2">
      <c r="B7" s="20"/>
      <c r="C7" s="13"/>
      <c r="D7" s="13"/>
    </row>
    <row r="8" spans="2:4" x14ac:dyDescent="0.2">
      <c r="C8" s="25" t="s">
        <v>2</v>
      </c>
      <c r="D8" s="25" t="s">
        <v>3</v>
      </c>
    </row>
    <row r="9" spans="2:4" x14ac:dyDescent="0.2">
      <c r="C9" s="21"/>
      <c r="D9" s="21"/>
    </row>
    <row r="10" spans="2:4" x14ac:dyDescent="0.2">
      <c r="B10" s="22">
        <v>2018</v>
      </c>
      <c r="C10" s="23">
        <f>VLOOKUP(B10,'OFPC Source'!$G$8:$J$33,3,FALSE)</f>
        <v>2.09</v>
      </c>
      <c r="D10" s="23">
        <f>VLOOKUP(B10,'OFPC Source'!$G$8:$H$30,2,FALSE)</f>
        <v>2.21</v>
      </c>
    </row>
    <row r="11" spans="2:4" x14ac:dyDescent="0.2">
      <c r="B11" s="22">
        <f>B10+1</f>
        <v>2019</v>
      </c>
      <c r="C11" s="23">
        <f>VLOOKUP(B11,'OFPC Source'!$G$8:$J$33,3,FALSE)</f>
        <v>1.95</v>
      </c>
      <c r="D11" s="23">
        <f>VLOOKUP(B11,'OFPC Source'!$G$8:$H$30,2,FALSE)</f>
        <v>2.0299999999999998</v>
      </c>
    </row>
    <row r="12" spans="2:4" x14ac:dyDescent="0.2">
      <c r="B12" s="22">
        <f t="shared" ref="B12:B29" si="0">B11+1</f>
        <v>2020</v>
      </c>
      <c r="C12" s="23">
        <f>VLOOKUP(B12,'OFPC Source'!$G$8:$J$33,3,FALSE)</f>
        <v>2.02</v>
      </c>
      <c r="D12" s="23">
        <f>VLOOKUP(B12,'OFPC Source'!$G$8:$H$30,2,FALSE)</f>
        <v>2.13</v>
      </c>
    </row>
    <row r="13" spans="2:4" x14ac:dyDescent="0.2">
      <c r="B13" s="22">
        <f t="shared" si="0"/>
        <v>2021</v>
      </c>
      <c r="C13" s="23">
        <f>VLOOKUP(B13,'OFPC Source'!$G$8:$J$33,3,FALSE)</f>
        <v>2.15</v>
      </c>
      <c r="D13" s="23">
        <f>VLOOKUP(B13,'OFPC Source'!$G$8:$H$30,2,FALSE)</f>
        <v>2.23</v>
      </c>
    </row>
    <row r="14" spans="2:4" x14ac:dyDescent="0.2">
      <c r="B14" s="22">
        <f t="shared" si="0"/>
        <v>2022</v>
      </c>
      <c r="C14" s="23">
        <f>VLOOKUP(B14,'OFPC Source'!$G$8:$J$33,3,FALSE)</f>
        <v>2.23</v>
      </c>
      <c r="D14" s="23">
        <f>VLOOKUP(B14,'OFPC Source'!$G$8:$H$30,2,FALSE)</f>
        <v>2.34</v>
      </c>
    </row>
    <row r="15" spans="2:4" x14ac:dyDescent="0.2">
      <c r="B15" s="22">
        <f t="shared" si="0"/>
        <v>2023</v>
      </c>
      <c r="C15" s="23">
        <f>VLOOKUP(B15,'OFPC Source'!$G$8:$J$33,3,FALSE)</f>
        <v>2.38</v>
      </c>
      <c r="D15" s="23">
        <f>VLOOKUP(B15,'OFPC Source'!$G$8:$H$30,2,FALSE)</f>
        <v>2.42</v>
      </c>
    </row>
    <row r="16" spans="2:4" x14ac:dyDescent="0.2">
      <c r="B16" s="22">
        <f t="shared" si="0"/>
        <v>2024</v>
      </c>
      <c r="C16" s="23">
        <f>VLOOKUP(B16,'OFPC Source'!$G$8:$J$33,3,FALSE)</f>
        <v>2.86</v>
      </c>
      <c r="D16" s="23">
        <f>VLOOKUP(B16,'OFPC Source'!$G$8:$H$30,2,FALSE)</f>
        <v>2.91</v>
      </c>
    </row>
    <row r="17" spans="2:4" x14ac:dyDescent="0.2">
      <c r="B17" s="22">
        <f t="shared" si="0"/>
        <v>2025</v>
      </c>
      <c r="C17" s="23">
        <f>VLOOKUP(B17,'OFPC Source'!$G$8:$J$33,3,FALSE)</f>
        <v>3.54</v>
      </c>
      <c r="D17" s="23">
        <f>VLOOKUP(B17,'OFPC Source'!$G$8:$H$30,2,FALSE)</f>
        <v>3.59</v>
      </c>
    </row>
    <row r="18" spans="2:4" x14ac:dyDescent="0.2">
      <c r="B18" s="22">
        <f t="shared" si="0"/>
        <v>2026</v>
      </c>
      <c r="C18" s="23">
        <f>VLOOKUP(B18,'OFPC Source'!$G$8:$J$33,3,FALSE)</f>
        <v>3.8</v>
      </c>
      <c r="D18" s="23">
        <f>VLOOKUP(B18,'OFPC Source'!$G$8:$H$30,2,FALSE)</f>
        <v>3.85</v>
      </c>
    </row>
    <row r="19" spans="2:4" x14ac:dyDescent="0.2">
      <c r="B19" s="22">
        <f t="shared" si="0"/>
        <v>2027</v>
      </c>
      <c r="C19" s="23">
        <f>VLOOKUP(B19,'OFPC Source'!$G$8:$J$33,3,FALSE)</f>
        <v>3.93</v>
      </c>
      <c r="D19" s="23">
        <f>VLOOKUP(B19,'OFPC Source'!$G$8:$H$30,2,FALSE)</f>
        <v>3.97</v>
      </c>
    </row>
    <row r="20" spans="2:4" x14ac:dyDescent="0.2">
      <c r="B20" s="22">
        <f t="shared" si="0"/>
        <v>2028</v>
      </c>
      <c r="C20" s="23">
        <f>VLOOKUP(B20,'OFPC Source'!$G$8:$J$33,3,FALSE)</f>
        <v>4.1900000000000004</v>
      </c>
      <c r="D20" s="23">
        <f>VLOOKUP(B20,'OFPC Source'!$G$8:$H$30,2,FALSE)</f>
        <v>4.18</v>
      </c>
    </row>
    <row r="21" spans="2:4" x14ac:dyDescent="0.2">
      <c r="B21" s="22">
        <f t="shared" si="0"/>
        <v>2029</v>
      </c>
      <c r="C21" s="23">
        <f>VLOOKUP(B21,'OFPC Source'!$G$8:$J$33,3,FALSE)</f>
        <v>4.6399999999999997</v>
      </c>
      <c r="D21" s="23">
        <f>VLOOKUP(B21,'OFPC Source'!$G$8:$H$30,2,FALSE)</f>
        <v>4.5599999999999996</v>
      </c>
    </row>
    <row r="22" spans="2:4" x14ac:dyDescent="0.2">
      <c r="B22" s="22">
        <f t="shared" si="0"/>
        <v>2030</v>
      </c>
      <c r="C22" s="23">
        <f>VLOOKUP(B22,'OFPC Source'!$G$8:$J$33,3,FALSE)</f>
        <v>5.0999999999999996</v>
      </c>
      <c r="D22" s="23">
        <f>VLOOKUP(B22,'OFPC Source'!$G$8:$H$30,2,FALSE)</f>
        <v>5.0199999999999996</v>
      </c>
    </row>
    <row r="23" spans="2:4" x14ac:dyDescent="0.2">
      <c r="B23" s="22">
        <f t="shared" si="0"/>
        <v>2031</v>
      </c>
      <c r="C23" s="23">
        <f>VLOOKUP(B23,'OFPC Source'!$G$8:$J$33,3,FALSE)</f>
        <v>5.09</v>
      </c>
      <c r="D23" s="23">
        <f>VLOOKUP(B23,'OFPC Source'!$G$8:$H$30,2,FALSE)</f>
        <v>5.05</v>
      </c>
    </row>
    <row r="24" spans="2:4" x14ac:dyDescent="0.2">
      <c r="B24" s="22">
        <f t="shared" si="0"/>
        <v>2032</v>
      </c>
      <c r="C24" s="23">
        <f>VLOOKUP(B24,'OFPC Source'!$G$8:$J$33,3,FALSE)</f>
        <v>5.48</v>
      </c>
      <c r="D24" s="23">
        <f>VLOOKUP(B24,'OFPC Source'!$G$8:$H$30,2,FALSE)</f>
        <v>5.43</v>
      </c>
    </row>
    <row r="25" spans="2:4" x14ac:dyDescent="0.2">
      <c r="B25" s="22">
        <f t="shared" si="0"/>
        <v>2033</v>
      </c>
      <c r="C25" s="23">
        <f>VLOOKUP(B25,'OFPC Source'!$G$8:$J$33,3,FALSE)</f>
        <v>5.78</v>
      </c>
      <c r="D25" s="23">
        <f>VLOOKUP(B25,'OFPC Source'!$G$8:$H$30,2,FALSE)</f>
        <v>5.71</v>
      </c>
    </row>
    <row r="26" spans="2:4" x14ac:dyDescent="0.2">
      <c r="B26" s="22">
        <f t="shared" si="0"/>
        <v>2034</v>
      </c>
      <c r="C26" s="23">
        <f>VLOOKUP(B26,'OFPC Source'!$G$8:$J$33,3,FALSE)</f>
        <v>5.67</v>
      </c>
      <c r="D26" s="23">
        <f>VLOOKUP(B26,'OFPC Source'!$G$8:$H$30,2,FALSE)</f>
        <v>5.65</v>
      </c>
    </row>
    <row r="27" spans="2:4" x14ac:dyDescent="0.2">
      <c r="B27" s="22">
        <f t="shared" si="0"/>
        <v>2035</v>
      </c>
      <c r="C27" s="23">
        <f>VLOOKUP(B27,'OFPC Source'!$G$8:$J$33,3,FALSE)</f>
        <v>5.82</v>
      </c>
      <c r="D27" s="23">
        <f>VLOOKUP(B27,'OFPC Source'!$G$8:$H$30,2,FALSE)</f>
        <v>5.84</v>
      </c>
    </row>
    <row r="28" spans="2:4" x14ac:dyDescent="0.2">
      <c r="B28" s="22">
        <f t="shared" si="0"/>
        <v>2036</v>
      </c>
      <c r="C28" s="23">
        <f>VLOOKUP(B28,'OFPC Source'!$G$8:$J$33,3,FALSE)</f>
        <v>5.77</v>
      </c>
      <c r="D28" s="23">
        <f>VLOOKUP(B28,'OFPC Source'!$G$8:$H$30,2,FALSE)</f>
        <v>5.79</v>
      </c>
    </row>
    <row r="29" spans="2:4" x14ac:dyDescent="0.2">
      <c r="B29" s="22">
        <f t="shared" si="0"/>
        <v>2037</v>
      </c>
      <c r="C29" s="23">
        <f>VLOOKUP(B29,'OFPC Source'!$G$8:$J$33,3,FALSE)</f>
        <v>6.15</v>
      </c>
      <c r="D29" s="23">
        <f>VLOOKUP(B29,'OFPC Source'!$G$8:$H$30,2,FALSE)</f>
        <v>6.13</v>
      </c>
    </row>
    <row r="30" spans="2:4" x14ac:dyDescent="0.2">
      <c r="B30" s="22"/>
      <c r="C30" s="23"/>
      <c r="D30" s="23"/>
    </row>
    <row r="31" spans="2:4" x14ac:dyDescent="0.2">
      <c r="B31" s="22"/>
      <c r="C31" s="23"/>
      <c r="D31" s="23"/>
    </row>
    <row r="32" spans="2:4" x14ac:dyDescent="0.2">
      <c r="B32" s="14" t="s">
        <v>18</v>
      </c>
    </row>
    <row r="33" spans="2:4" ht="12.75" customHeight="1" x14ac:dyDescent="0.2">
      <c r="B33" s="142" t="str">
        <f>"Official Forward Price Curve dated "&amp;TEXT('OFPC Source'!C4,"mmmm dd yyyy")</f>
        <v>Official Forward Price Curve dated March 30 2018</v>
      </c>
      <c r="C33" s="142"/>
      <c r="D33" s="19"/>
    </row>
    <row r="35" spans="2:4" x14ac:dyDescent="0.2">
      <c r="D35" s="18"/>
    </row>
    <row r="36" spans="2:4" x14ac:dyDescent="0.2">
      <c r="D36" s="141"/>
    </row>
    <row r="37" spans="2:4" x14ac:dyDescent="0.2">
      <c r="D37" s="18"/>
    </row>
  </sheetData>
  <phoneticPr fontId="12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50"/>
  <sheetViews>
    <sheetView zoomScaleNormal="100" workbookViewId="0"/>
  </sheetViews>
  <sheetFormatPr defaultColWidth="8.83203125" defaultRowHeight="12.75" x14ac:dyDescent="0.2"/>
  <cols>
    <col min="1" max="1" width="2.1640625" style="16" customWidth="1"/>
    <col min="2" max="2" width="22" style="16" customWidth="1"/>
    <col min="3" max="6" width="16.33203125" style="16" customWidth="1"/>
    <col min="7" max="7" width="2.1640625" style="16" customWidth="1"/>
    <col min="8" max="8" width="10" style="16" customWidth="1"/>
    <col min="9" max="16384" width="8.83203125" style="16"/>
  </cols>
  <sheetData>
    <row r="1" spans="2:6" ht="15.75" x14ac:dyDescent="0.25">
      <c r="B1" s="7" t="s">
        <v>168</v>
      </c>
      <c r="C1" s="10"/>
      <c r="D1" s="10"/>
      <c r="E1" s="10"/>
      <c r="F1" s="10"/>
    </row>
    <row r="2" spans="2:6" ht="15.75" x14ac:dyDescent="0.25">
      <c r="B2" s="7" t="s">
        <v>27</v>
      </c>
      <c r="C2" s="10"/>
      <c r="D2" s="10"/>
      <c r="E2" s="10"/>
      <c r="F2" s="10"/>
    </row>
    <row r="3" spans="2:6" ht="15.75" x14ac:dyDescent="0.25">
      <c r="B3" s="7" t="s">
        <v>8</v>
      </c>
      <c r="C3" s="19"/>
      <c r="D3" s="19"/>
      <c r="E3" s="19"/>
      <c r="F3" s="19"/>
    </row>
    <row r="4" spans="2:6" ht="15.75" x14ac:dyDescent="0.25">
      <c r="B4" s="7"/>
      <c r="C4" s="19"/>
      <c r="D4" s="19"/>
      <c r="E4" s="19"/>
      <c r="F4" s="19"/>
    </row>
    <row r="5" spans="2:6" x14ac:dyDescent="0.2">
      <c r="B5" s="8"/>
      <c r="C5" s="11" t="s">
        <v>22</v>
      </c>
      <c r="D5" s="11"/>
      <c r="E5" s="11"/>
      <c r="F5" s="11"/>
    </row>
    <row r="6" spans="2:6" x14ac:dyDescent="0.2">
      <c r="B6" s="12" t="s">
        <v>0</v>
      </c>
      <c r="C6" s="11" t="s">
        <v>23</v>
      </c>
      <c r="D6" s="11"/>
      <c r="E6" s="11" t="s">
        <v>24</v>
      </c>
      <c r="F6" s="11"/>
    </row>
    <row r="7" spans="2:6" x14ac:dyDescent="0.2">
      <c r="B7" s="20"/>
      <c r="C7" s="11" t="s">
        <v>25</v>
      </c>
      <c r="D7" s="11" t="s">
        <v>26</v>
      </c>
      <c r="E7" s="11" t="s">
        <v>25</v>
      </c>
      <c r="F7" s="11" t="s">
        <v>26</v>
      </c>
    </row>
    <row r="8" spans="2:6" x14ac:dyDescent="0.2">
      <c r="C8" s="9" t="s">
        <v>2</v>
      </c>
      <c r="D8" s="9" t="s">
        <v>3</v>
      </c>
      <c r="E8" s="9" t="s">
        <v>4</v>
      </c>
      <c r="F8" s="9" t="s">
        <v>5</v>
      </c>
    </row>
    <row r="9" spans="2:6" x14ac:dyDescent="0.2">
      <c r="C9" s="21"/>
      <c r="D9" s="21"/>
      <c r="E9" s="21"/>
      <c r="F9" s="21"/>
    </row>
    <row r="10" spans="2:6" x14ac:dyDescent="0.2">
      <c r="B10" s="22">
        <v>2018</v>
      </c>
      <c r="C10" s="23">
        <f>VLOOKUP($B10,'OFPC Source'!$W$8:$AA$34,2,FALSE)</f>
        <v>21.87</v>
      </c>
      <c r="D10" s="23">
        <f>VLOOKUP($B10,'OFPC Source'!$W$8:$AA$34,3,FALSE)</f>
        <v>29.51</v>
      </c>
      <c r="E10" s="23">
        <f>VLOOKUP($B10,'OFPC Source'!$W$8:$AA$34,4,FALSE)</f>
        <v>15.48</v>
      </c>
      <c r="F10" s="23">
        <f>VLOOKUP($B10,'OFPC Source'!$W$8:$AA$34,5,FALSE)</f>
        <v>22.99</v>
      </c>
    </row>
    <row r="11" spans="2:6" x14ac:dyDescent="0.2">
      <c r="B11" s="22">
        <f>B10+1</f>
        <v>2019</v>
      </c>
      <c r="C11" s="23">
        <f>VLOOKUP($B11,'OFPC Source'!$W$8:$AA$34,2,FALSE)</f>
        <v>23.73</v>
      </c>
      <c r="D11" s="23">
        <f>VLOOKUP($B11,'OFPC Source'!$W$8:$AA$34,3,FALSE)</f>
        <v>28.56</v>
      </c>
      <c r="E11" s="23">
        <f>VLOOKUP($B11,'OFPC Source'!$W$8:$AA$34,4,FALSE)</f>
        <v>17.440000000000001</v>
      </c>
      <c r="F11" s="23">
        <f>VLOOKUP($B11,'OFPC Source'!$W$8:$AA$34,5,FALSE)</f>
        <v>22.07</v>
      </c>
    </row>
    <row r="12" spans="2:6" x14ac:dyDescent="0.2">
      <c r="B12" s="22">
        <f t="shared" ref="B12:B29" si="0">B11+1</f>
        <v>2020</v>
      </c>
      <c r="C12" s="23">
        <f>VLOOKUP($B12,'OFPC Source'!$W$8:$AA$34,2,FALSE)</f>
        <v>26.37</v>
      </c>
      <c r="D12" s="23">
        <f>VLOOKUP($B12,'OFPC Source'!$W$8:$AA$34,3,FALSE)</f>
        <v>30.39</v>
      </c>
      <c r="E12" s="23">
        <f>VLOOKUP($B12,'OFPC Source'!$W$8:$AA$34,4,FALSE)</f>
        <v>20.170000000000002</v>
      </c>
      <c r="F12" s="23">
        <f>VLOOKUP($B12,'OFPC Source'!$W$8:$AA$34,5,FALSE)</f>
        <v>24.39</v>
      </c>
    </row>
    <row r="13" spans="2:6" x14ac:dyDescent="0.2">
      <c r="B13" s="22">
        <f t="shared" si="0"/>
        <v>2021</v>
      </c>
      <c r="C13" s="23">
        <f>VLOOKUP($B13,'OFPC Source'!$W$8:$AA$34,2,FALSE)</f>
        <v>29.98</v>
      </c>
      <c r="D13" s="23">
        <f>VLOOKUP($B13,'OFPC Source'!$W$8:$AA$34,3,FALSE)</f>
        <v>33.71</v>
      </c>
      <c r="E13" s="23">
        <f>VLOOKUP($B13,'OFPC Source'!$W$8:$AA$34,4,FALSE)</f>
        <v>23.52</v>
      </c>
      <c r="F13" s="23">
        <f>VLOOKUP($B13,'OFPC Source'!$W$8:$AA$34,5,FALSE)</f>
        <v>27.29</v>
      </c>
    </row>
    <row r="14" spans="2:6" x14ac:dyDescent="0.2">
      <c r="B14" s="22">
        <f t="shared" si="0"/>
        <v>2022</v>
      </c>
      <c r="C14" s="23">
        <f>VLOOKUP($B14,'OFPC Source'!$W$8:$AA$34,2,FALSE)</f>
        <v>31.89</v>
      </c>
      <c r="D14" s="23">
        <f>VLOOKUP($B14,'OFPC Source'!$W$8:$AA$34,3,FALSE)</f>
        <v>35.479999999999997</v>
      </c>
      <c r="E14" s="23">
        <f>VLOOKUP($B14,'OFPC Source'!$W$8:$AA$34,4,FALSE)</f>
        <v>25.3</v>
      </c>
      <c r="F14" s="23">
        <f>VLOOKUP($B14,'OFPC Source'!$W$8:$AA$34,5,FALSE)</f>
        <v>28.63</v>
      </c>
    </row>
    <row r="15" spans="2:6" x14ac:dyDescent="0.2">
      <c r="B15" s="22">
        <f t="shared" si="0"/>
        <v>2023</v>
      </c>
      <c r="C15" s="23">
        <f>VLOOKUP($B15,'OFPC Source'!$W$8:$AA$34,2,FALSE)</f>
        <v>33.25</v>
      </c>
      <c r="D15" s="23">
        <f>VLOOKUP($B15,'OFPC Source'!$W$8:$AA$34,3,FALSE)</f>
        <v>37.299999999999997</v>
      </c>
      <c r="E15" s="23">
        <f>VLOOKUP($B15,'OFPC Source'!$W$8:$AA$34,4,FALSE)</f>
        <v>26.71</v>
      </c>
      <c r="F15" s="23">
        <f>VLOOKUP($B15,'OFPC Source'!$W$8:$AA$34,5,FALSE)</f>
        <v>30.57</v>
      </c>
    </row>
    <row r="16" spans="2:6" x14ac:dyDescent="0.2">
      <c r="B16" s="22">
        <f t="shared" si="0"/>
        <v>2024</v>
      </c>
      <c r="C16" s="23">
        <f>VLOOKUP($B16,'OFPC Source'!$W$8:$AA$34,2,FALSE)</f>
        <v>35.46</v>
      </c>
      <c r="D16" s="23">
        <f>VLOOKUP($B16,'OFPC Source'!$W$8:$AA$34,3,FALSE)</f>
        <v>39.950000000000003</v>
      </c>
      <c r="E16" s="23">
        <f>VLOOKUP($B16,'OFPC Source'!$W$8:$AA$34,4,FALSE)</f>
        <v>29.14</v>
      </c>
      <c r="F16" s="23">
        <f>VLOOKUP($B16,'OFPC Source'!$W$8:$AA$34,5,FALSE)</f>
        <v>33.78</v>
      </c>
    </row>
    <row r="17" spans="2:6" x14ac:dyDescent="0.2">
      <c r="B17" s="22">
        <f t="shared" si="0"/>
        <v>2025</v>
      </c>
      <c r="C17" s="23">
        <f>VLOOKUP($B17,'OFPC Source'!$W$8:$AA$34,2,FALSE)</f>
        <v>38.35</v>
      </c>
      <c r="D17" s="23">
        <f>VLOOKUP($B17,'OFPC Source'!$W$8:$AA$34,3,FALSE)</f>
        <v>42.84</v>
      </c>
      <c r="E17" s="23">
        <f>VLOOKUP($B17,'OFPC Source'!$W$8:$AA$34,4,FALSE)</f>
        <v>32.090000000000003</v>
      </c>
      <c r="F17" s="23">
        <f>VLOOKUP($B17,'OFPC Source'!$W$8:$AA$34,5,FALSE)</f>
        <v>37.19</v>
      </c>
    </row>
    <row r="18" spans="2:6" x14ac:dyDescent="0.2">
      <c r="B18" s="22">
        <f t="shared" si="0"/>
        <v>2026</v>
      </c>
      <c r="C18" s="23">
        <f>VLOOKUP($B18,'OFPC Source'!$W$8:$AA$34,2,FALSE)</f>
        <v>39.89</v>
      </c>
      <c r="D18" s="23">
        <f>VLOOKUP($B18,'OFPC Source'!$W$8:$AA$34,3,FALSE)</f>
        <v>44.21</v>
      </c>
      <c r="E18" s="23">
        <f>VLOOKUP($B18,'OFPC Source'!$W$8:$AA$34,4,FALSE)</f>
        <v>33.619999999999997</v>
      </c>
      <c r="F18" s="23">
        <f>VLOOKUP($B18,'OFPC Source'!$W$8:$AA$34,5,FALSE)</f>
        <v>38.53</v>
      </c>
    </row>
    <row r="19" spans="2:6" x14ac:dyDescent="0.2">
      <c r="B19" s="22">
        <f t="shared" si="0"/>
        <v>2027</v>
      </c>
      <c r="C19" s="23">
        <f>VLOOKUP($B19,'OFPC Source'!$W$8:$AA$34,2,FALSE)</f>
        <v>41.1</v>
      </c>
      <c r="D19" s="23">
        <f>VLOOKUP($B19,'OFPC Source'!$W$8:$AA$34,3,FALSE)</f>
        <v>45.17</v>
      </c>
      <c r="E19" s="23">
        <f>VLOOKUP($B19,'OFPC Source'!$W$8:$AA$34,4,FALSE)</f>
        <v>34.71</v>
      </c>
      <c r="F19" s="23">
        <f>VLOOKUP($B19,'OFPC Source'!$W$8:$AA$34,5,FALSE)</f>
        <v>39.619999999999997</v>
      </c>
    </row>
    <row r="20" spans="2:6" x14ac:dyDescent="0.2">
      <c r="B20" s="22">
        <f t="shared" si="0"/>
        <v>2028</v>
      </c>
      <c r="C20" s="23">
        <f>VLOOKUP($B20,'OFPC Source'!$W$8:$AA$34,2,FALSE)</f>
        <v>42.94</v>
      </c>
      <c r="D20" s="23">
        <f>VLOOKUP($B20,'OFPC Source'!$W$8:$AA$34,3,FALSE)</f>
        <v>46.92</v>
      </c>
      <c r="E20" s="23">
        <f>VLOOKUP($B20,'OFPC Source'!$W$8:$AA$34,4,FALSE)</f>
        <v>36.549999999999997</v>
      </c>
      <c r="F20" s="23">
        <f>VLOOKUP($B20,'OFPC Source'!$W$8:$AA$34,5,FALSE)</f>
        <v>41.57</v>
      </c>
    </row>
    <row r="21" spans="2:6" x14ac:dyDescent="0.2">
      <c r="B21" s="22">
        <f t="shared" si="0"/>
        <v>2029</v>
      </c>
      <c r="C21" s="23">
        <f>VLOOKUP($B21,'OFPC Source'!$W$8:$AA$34,2,FALSE)</f>
        <v>46.67</v>
      </c>
      <c r="D21" s="23">
        <f>VLOOKUP($B21,'OFPC Source'!$W$8:$AA$34,3,FALSE)</f>
        <v>50.1</v>
      </c>
      <c r="E21" s="23">
        <f>VLOOKUP($B21,'OFPC Source'!$W$8:$AA$34,4,FALSE)</f>
        <v>40.14</v>
      </c>
      <c r="F21" s="23">
        <f>VLOOKUP($B21,'OFPC Source'!$W$8:$AA$34,5,FALSE)</f>
        <v>44.52</v>
      </c>
    </row>
    <row r="22" spans="2:6" x14ac:dyDescent="0.2">
      <c r="B22" s="22">
        <f t="shared" si="0"/>
        <v>2030</v>
      </c>
      <c r="C22" s="23">
        <f>VLOOKUP($B22,'OFPC Source'!$W$8:$AA$34,2,FALSE)</f>
        <v>50.21</v>
      </c>
      <c r="D22" s="23">
        <f>VLOOKUP($B22,'OFPC Source'!$W$8:$AA$34,3,FALSE)</f>
        <v>53.85</v>
      </c>
      <c r="E22" s="23">
        <f>VLOOKUP($B22,'OFPC Source'!$W$8:$AA$34,4,FALSE)</f>
        <v>43.32</v>
      </c>
      <c r="F22" s="23">
        <f>VLOOKUP($B22,'OFPC Source'!$W$8:$AA$34,5,FALSE)</f>
        <v>48.13</v>
      </c>
    </row>
    <row r="23" spans="2:6" x14ac:dyDescent="0.2">
      <c r="B23" s="22">
        <f t="shared" si="0"/>
        <v>2031</v>
      </c>
      <c r="C23" s="23">
        <f>VLOOKUP($B23,'OFPC Source'!$W$8:$AA$34,2,FALSE)</f>
        <v>50.22</v>
      </c>
      <c r="D23" s="23">
        <f>VLOOKUP($B23,'OFPC Source'!$W$8:$AA$34,3,FALSE)</f>
        <v>54.73</v>
      </c>
      <c r="E23" s="23">
        <f>VLOOKUP($B23,'OFPC Source'!$W$8:$AA$34,4,FALSE)</f>
        <v>43.56</v>
      </c>
      <c r="F23" s="23">
        <f>VLOOKUP($B23,'OFPC Source'!$W$8:$AA$34,5,FALSE)</f>
        <v>49.13</v>
      </c>
    </row>
    <row r="24" spans="2:6" x14ac:dyDescent="0.2">
      <c r="B24" s="22">
        <f t="shared" si="0"/>
        <v>2032</v>
      </c>
      <c r="C24" s="23">
        <f>VLOOKUP($B24,'OFPC Source'!$W$8:$AA$34,2,FALSE)</f>
        <v>53.79</v>
      </c>
      <c r="D24" s="23">
        <f>VLOOKUP($B24,'OFPC Source'!$W$8:$AA$34,3,FALSE)</f>
        <v>58.54</v>
      </c>
      <c r="E24" s="23">
        <f>VLOOKUP($B24,'OFPC Source'!$W$8:$AA$34,4,FALSE)</f>
        <v>46.77</v>
      </c>
      <c r="F24" s="23">
        <f>VLOOKUP($B24,'OFPC Source'!$W$8:$AA$34,5,FALSE)</f>
        <v>52.71</v>
      </c>
    </row>
    <row r="25" spans="2:6" x14ac:dyDescent="0.2">
      <c r="B25" s="22">
        <f t="shared" si="0"/>
        <v>2033</v>
      </c>
      <c r="C25" s="23">
        <f>VLOOKUP($B25,'OFPC Source'!$W$8:$AA$34,2,FALSE)</f>
        <v>56.11</v>
      </c>
      <c r="D25" s="23">
        <f>VLOOKUP($B25,'OFPC Source'!$W$8:$AA$34,3,FALSE)</f>
        <v>60.64</v>
      </c>
      <c r="E25" s="23">
        <f>VLOOKUP($B25,'OFPC Source'!$W$8:$AA$34,4,FALSE)</f>
        <v>49.03</v>
      </c>
      <c r="F25" s="23">
        <f>VLOOKUP($B25,'OFPC Source'!$W$8:$AA$34,5,FALSE)</f>
        <v>55.01</v>
      </c>
    </row>
    <row r="26" spans="2:6" x14ac:dyDescent="0.2">
      <c r="B26" s="22">
        <f t="shared" si="0"/>
        <v>2034</v>
      </c>
      <c r="C26" s="23">
        <f>VLOOKUP($B26,'OFPC Source'!$W$8:$AA$34,2,FALSE)</f>
        <v>56.02</v>
      </c>
      <c r="D26" s="23">
        <f>VLOOKUP($B26,'OFPC Source'!$W$8:$AA$34,3,FALSE)</f>
        <v>61.14</v>
      </c>
      <c r="E26" s="23">
        <f>VLOOKUP($B26,'OFPC Source'!$W$8:$AA$34,4,FALSE)</f>
        <v>48.94</v>
      </c>
      <c r="F26" s="23">
        <f>VLOOKUP($B26,'OFPC Source'!$W$8:$AA$34,5,FALSE)</f>
        <v>55.33</v>
      </c>
    </row>
    <row r="27" spans="2:6" x14ac:dyDescent="0.2">
      <c r="B27" s="22">
        <f t="shared" si="0"/>
        <v>2035</v>
      </c>
      <c r="C27" s="23">
        <f>VLOOKUP($B27,'OFPC Source'!$W$8:$AA$34,2,FALSE)</f>
        <v>57.86</v>
      </c>
      <c r="D27" s="23">
        <f>VLOOKUP($B27,'OFPC Source'!$W$8:$AA$34,3,FALSE)</f>
        <v>63.85</v>
      </c>
      <c r="E27" s="23">
        <f>VLOOKUP($B27,'OFPC Source'!$W$8:$AA$34,4,FALSE)</f>
        <v>50.76</v>
      </c>
      <c r="F27" s="23">
        <f>VLOOKUP($B27,'OFPC Source'!$W$8:$AA$34,5,FALSE)</f>
        <v>57.73</v>
      </c>
    </row>
    <row r="28" spans="2:6" x14ac:dyDescent="0.2">
      <c r="B28" s="22">
        <f t="shared" si="0"/>
        <v>2036</v>
      </c>
      <c r="C28" s="23">
        <f>VLOOKUP($B28,'OFPC Source'!$W$8:$AA$34,2,FALSE)</f>
        <v>58.33</v>
      </c>
      <c r="D28" s="23">
        <f>VLOOKUP($B28,'OFPC Source'!$W$8:$AA$34,3,FALSE)</f>
        <v>64.58</v>
      </c>
      <c r="E28" s="23">
        <f>VLOOKUP($B28,'OFPC Source'!$W$8:$AA$34,4,FALSE)</f>
        <v>51.33</v>
      </c>
      <c r="F28" s="23">
        <f>VLOOKUP($B28,'OFPC Source'!$W$8:$AA$34,5,FALSE)</f>
        <v>58.51</v>
      </c>
    </row>
    <row r="29" spans="2:6" x14ac:dyDescent="0.2">
      <c r="B29" s="22">
        <f t="shared" si="0"/>
        <v>2037</v>
      </c>
      <c r="C29" s="23">
        <f>VLOOKUP($B29,'OFPC Source'!$W$8:$AA$34,2,FALSE)</f>
        <v>62.41</v>
      </c>
      <c r="D29" s="23">
        <f>VLOOKUP($B29,'OFPC Source'!$W$8:$AA$34,3,FALSE)</f>
        <v>68.12</v>
      </c>
      <c r="E29" s="23">
        <f>VLOOKUP($B29,'OFPC Source'!$W$8:$AA$34,4,FALSE)</f>
        <v>54.62</v>
      </c>
      <c r="F29" s="23">
        <f>VLOOKUP($B29,'OFPC Source'!$W$8:$AA$34,5,FALSE)</f>
        <v>61.95</v>
      </c>
    </row>
    <row r="31" spans="2:6" x14ac:dyDescent="0.2">
      <c r="B31" s="14" t="s">
        <v>18</v>
      </c>
    </row>
    <row r="32" spans="2:6" ht="25.5" customHeight="1" x14ac:dyDescent="0.2">
      <c r="B32" s="383" t="str">
        <f>'Table 4 Gas Price'!B33:D33</f>
        <v>Official Forward Price Curve dated March 30 2018</v>
      </c>
      <c r="C32" s="383"/>
      <c r="D32" s="383"/>
      <c r="E32" s="383"/>
      <c r="F32" s="383"/>
    </row>
    <row r="35" spans="2:2" x14ac:dyDescent="0.2">
      <c r="B35" s="24"/>
    </row>
    <row r="36" spans="2:2" x14ac:dyDescent="0.2">
      <c r="B36" s="24"/>
    </row>
    <row r="50" ht="24.75" customHeight="1" x14ac:dyDescent="0.2"/>
  </sheetData>
  <mergeCells count="1">
    <mergeCell ref="B32:F32"/>
  </mergeCells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Q58"/>
  <sheetViews>
    <sheetView zoomScaleNormal="100" zoomScaleSheetLayoutView="70" workbookViewId="0">
      <selection sqref="A1:P1"/>
    </sheetView>
  </sheetViews>
  <sheetFormatPr defaultColWidth="9.33203125" defaultRowHeight="12.75" x14ac:dyDescent="0.2"/>
  <cols>
    <col min="1" max="1" width="1.5" style="177" customWidth="1"/>
    <col min="2" max="2" width="12.1640625" style="177" customWidth="1"/>
    <col min="3" max="4" width="17.1640625" style="177" customWidth="1"/>
    <col min="5" max="6" width="15" style="177" customWidth="1"/>
    <col min="7" max="7" width="3" style="177" customWidth="1"/>
    <col min="8" max="8" width="6.33203125" style="177" customWidth="1"/>
    <col min="9" max="9" width="7.5" style="177" customWidth="1"/>
    <col min="10" max="10" width="12" style="177" customWidth="1"/>
    <col min="11" max="12" width="1.83203125" style="177" customWidth="1"/>
    <col min="13" max="13" width="9.83203125" style="177" customWidth="1"/>
    <col min="14" max="14" width="21.5" style="177" customWidth="1"/>
    <col min="15" max="15" width="19" style="177" customWidth="1"/>
    <col min="16" max="16384" width="9.33203125" style="177"/>
  </cols>
  <sheetData>
    <row r="1" spans="1:17" ht="15.75" x14ac:dyDescent="0.25">
      <c r="A1" s="385" t="s">
        <v>102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7" ht="12.75" customHeight="1" x14ac:dyDescent="0.25">
      <c r="A2" s="385" t="s">
        <v>35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1:17" ht="12.75" customHeight="1" x14ac:dyDescent="0.25">
      <c r="A3" s="385" t="s">
        <v>8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1:17" x14ac:dyDescent="0.2">
      <c r="B4" s="175"/>
      <c r="C4" s="176"/>
      <c r="D4" s="176"/>
    </row>
    <row r="5" spans="1:17" x14ac:dyDescent="0.2">
      <c r="B5" s="178"/>
      <c r="C5" s="178"/>
      <c r="D5" s="178"/>
      <c r="E5" s="179"/>
    </row>
    <row r="6" spans="1:17" ht="51" x14ac:dyDescent="0.2">
      <c r="B6" s="180" t="s">
        <v>0</v>
      </c>
      <c r="C6" s="181" t="s">
        <v>154</v>
      </c>
      <c r="D6" s="181" t="s">
        <v>155</v>
      </c>
      <c r="E6" s="181" t="s">
        <v>156</v>
      </c>
      <c r="F6" s="181" t="s">
        <v>157</v>
      </c>
      <c r="H6" s="182" t="str">
        <f>"Company Official Inflation Forecast Dated 
"&amp;TEXT('OFPC Source'!C4,"mmmm yyyy")</f>
        <v>Company Official Inflation Forecast Dated 
March 2018</v>
      </c>
      <c r="I6" s="182"/>
      <c r="J6" s="182"/>
      <c r="L6" s="46"/>
      <c r="M6" s="384" t="s">
        <v>160</v>
      </c>
      <c r="N6" s="384"/>
      <c r="O6" s="384"/>
      <c r="P6" s="46"/>
      <c r="Q6" s="46"/>
    </row>
    <row r="7" spans="1:17" ht="27" customHeight="1" x14ac:dyDescent="0.2">
      <c r="B7" s="183"/>
      <c r="C7" s="184" t="s">
        <v>29</v>
      </c>
      <c r="D7" s="184" t="s">
        <v>29</v>
      </c>
      <c r="E7" s="184" t="s">
        <v>29</v>
      </c>
      <c r="F7" s="184" t="s">
        <v>29</v>
      </c>
      <c r="H7" s="185" t="s">
        <v>0</v>
      </c>
      <c r="I7" s="186" t="s">
        <v>138</v>
      </c>
      <c r="J7" s="187" t="s">
        <v>194</v>
      </c>
      <c r="L7" s="46"/>
      <c r="M7" s="199" t="s">
        <v>159</v>
      </c>
      <c r="N7" s="199"/>
      <c r="O7" s="199"/>
      <c r="P7" s="46"/>
      <c r="Q7" s="46"/>
    </row>
    <row r="8" spans="1:17" x14ac:dyDescent="0.2">
      <c r="C8" s="188"/>
      <c r="D8" s="188"/>
      <c r="L8" s="46"/>
      <c r="M8" s="199"/>
      <c r="N8" s="199" t="s">
        <v>152</v>
      </c>
      <c r="O8" s="199" t="s">
        <v>153</v>
      </c>
      <c r="P8" s="199" t="s">
        <v>1</v>
      </c>
    </row>
    <row r="9" spans="1:17" ht="21.75" customHeight="1" x14ac:dyDescent="0.2">
      <c r="L9" s="46"/>
      <c r="M9" s="201" t="s">
        <v>34</v>
      </c>
      <c r="N9" s="200">
        <v>0.42889830042325666</v>
      </c>
      <c r="O9" s="200">
        <v>0.144532267904389</v>
      </c>
      <c r="P9" s="200">
        <v>0.57343056832764572</v>
      </c>
    </row>
    <row r="10" spans="1:17" x14ac:dyDescent="0.2">
      <c r="B10" s="189">
        <v>2016</v>
      </c>
      <c r="C10" s="190">
        <f>$O$9</f>
        <v>0.144532267904389</v>
      </c>
      <c r="D10" s="190">
        <f>$N$9</f>
        <v>0.42889830042325666</v>
      </c>
      <c r="E10" s="190">
        <f>$N$10</f>
        <v>0.45801214757039699</v>
      </c>
      <c r="F10" s="190">
        <f>$N$10</f>
        <v>0.45801214757039699</v>
      </c>
      <c r="H10" s="138">
        <f>B10</f>
        <v>2016</v>
      </c>
      <c r="I10" s="137"/>
      <c r="J10" s="191">
        <v>1</v>
      </c>
      <c r="L10" s="46"/>
      <c r="M10" s="201" t="s">
        <v>36</v>
      </c>
      <c r="N10" s="200">
        <v>0.45801214757039699</v>
      </c>
      <c r="O10" s="200">
        <v>0.14453226790433146</v>
      </c>
      <c r="P10" s="200">
        <v>0.60254441547472848</v>
      </c>
    </row>
    <row r="11" spans="1:17" x14ac:dyDescent="0.2">
      <c r="B11" s="192">
        <f t="shared" ref="B11:B36" si="0">B10+1</f>
        <v>2017</v>
      </c>
      <c r="C11" s="193">
        <f>ROUND($C$10*$J11,2)</f>
        <v>0.15</v>
      </c>
      <c r="D11" s="193">
        <f>ROUND($D$10*$J11,2)</f>
        <v>0.44</v>
      </c>
      <c r="E11" s="193">
        <f>ROUND($E$10*$J11,2)</f>
        <v>0.47</v>
      </c>
      <c r="F11" s="193">
        <f>ROUND($F$10*$J11,2)</f>
        <v>0.47</v>
      </c>
      <c r="H11" s="138">
        <f t="shared" ref="H11:H17" si="1">H10+1</f>
        <v>2017</v>
      </c>
      <c r="I11" s="137">
        <v>0.02</v>
      </c>
      <c r="J11" s="191">
        <f>(1+I11)*J10</f>
        <v>1.02</v>
      </c>
      <c r="L11" s="46"/>
      <c r="M11" s="46"/>
      <c r="N11" s="46" t="s">
        <v>158</v>
      </c>
      <c r="O11" s="46"/>
      <c r="P11" s="46"/>
    </row>
    <row r="12" spans="1:17" x14ac:dyDescent="0.2">
      <c r="B12" s="192">
        <f t="shared" si="0"/>
        <v>2018</v>
      </c>
      <c r="C12" s="193">
        <f t="shared" ref="C12:C36" si="2">ROUND($C$10*$J12,2)</f>
        <v>0.15</v>
      </c>
      <c r="D12" s="193">
        <f t="shared" ref="D12:D36" si="3">ROUND($D$10*$J12,2)</f>
        <v>0.45</v>
      </c>
      <c r="E12" s="193">
        <f t="shared" ref="E12:E36" si="4">ROUND($E$10*$J12,2)</f>
        <v>0.48</v>
      </c>
      <c r="F12" s="193">
        <f t="shared" ref="F12:F36" si="5">ROUND($F$10*$J12,2)</f>
        <v>0.48</v>
      </c>
      <c r="H12" s="138">
        <f t="shared" si="1"/>
        <v>2018</v>
      </c>
      <c r="I12" s="137">
        <v>1.9E-2</v>
      </c>
      <c r="J12" s="191">
        <f t="shared" ref="J12:J36" si="6">(1+I12)*J11</f>
        <v>1.03938</v>
      </c>
      <c r="L12" s="46"/>
      <c r="M12" s="46"/>
      <c r="N12" s="46"/>
      <c r="O12" s="46"/>
      <c r="P12" s="46"/>
    </row>
    <row r="13" spans="1:17" x14ac:dyDescent="0.2">
      <c r="B13" s="192">
        <f t="shared" si="0"/>
        <v>2019</v>
      </c>
      <c r="C13" s="193">
        <f t="shared" si="2"/>
        <v>0.15</v>
      </c>
      <c r="D13" s="193">
        <f t="shared" si="3"/>
        <v>0.46</v>
      </c>
      <c r="E13" s="193">
        <f t="shared" si="4"/>
        <v>0.49</v>
      </c>
      <c r="F13" s="193">
        <f t="shared" si="5"/>
        <v>0.49</v>
      </c>
      <c r="H13" s="138">
        <f t="shared" si="1"/>
        <v>2019</v>
      </c>
      <c r="I13" s="137">
        <v>2.1999999999999999E-2</v>
      </c>
      <c r="J13" s="191">
        <f t="shared" si="6"/>
        <v>1.0622463600000001</v>
      </c>
      <c r="L13" s="46"/>
      <c r="M13" s="46"/>
      <c r="N13" s="46"/>
      <c r="O13" s="46"/>
      <c r="P13" s="46"/>
    </row>
    <row r="14" spans="1:17" x14ac:dyDescent="0.2">
      <c r="B14" s="192">
        <f t="shared" si="0"/>
        <v>2020</v>
      </c>
      <c r="C14" s="193">
        <f t="shared" si="2"/>
        <v>0.16</v>
      </c>
      <c r="D14" s="193">
        <f t="shared" si="3"/>
        <v>0.47</v>
      </c>
      <c r="E14" s="193">
        <f t="shared" si="4"/>
        <v>0.5</v>
      </c>
      <c r="F14" s="193">
        <f t="shared" si="5"/>
        <v>0.5</v>
      </c>
      <c r="H14" s="138">
        <f t="shared" si="1"/>
        <v>2020</v>
      </c>
      <c r="I14" s="137">
        <v>2.5999999999999999E-2</v>
      </c>
      <c r="J14" s="191">
        <f t="shared" si="6"/>
        <v>1.08986476536</v>
      </c>
      <c r="L14" s="46"/>
      <c r="M14" s="46"/>
      <c r="N14" s="46"/>
      <c r="O14" s="46"/>
      <c r="P14" s="46"/>
    </row>
    <row r="15" spans="1:17" x14ac:dyDescent="0.2">
      <c r="B15" s="192">
        <f t="shared" si="0"/>
        <v>2021</v>
      </c>
      <c r="C15" s="193">
        <f t="shared" si="2"/>
        <v>0.16</v>
      </c>
      <c r="D15" s="193">
        <f t="shared" si="3"/>
        <v>0.48</v>
      </c>
      <c r="E15" s="193">
        <f t="shared" si="4"/>
        <v>0.51</v>
      </c>
      <c r="F15" s="193">
        <f t="shared" si="5"/>
        <v>0.51</v>
      </c>
      <c r="H15" s="138">
        <f t="shared" si="1"/>
        <v>2021</v>
      </c>
      <c r="I15" s="137">
        <v>2.4E-2</v>
      </c>
      <c r="J15" s="191">
        <f t="shared" si="6"/>
        <v>1.1160215197286401</v>
      </c>
      <c r="L15" s="46"/>
      <c r="M15" s="46"/>
      <c r="N15" s="46"/>
      <c r="O15" s="46"/>
    </row>
    <row r="16" spans="1:17" x14ac:dyDescent="0.2">
      <c r="B16" s="192">
        <f t="shared" si="0"/>
        <v>2022</v>
      </c>
      <c r="C16" s="193">
        <f t="shared" si="2"/>
        <v>0.17</v>
      </c>
      <c r="D16" s="193">
        <f t="shared" si="3"/>
        <v>0.49</v>
      </c>
      <c r="E16" s="193">
        <f t="shared" si="4"/>
        <v>0.52</v>
      </c>
      <c r="F16" s="193">
        <f t="shared" si="5"/>
        <v>0.52</v>
      </c>
      <c r="H16" s="138">
        <f t="shared" si="1"/>
        <v>2022</v>
      </c>
      <c r="I16" s="137">
        <v>2.3E-2</v>
      </c>
      <c r="J16" s="191">
        <f t="shared" si="6"/>
        <v>1.1416900146823987</v>
      </c>
      <c r="L16" s="46"/>
      <c r="M16" s="46"/>
      <c r="N16" s="46"/>
      <c r="O16" s="46"/>
    </row>
    <row r="17" spans="2:15" x14ac:dyDescent="0.2">
      <c r="B17" s="192">
        <f t="shared" si="0"/>
        <v>2023</v>
      </c>
      <c r="C17" s="193">
        <f t="shared" si="2"/>
        <v>0.17</v>
      </c>
      <c r="D17" s="193">
        <f t="shared" si="3"/>
        <v>0.5</v>
      </c>
      <c r="E17" s="193">
        <f t="shared" si="4"/>
        <v>0.53</v>
      </c>
      <c r="F17" s="193">
        <f t="shared" si="5"/>
        <v>0.53</v>
      </c>
      <c r="H17" s="138">
        <f t="shared" si="1"/>
        <v>2023</v>
      </c>
      <c r="I17" s="137">
        <v>2.3E-2</v>
      </c>
      <c r="J17" s="191">
        <f t="shared" si="6"/>
        <v>1.1679488850200939</v>
      </c>
      <c r="L17" s="46"/>
      <c r="M17" s="46"/>
      <c r="N17" s="46"/>
      <c r="O17" s="46"/>
    </row>
    <row r="18" spans="2:15" x14ac:dyDescent="0.2">
      <c r="B18" s="192">
        <f t="shared" si="0"/>
        <v>2024</v>
      </c>
      <c r="C18" s="193">
        <f t="shared" si="2"/>
        <v>0.17</v>
      </c>
      <c r="D18" s="193">
        <f t="shared" si="3"/>
        <v>0.51</v>
      </c>
      <c r="E18" s="193">
        <f t="shared" si="4"/>
        <v>0.55000000000000004</v>
      </c>
      <c r="F18" s="193">
        <f t="shared" si="5"/>
        <v>0.55000000000000004</v>
      </c>
      <c r="H18" s="138">
        <f>H17+1</f>
        <v>2024</v>
      </c>
      <c r="I18" s="137">
        <v>2.3E-2</v>
      </c>
      <c r="J18" s="191">
        <f t="shared" si="6"/>
        <v>1.1948117093755559</v>
      </c>
      <c r="L18" s="46"/>
      <c r="M18" s="46"/>
      <c r="N18" s="46"/>
      <c r="O18" s="46"/>
    </row>
    <row r="19" spans="2:15" x14ac:dyDescent="0.2">
      <c r="B19" s="192">
        <f t="shared" si="0"/>
        <v>2025</v>
      </c>
      <c r="C19" s="193">
        <f t="shared" si="2"/>
        <v>0.18</v>
      </c>
      <c r="D19" s="193">
        <f t="shared" si="3"/>
        <v>0.52</v>
      </c>
      <c r="E19" s="193">
        <f t="shared" si="4"/>
        <v>0.56000000000000005</v>
      </c>
      <c r="F19" s="193">
        <f t="shared" si="5"/>
        <v>0.56000000000000005</v>
      </c>
      <c r="H19" s="138">
        <f t="shared" ref="H19:H26" si="7">H18+1</f>
        <v>2025</v>
      </c>
      <c r="I19" s="137">
        <v>2.3E-2</v>
      </c>
      <c r="J19" s="191">
        <f t="shared" si="6"/>
        <v>1.2222923786911937</v>
      </c>
      <c r="L19" s="46"/>
      <c r="M19" s="46"/>
      <c r="N19" s="46"/>
      <c r="O19" s="46"/>
    </row>
    <row r="20" spans="2:15" x14ac:dyDescent="0.2">
      <c r="B20" s="192">
        <f t="shared" si="0"/>
        <v>2026</v>
      </c>
      <c r="C20" s="193">
        <f t="shared" si="2"/>
        <v>0.18</v>
      </c>
      <c r="D20" s="193">
        <f t="shared" si="3"/>
        <v>0.54</v>
      </c>
      <c r="E20" s="193">
        <f t="shared" si="4"/>
        <v>0.56999999999999995</v>
      </c>
      <c r="F20" s="193">
        <f t="shared" si="5"/>
        <v>0.56999999999999995</v>
      </c>
      <c r="H20" s="138">
        <f t="shared" si="7"/>
        <v>2026</v>
      </c>
      <c r="I20" s="137">
        <v>2.3E-2</v>
      </c>
      <c r="J20" s="191">
        <f t="shared" si="6"/>
        <v>1.250405103401091</v>
      </c>
      <c r="L20" s="46"/>
      <c r="M20" s="46"/>
      <c r="N20" s="46"/>
      <c r="O20" s="46"/>
    </row>
    <row r="21" spans="2:15" x14ac:dyDescent="0.2">
      <c r="B21" s="192">
        <f t="shared" si="0"/>
        <v>2027</v>
      </c>
      <c r="C21" s="193">
        <f t="shared" si="2"/>
        <v>0.18</v>
      </c>
      <c r="D21" s="193">
        <f t="shared" si="3"/>
        <v>0.55000000000000004</v>
      </c>
      <c r="E21" s="193">
        <f t="shared" si="4"/>
        <v>0.59</v>
      </c>
      <c r="F21" s="193">
        <f t="shared" si="5"/>
        <v>0.59</v>
      </c>
      <c r="H21" s="138">
        <f t="shared" si="7"/>
        <v>2027</v>
      </c>
      <c r="I21" s="137">
        <v>2.3E-2</v>
      </c>
      <c r="J21" s="191">
        <f t="shared" si="6"/>
        <v>1.279164420779316</v>
      </c>
      <c r="L21" s="47"/>
      <c r="M21" s="46"/>
      <c r="N21" s="46"/>
      <c r="O21" s="46"/>
    </row>
    <row r="22" spans="2:15" x14ac:dyDescent="0.2">
      <c r="B22" s="192">
        <f t="shared" si="0"/>
        <v>2028</v>
      </c>
      <c r="C22" s="193">
        <f t="shared" si="2"/>
        <v>0.19</v>
      </c>
      <c r="D22" s="193">
        <f t="shared" si="3"/>
        <v>0.56000000000000005</v>
      </c>
      <c r="E22" s="193">
        <f t="shared" si="4"/>
        <v>0.6</v>
      </c>
      <c r="F22" s="193">
        <f t="shared" si="5"/>
        <v>0.6</v>
      </c>
      <c r="H22" s="138">
        <f t="shared" si="7"/>
        <v>2028</v>
      </c>
      <c r="I22" s="137">
        <v>2.3E-2</v>
      </c>
      <c r="J22" s="191">
        <f t="shared" si="6"/>
        <v>1.3085852024572402</v>
      </c>
      <c r="L22" s="47"/>
      <c r="M22" s="46"/>
      <c r="N22" s="46"/>
      <c r="O22" s="46"/>
    </row>
    <row r="23" spans="2:15" x14ac:dyDescent="0.2">
      <c r="B23" s="192">
        <f t="shared" si="0"/>
        <v>2029</v>
      </c>
      <c r="C23" s="193">
        <f t="shared" si="2"/>
        <v>0.19</v>
      </c>
      <c r="D23" s="193">
        <f t="shared" si="3"/>
        <v>0.56999999999999995</v>
      </c>
      <c r="E23" s="193">
        <f t="shared" si="4"/>
        <v>0.61</v>
      </c>
      <c r="F23" s="193">
        <f t="shared" si="5"/>
        <v>0.61</v>
      </c>
      <c r="H23" s="138">
        <f t="shared" si="7"/>
        <v>2029</v>
      </c>
      <c r="I23" s="137">
        <v>2.3E-2</v>
      </c>
      <c r="J23" s="191">
        <f t="shared" si="6"/>
        <v>1.3386826621137566</v>
      </c>
    </row>
    <row r="24" spans="2:15" x14ac:dyDescent="0.2">
      <c r="B24" s="192">
        <f t="shared" si="0"/>
        <v>2030</v>
      </c>
      <c r="C24" s="193">
        <f t="shared" si="2"/>
        <v>0.2</v>
      </c>
      <c r="D24" s="193">
        <f t="shared" si="3"/>
        <v>0.59</v>
      </c>
      <c r="E24" s="193">
        <f t="shared" si="4"/>
        <v>0.63</v>
      </c>
      <c r="F24" s="193">
        <f t="shared" si="5"/>
        <v>0.63</v>
      </c>
      <c r="H24" s="138">
        <f t="shared" si="7"/>
        <v>2030</v>
      </c>
      <c r="I24" s="137">
        <v>2.3E-2</v>
      </c>
      <c r="J24" s="191">
        <f t="shared" si="6"/>
        <v>1.3694723633423729</v>
      </c>
    </row>
    <row r="25" spans="2:15" x14ac:dyDescent="0.2">
      <c r="B25" s="192">
        <f t="shared" si="0"/>
        <v>2031</v>
      </c>
      <c r="C25" s="193">
        <f t="shared" si="2"/>
        <v>0.2</v>
      </c>
      <c r="D25" s="193">
        <f t="shared" si="3"/>
        <v>0.6</v>
      </c>
      <c r="E25" s="193">
        <f t="shared" si="4"/>
        <v>0.64</v>
      </c>
      <c r="F25" s="193">
        <f t="shared" si="5"/>
        <v>0.64</v>
      </c>
      <c r="H25" s="138">
        <f t="shared" si="7"/>
        <v>2031</v>
      </c>
      <c r="I25" s="137">
        <v>2.3E-2</v>
      </c>
      <c r="J25" s="191">
        <f t="shared" si="6"/>
        <v>1.4009702276992473</v>
      </c>
    </row>
    <row r="26" spans="2:15" x14ac:dyDescent="0.2">
      <c r="B26" s="192">
        <f t="shared" si="0"/>
        <v>2032</v>
      </c>
      <c r="C26" s="193">
        <f t="shared" si="2"/>
        <v>0.21</v>
      </c>
      <c r="D26" s="193">
        <f t="shared" si="3"/>
        <v>0.61</v>
      </c>
      <c r="E26" s="193">
        <f t="shared" si="4"/>
        <v>0.66</v>
      </c>
      <c r="F26" s="193">
        <f t="shared" si="5"/>
        <v>0.66</v>
      </c>
      <c r="H26" s="138">
        <f t="shared" si="7"/>
        <v>2032</v>
      </c>
      <c r="I26" s="137">
        <v>2.1999999999999999E-2</v>
      </c>
      <c r="J26" s="191">
        <f t="shared" si="6"/>
        <v>1.4317915727086308</v>
      </c>
    </row>
    <row r="27" spans="2:15" x14ac:dyDescent="0.2">
      <c r="B27" s="192">
        <f t="shared" si="0"/>
        <v>2033</v>
      </c>
      <c r="C27" s="193">
        <f t="shared" si="2"/>
        <v>0.21</v>
      </c>
      <c r="D27" s="193">
        <f t="shared" si="3"/>
        <v>0.63</v>
      </c>
      <c r="E27" s="193">
        <f t="shared" si="4"/>
        <v>0.67</v>
      </c>
      <c r="F27" s="193">
        <f t="shared" si="5"/>
        <v>0.67</v>
      </c>
      <c r="H27" s="138">
        <f>H26+1</f>
        <v>2033</v>
      </c>
      <c r="I27" s="137">
        <v>2.1999999999999999E-2</v>
      </c>
      <c r="J27" s="191">
        <f t="shared" si="6"/>
        <v>1.4632909873082207</v>
      </c>
      <c r="L27" s="194"/>
    </row>
    <row r="28" spans="2:15" x14ac:dyDescent="0.2">
      <c r="B28" s="192">
        <f t="shared" si="0"/>
        <v>2034</v>
      </c>
      <c r="C28" s="193">
        <f t="shared" si="2"/>
        <v>0.22</v>
      </c>
      <c r="D28" s="193">
        <f t="shared" si="3"/>
        <v>0.64</v>
      </c>
      <c r="E28" s="193">
        <f t="shared" si="4"/>
        <v>0.69</v>
      </c>
      <c r="F28" s="193">
        <f t="shared" si="5"/>
        <v>0.69</v>
      </c>
      <c r="H28" s="138">
        <f t="shared" ref="H28:H36" si="8">H27+1</f>
        <v>2034</v>
      </c>
      <c r="I28" s="137">
        <v>2.3E-2</v>
      </c>
      <c r="J28" s="191">
        <f t="shared" si="6"/>
        <v>1.4969466800163096</v>
      </c>
      <c r="L28" s="194"/>
    </row>
    <row r="29" spans="2:15" x14ac:dyDescent="0.2">
      <c r="B29" s="192">
        <f t="shared" si="0"/>
        <v>2035</v>
      </c>
      <c r="C29" s="193">
        <f t="shared" si="2"/>
        <v>0.22</v>
      </c>
      <c r="D29" s="193">
        <f t="shared" si="3"/>
        <v>0.66</v>
      </c>
      <c r="E29" s="193">
        <f t="shared" si="4"/>
        <v>0.7</v>
      </c>
      <c r="F29" s="193">
        <f t="shared" si="5"/>
        <v>0.7</v>
      </c>
      <c r="H29" s="138">
        <f t="shared" si="8"/>
        <v>2035</v>
      </c>
      <c r="I29" s="137">
        <v>2.3E-2</v>
      </c>
      <c r="J29" s="191">
        <f t="shared" si="6"/>
        <v>1.5313764536566845</v>
      </c>
      <c r="L29" s="195"/>
    </row>
    <row r="30" spans="2:15" x14ac:dyDescent="0.2">
      <c r="B30" s="192">
        <f t="shared" si="0"/>
        <v>2036</v>
      </c>
      <c r="C30" s="193">
        <f t="shared" si="2"/>
        <v>0.23</v>
      </c>
      <c r="D30" s="193">
        <f t="shared" si="3"/>
        <v>0.67</v>
      </c>
      <c r="E30" s="193">
        <f t="shared" si="4"/>
        <v>0.72</v>
      </c>
      <c r="F30" s="193">
        <f t="shared" si="5"/>
        <v>0.72</v>
      </c>
      <c r="H30" s="138">
        <f t="shared" si="8"/>
        <v>2036</v>
      </c>
      <c r="I30" s="137">
        <v>2.3E-2</v>
      </c>
      <c r="J30" s="191">
        <f t="shared" si="6"/>
        <v>1.5665981120907881</v>
      </c>
    </row>
    <row r="31" spans="2:15" x14ac:dyDescent="0.2">
      <c r="B31" s="192">
        <f t="shared" si="0"/>
        <v>2037</v>
      </c>
      <c r="C31" s="193">
        <f t="shared" si="2"/>
        <v>0.23</v>
      </c>
      <c r="D31" s="193">
        <f t="shared" si="3"/>
        <v>0.69</v>
      </c>
      <c r="E31" s="193">
        <f t="shared" si="4"/>
        <v>0.73</v>
      </c>
      <c r="F31" s="193">
        <f t="shared" si="5"/>
        <v>0.73</v>
      </c>
      <c r="H31" s="138">
        <f t="shared" si="8"/>
        <v>2037</v>
      </c>
      <c r="I31" s="137">
        <v>2.1999999999999999E-2</v>
      </c>
      <c r="J31" s="191">
        <f t="shared" si="6"/>
        <v>1.6010632705567855</v>
      </c>
      <c r="M31" s="196"/>
    </row>
    <row r="32" spans="2:15" x14ac:dyDescent="0.2">
      <c r="B32" s="192">
        <f t="shared" si="0"/>
        <v>2038</v>
      </c>
      <c r="C32" s="193">
        <f t="shared" si="2"/>
        <v>0.24</v>
      </c>
      <c r="D32" s="193">
        <f t="shared" si="3"/>
        <v>0.7</v>
      </c>
      <c r="E32" s="193">
        <f t="shared" si="4"/>
        <v>0.75</v>
      </c>
      <c r="F32" s="193">
        <f t="shared" si="5"/>
        <v>0.75</v>
      </c>
      <c r="H32" s="138">
        <f t="shared" si="8"/>
        <v>2038</v>
      </c>
      <c r="I32" s="137">
        <v>2.1999999999999999E-2</v>
      </c>
      <c r="J32" s="191">
        <f t="shared" si="6"/>
        <v>1.6362866625090349</v>
      </c>
    </row>
    <row r="33" spans="2:10" x14ac:dyDescent="0.2">
      <c r="B33" s="192">
        <f t="shared" si="0"/>
        <v>2039</v>
      </c>
      <c r="C33" s="193">
        <f t="shared" si="2"/>
        <v>0.24</v>
      </c>
      <c r="D33" s="193">
        <f t="shared" si="3"/>
        <v>0.72</v>
      </c>
      <c r="E33" s="193">
        <f t="shared" si="4"/>
        <v>0.77</v>
      </c>
      <c r="F33" s="193">
        <f t="shared" si="5"/>
        <v>0.77</v>
      </c>
      <c r="H33" s="138">
        <f t="shared" si="8"/>
        <v>2039</v>
      </c>
      <c r="I33" s="137">
        <v>2.1999999999999999E-2</v>
      </c>
      <c r="J33" s="191">
        <f t="shared" si="6"/>
        <v>1.6722849690842336</v>
      </c>
    </row>
    <row r="34" spans="2:10" x14ac:dyDescent="0.2">
      <c r="B34" s="192">
        <f t="shared" si="0"/>
        <v>2040</v>
      </c>
      <c r="C34" s="193">
        <f t="shared" si="2"/>
        <v>0.25</v>
      </c>
      <c r="D34" s="193">
        <f t="shared" si="3"/>
        <v>0.73</v>
      </c>
      <c r="E34" s="193">
        <f t="shared" si="4"/>
        <v>0.78</v>
      </c>
      <c r="F34" s="193">
        <f t="shared" si="5"/>
        <v>0.78</v>
      </c>
      <c r="H34" s="138">
        <f t="shared" si="8"/>
        <v>2040</v>
      </c>
      <c r="I34" s="137">
        <v>2.1999999999999999E-2</v>
      </c>
      <c r="J34" s="191">
        <f t="shared" si="6"/>
        <v>1.7090752384040868</v>
      </c>
    </row>
    <row r="35" spans="2:10" x14ac:dyDescent="0.2">
      <c r="B35" s="192">
        <f t="shared" si="0"/>
        <v>2041</v>
      </c>
      <c r="C35" s="193">
        <f t="shared" si="2"/>
        <v>0.25</v>
      </c>
      <c r="D35" s="193">
        <f t="shared" si="3"/>
        <v>0.75</v>
      </c>
      <c r="E35" s="193">
        <f t="shared" si="4"/>
        <v>0.8</v>
      </c>
      <c r="F35" s="193">
        <f t="shared" si="5"/>
        <v>0.8</v>
      </c>
      <c r="H35" s="138">
        <f t="shared" si="8"/>
        <v>2041</v>
      </c>
      <c r="I35" s="137">
        <v>2.1999999999999999E-2</v>
      </c>
      <c r="J35" s="191">
        <f t="shared" si="6"/>
        <v>1.7466748936489767</v>
      </c>
    </row>
    <row r="36" spans="2:10" x14ac:dyDescent="0.2">
      <c r="B36" s="192">
        <f t="shared" si="0"/>
        <v>2042</v>
      </c>
      <c r="C36" s="193">
        <f t="shared" si="2"/>
        <v>0.26</v>
      </c>
      <c r="D36" s="193">
        <f t="shared" si="3"/>
        <v>0.77</v>
      </c>
      <c r="E36" s="193">
        <f t="shared" si="4"/>
        <v>0.82</v>
      </c>
      <c r="F36" s="193">
        <f t="shared" si="5"/>
        <v>0.82</v>
      </c>
      <c r="H36" s="138">
        <f t="shared" si="8"/>
        <v>2042</v>
      </c>
      <c r="I36" s="137">
        <v>2.1999999999999999E-2</v>
      </c>
      <c r="J36" s="191">
        <f t="shared" si="6"/>
        <v>1.7851017413092543</v>
      </c>
    </row>
    <row r="37" spans="2:10" x14ac:dyDescent="0.2">
      <c r="B37" s="197"/>
      <c r="C37" s="198"/>
      <c r="D37" s="198"/>
      <c r="H37" s="138"/>
      <c r="I37" s="137"/>
      <c r="J37" s="191"/>
    </row>
    <row r="38" spans="2:10" x14ac:dyDescent="0.2">
      <c r="B38" s="197"/>
      <c r="C38" s="198"/>
      <c r="D38" s="198"/>
      <c r="H38" s="138"/>
      <c r="I38" s="137"/>
    </row>
    <row r="39" spans="2:10" x14ac:dyDescent="0.2">
      <c r="B39" s="197"/>
      <c r="C39" s="198"/>
      <c r="D39" s="198"/>
      <c r="H39" s="138"/>
      <c r="I39" s="137"/>
    </row>
    <row r="40" spans="2:10" x14ac:dyDescent="0.2">
      <c r="E40" s="197"/>
    </row>
    <row r="48" spans="2:10" x14ac:dyDescent="0.2">
      <c r="C48" s="137"/>
    </row>
    <row r="52" spans="2:11" x14ac:dyDescent="0.2">
      <c r="K52" s="179"/>
    </row>
    <row r="53" spans="2:11" s="179" customFormat="1" x14ac:dyDescent="0.2">
      <c r="B53" s="177"/>
      <c r="C53" s="177"/>
      <c r="D53" s="177"/>
      <c r="E53" s="177"/>
      <c r="F53" s="177"/>
      <c r="G53" s="177"/>
      <c r="H53" s="177"/>
      <c r="I53" s="177"/>
      <c r="J53" s="177"/>
    </row>
    <row r="54" spans="2:11" s="179" customFormat="1" x14ac:dyDescent="0.2">
      <c r="E54" s="177"/>
    </row>
    <row r="55" spans="2:11" s="179" customFormat="1" x14ac:dyDescent="0.2">
      <c r="E55" s="177"/>
    </row>
    <row r="56" spans="2:11" s="179" customFormat="1" x14ac:dyDescent="0.2">
      <c r="E56" s="177"/>
    </row>
    <row r="57" spans="2:11" s="179" customFormat="1" x14ac:dyDescent="0.2">
      <c r="E57" s="177"/>
      <c r="K57" s="177"/>
    </row>
    <row r="58" spans="2:11" x14ac:dyDescent="0.2">
      <c r="B58" s="179"/>
      <c r="C58" s="179"/>
      <c r="D58" s="179"/>
      <c r="F58" s="179"/>
      <c r="G58" s="179"/>
      <c r="H58" s="179"/>
      <c r="I58" s="179"/>
      <c r="J58" s="179"/>
    </row>
  </sheetData>
  <mergeCells count="4">
    <mergeCell ref="M6:O6"/>
    <mergeCell ref="A1:P1"/>
    <mergeCell ref="A2:P2"/>
    <mergeCell ref="A3:P3"/>
  </mergeCells>
  <printOptions horizontalCentered="1"/>
  <pageMargins left="0.3" right="0.3" top="0.8" bottom="0.4" header="0.5" footer="0.2"/>
  <pageSetup paperSize="9" scale="93" orientation="landscape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D76" sqref="D76"/>
    </sheetView>
  </sheetViews>
  <sheetFormatPr defaultRowHeight="12.75" x14ac:dyDescent="0.2"/>
  <sheetData/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N41"/>
  <sheetViews>
    <sheetView showGridLines="0" view="pageBreakPreview" zoomScale="70" zoomScaleNormal="80" zoomScaleSheetLayoutView="70" workbookViewId="0">
      <selection activeCell="D41" sqref="D41"/>
    </sheetView>
  </sheetViews>
  <sheetFormatPr defaultColWidth="9.33203125" defaultRowHeight="12" x14ac:dyDescent="0.2"/>
  <cols>
    <col min="1" max="1" width="2.83203125" style="27" customWidth="1"/>
    <col min="2" max="2" width="16.5" style="27" customWidth="1"/>
    <col min="3" max="6" width="18.83203125" style="27" customWidth="1"/>
    <col min="7" max="7" width="17" style="27" customWidth="1"/>
    <col min="8" max="8" width="9.33203125" style="27"/>
    <col min="9" max="9" width="19" style="27" customWidth="1"/>
    <col min="10" max="10" width="20.1640625" style="27" customWidth="1"/>
    <col min="11" max="11" width="19" style="27" customWidth="1"/>
    <col min="12" max="12" width="26.83203125" style="27" customWidth="1"/>
    <col min="13" max="13" width="12.83203125" style="27" customWidth="1"/>
    <col min="14" max="14" width="16.6640625" style="27" customWidth="1"/>
    <col min="15" max="16384" width="9.33203125" style="27"/>
  </cols>
  <sheetData>
    <row r="1" spans="1:14" x14ac:dyDescent="0.2">
      <c r="A1" s="2"/>
      <c r="B1" s="2"/>
      <c r="C1" s="2"/>
      <c r="D1" s="2"/>
      <c r="E1" s="2"/>
      <c r="F1" s="2"/>
      <c r="G1" s="2"/>
    </row>
    <row r="2" spans="1:14" x14ac:dyDescent="0.2">
      <c r="A2" s="2"/>
      <c r="B2" s="2" t="s">
        <v>21</v>
      </c>
      <c r="C2" s="2"/>
      <c r="D2" s="2"/>
      <c r="E2" s="2"/>
      <c r="F2" s="2"/>
      <c r="G2" s="2"/>
      <c r="I2" s="2"/>
      <c r="J2" s="2"/>
      <c r="K2" s="2"/>
      <c r="L2" s="2"/>
      <c r="M2" s="2"/>
      <c r="N2" s="2"/>
    </row>
    <row r="3" spans="1:14" x14ac:dyDescent="0.2">
      <c r="B3" s="48" t="s">
        <v>38</v>
      </c>
      <c r="I3" s="2"/>
      <c r="J3" s="2"/>
      <c r="K3" s="2"/>
      <c r="L3" s="2"/>
      <c r="M3" s="2"/>
      <c r="N3" s="2"/>
    </row>
    <row r="4" spans="1:14" x14ac:dyDescent="0.2">
      <c r="A4" s="28"/>
      <c r="C4" s="28"/>
      <c r="D4" s="28"/>
      <c r="E4" s="28"/>
      <c r="F4" s="28"/>
      <c r="G4" s="28"/>
      <c r="L4" s="128" t="s">
        <v>76</v>
      </c>
      <c r="M4" s="128"/>
    </row>
    <row r="5" spans="1:14" x14ac:dyDescent="0.2">
      <c r="A5" s="28"/>
      <c r="B5" s="28"/>
    </row>
    <row r="6" spans="1:14" x14ac:dyDescent="0.2">
      <c r="A6" s="28"/>
      <c r="B6" s="29" t="s">
        <v>32</v>
      </c>
      <c r="C6" s="30" t="s">
        <v>181</v>
      </c>
      <c r="D6" s="30"/>
      <c r="E6" s="51" t="s">
        <v>31</v>
      </c>
      <c r="F6" s="30"/>
      <c r="G6" s="30"/>
    </row>
    <row r="7" spans="1:14" ht="14.25" x14ac:dyDescent="0.35">
      <c r="A7" s="28"/>
      <c r="B7" s="29" t="s">
        <v>30</v>
      </c>
      <c r="C7" s="31" t="s">
        <v>10</v>
      </c>
      <c r="D7" s="31" t="s">
        <v>11</v>
      </c>
      <c r="E7" s="31" t="s">
        <v>10</v>
      </c>
      <c r="F7" s="31" t="s">
        <v>11</v>
      </c>
      <c r="G7" s="31"/>
    </row>
    <row r="8" spans="1:14" x14ac:dyDescent="0.2">
      <c r="A8" s="32"/>
      <c r="B8" s="33"/>
      <c r="C8" s="34"/>
      <c r="D8" s="34"/>
      <c r="E8" s="34"/>
      <c r="F8" s="34"/>
      <c r="G8" s="34"/>
    </row>
    <row r="9" spans="1:14" hidden="1" x14ac:dyDescent="0.2">
      <c r="A9" s="32"/>
      <c r="B9" s="33"/>
      <c r="C9" s="34"/>
      <c r="D9" s="34"/>
      <c r="E9" s="34"/>
      <c r="F9" s="34"/>
      <c r="G9" s="34"/>
      <c r="H9" s="129"/>
    </row>
    <row r="10" spans="1:14" hidden="1" x14ac:dyDescent="0.2">
      <c r="A10" s="32"/>
      <c r="B10" s="131">
        <f>[3]SourceEnergy!$R$20</f>
        <v>2017</v>
      </c>
      <c r="C10" s="35">
        <f>INDEX([3]SourceEnergy!$S$20:$T$40,MATCH($B10,[3]SourceEnergy!$R$20:$R$40,0),MATCH(C$7,[3]SourceEnergy!$S$12:$T$12,0))/10</f>
        <v>0</v>
      </c>
      <c r="D10" s="35">
        <f>INDEX([3]SourceEnergy!$S$20:$T$40,MATCH($B10,[3]SourceEnergy!$R$20:$R$40,0),MATCH(D$7,[3]SourceEnergy!$S$12:$T$12,0))/10</f>
        <v>0</v>
      </c>
      <c r="E10" s="35">
        <f>INDEX([3]SourceEnergy!$U$20:$V$40,MATCH($B10,[3]SourceEnergy!$R$20:$R$40,0),MATCH(E$7,[3]SourceEnergy!$U$12:$V$12,0))/10</f>
        <v>0</v>
      </c>
      <c r="F10" s="35">
        <f>INDEX([3]SourceEnergy!$U$20:$V$40,MATCH($B10,[3]SourceEnergy!$R$20:$R$40,0),MATCH(F$7,[3]SourceEnergy!$U$12:$V$12,0))/10</f>
        <v>0</v>
      </c>
      <c r="G10" s="34"/>
      <c r="H10" s="129"/>
    </row>
    <row r="11" spans="1:14" x14ac:dyDescent="0.2">
      <c r="A11" s="32"/>
      <c r="B11" s="131">
        <f>B10+1</f>
        <v>2018</v>
      </c>
      <c r="C11" s="35">
        <f>INDEX([3]SourceEnergy!$S$20:$T$40,MATCH($B11,[3]SourceEnergy!$R$20:$R$40,0),MATCH(C$7,[3]SourceEnergy!$S$12:$T$12,0))/10</f>
        <v>1.8007599816994091</v>
      </c>
      <c r="D11" s="35">
        <f>INDEX([3]SourceEnergy!$S$20:$T$40,MATCH($B11,[3]SourceEnergy!$R$20:$R$40,0),MATCH(D$7,[3]SourceEnergy!$S$12:$T$12,0))/10</f>
        <v>2.2856030061421966</v>
      </c>
      <c r="E11" s="35">
        <f>INDEX([3]SourceEnergy!$U$20:$V$40,MATCH($B11,[3]SourceEnergy!$R$20:$R$40,0),MATCH(E$7,[3]SourceEnergy!$U$12:$V$12,0))/10</f>
        <v>1.6392156522164583</v>
      </c>
      <c r="F11" s="35">
        <f>INDEX([3]SourceEnergy!$U$20:$V$40,MATCH($B11,[3]SourceEnergy!$R$20:$R$40,0),MATCH(F$7,[3]SourceEnergy!$U$12:$V$12,0))/10</f>
        <v>1.4164116799408137</v>
      </c>
      <c r="G11" s="34"/>
      <c r="H11" s="129"/>
    </row>
    <row r="12" spans="1:14" x14ac:dyDescent="0.2">
      <c r="A12" s="32"/>
      <c r="B12" s="131">
        <f t="shared" ref="B12:B30" si="0">B11+1</f>
        <v>2019</v>
      </c>
      <c r="C12" s="35">
        <f>INDEX([3]SourceEnergy!$S$20:$T$40,MATCH($B12,[3]SourceEnergy!$R$20:$R$40,0),MATCH(C$7,[3]SourceEnergy!$S$12:$T$12,0))/10</f>
        <v>1.896195548985014</v>
      </c>
      <c r="D12" s="35">
        <f>INDEX([3]SourceEnergy!$S$20:$T$40,MATCH($B12,[3]SourceEnergy!$R$20:$R$40,0),MATCH(D$7,[3]SourceEnergy!$S$12:$T$12,0))/10</f>
        <v>2.3245255224692389</v>
      </c>
      <c r="E12" s="35">
        <f>INDEX([3]SourceEnergy!$U$20:$V$40,MATCH($B12,[3]SourceEnergy!$R$20:$R$40,0),MATCH(E$7,[3]SourceEnergy!$U$12:$V$12,0))/10</f>
        <v>1.6601915528497144</v>
      </c>
      <c r="F12" s="35">
        <f>INDEX([3]SourceEnergy!$U$20:$V$40,MATCH($B12,[3]SourceEnergy!$R$20:$R$40,0),MATCH(F$7,[3]SourceEnergy!$U$12:$V$12,0))/10</f>
        <v>1.4787197054368595</v>
      </c>
      <c r="G12" s="34"/>
      <c r="H12" s="129"/>
    </row>
    <row r="13" spans="1:14" x14ac:dyDescent="0.2">
      <c r="A13" s="32"/>
      <c r="B13" s="131">
        <f t="shared" si="0"/>
        <v>2020</v>
      </c>
      <c r="C13" s="35">
        <f>INDEX([3]SourceEnergy!$S$20:$T$40,MATCH($B13,[3]SourceEnergy!$R$20:$R$40,0),MATCH(C$7,[3]SourceEnergy!$S$12:$T$12,0))/10</f>
        <v>1.6676051811051589</v>
      </c>
      <c r="D13" s="35">
        <f>INDEX([3]SourceEnergy!$S$20:$T$40,MATCH($B13,[3]SourceEnergy!$R$20:$R$40,0),MATCH(D$7,[3]SourceEnergy!$S$12:$T$12,0))/10</f>
        <v>2.4208403945888821</v>
      </c>
      <c r="E13" s="35">
        <f>INDEX([3]SourceEnergy!$U$20:$V$40,MATCH($B13,[3]SourceEnergy!$R$20:$R$40,0),MATCH(E$7,[3]SourceEnergy!$U$12:$V$12,0))/10</f>
        <v>1.439517425932777</v>
      </c>
      <c r="F13" s="35">
        <f>INDEX([3]SourceEnergy!$U$20:$V$40,MATCH($B13,[3]SourceEnergy!$R$20:$R$40,0),MATCH(F$7,[3]SourceEnergy!$U$12:$V$12,0))/10</f>
        <v>1.6916256839403272</v>
      </c>
      <c r="G13" s="34"/>
      <c r="H13" s="129"/>
    </row>
    <row r="14" spans="1:14" x14ac:dyDescent="0.2">
      <c r="A14" s="32"/>
      <c r="B14" s="131">
        <f t="shared" si="0"/>
        <v>2021</v>
      </c>
      <c r="C14" s="35">
        <f>INDEX([3]SourceEnergy!$S$20:$T$40,MATCH($B14,[3]SourceEnergy!$R$20:$R$40,0),MATCH(C$7,[3]SourceEnergy!$S$12:$T$12,0))/10</f>
        <v>1.8441478080671128</v>
      </c>
      <c r="D14" s="35">
        <f>INDEX([3]SourceEnergy!$S$20:$T$40,MATCH($B14,[3]SourceEnergy!$R$20:$R$40,0),MATCH(D$7,[3]SourceEnergy!$S$12:$T$12,0))/10</f>
        <v>2.3645646617206535</v>
      </c>
      <c r="E14" s="35">
        <f>INDEX([3]SourceEnergy!$U$20:$V$40,MATCH($B14,[3]SourceEnergy!$R$20:$R$40,0),MATCH(E$7,[3]SourceEnergy!$U$12:$V$12,0))/10</f>
        <v>1.5806060032759521</v>
      </c>
      <c r="F14" s="35">
        <f>INDEX([3]SourceEnergy!$U$20:$V$40,MATCH($B14,[3]SourceEnergy!$R$20:$R$40,0),MATCH(F$7,[3]SourceEnergy!$U$12:$V$12,0))/10</f>
        <v>1.7382197493600118</v>
      </c>
      <c r="G14" s="34"/>
      <c r="H14" s="129"/>
    </row>
    <row r="15" spans="1:14" x14ac:dyDescent="0.2">
      <c r="A15" s="32"/>
      <c r="B15" s="131">
        <f t="shared" si="0"/>
        <v>2022</v>
      </c>
      <c r="C15" s="35">
        <f>INDEX([3]SourceEnergy!$S$20:$T$40,MATCH($B15,[3]SourceEnergy!$R$20:$R$40,0),MATCH(C$7,[3]SourceEnergy!$S$12:$T$12,0))/10</f>
        <v>1.9436719375000249</v>
      </c>
      <c r="D15" s="35">
        <f>INDEX([3]SourceEnergy!$S$20:$T$40,MATCH($B15,[3]SourceEnergy!$R$20:$R$40,0),MATCH(D$7,[3]SourceEnergy!$S$12:$T$12,0))/10</f>
        <v>2.5354984564153584</v>
      </c>
      <c r="E15" s="35">
        <f>INDEX([3]SourceEnergy!$U$20:$V$40,MATCH($B15,[3]SourceEnergy!$R$20:$R$40,0),MATCH(E$7,[3]SourceEnergy!$U$12:$V$12,0))/10</f>
        <v>1.683526480857634</v>
      </c>
      <c r="F15" s="35">
        <f>INDEX([3]SourceEnergy!$U$20:$V$40,MATCH($B15,[3]SourceEnergy!$R$20:$R$40,0),MATCH(F$7,[3]SourceEnergy!$U$12:$V$12,0))/10</f>
        <v>1.8259035655182223</v>
      </c>
      <c r="G15" s="34"/>
      <c r="H15" s="129"/>
    </row>
    <row r="16" spans="1:14" x14ac:dyDescent="0.2">
      <c r="A16" s="32"/>
      <c r="B16" s="131">
        <f t="shared" si="0"/>
        <v>2023</v>
      </c>
      <c r="C16" s="35">
        <f>INDEX([3]SourceEnergy!$S$20:$T$40,MATCH($B16,[3]SourceEnergy!$R$20:$R$40,0),MATCH(C$7,[3]SourceEnergy!$S$12:$T$12,0))/10</f>
        <v>1.9352960312773688</v>
      </c>
      <c r="D16" s="35">
        <f>INDEX([3]SourceEnergy!$S$20:$T$40,MATCH($B16,[3]SourceEnergy!$R$20:$R$40,0),MATCH(D$7,[3]SourceEnergy!$S$12:$T$12,0))/10</f>
        <v>2.9042871005750182</v>
      </c>
      <c r="E16" s="35">
        <f>INDEX([3]SourceEnergy!$U$20:$V$40,MATCH($B16,[3]SourceEnergy!$R$20:$R$40,0),MATCH(E$7,[3]SourceEnergy!$U$12:$V$12,0))/10</f>
        <v>1.7099254392938725</v>
      </c>
      <c r="F16" s="35">
        <f>INDEX([3]SourceEnergy!$U$20:$V$40,MATCH($B16,[3]SourceEnergy!$R$20:$R$40,0),MATCH(F$7,[3]SourceEnergy!$U$12:$V$12,0))/10</f>
        <v>2.0948382861450687</v>
      </c>
      <c r="G16" s="34"/>
      <c r="H16" s="129"/>
    </row>
    <row r="17" spans="1:14" x14ac:dyDescent="0.2">
      <c r="A17" s="32"/>
      <c r="B17" s="131">
        <f t="shared" si="0"/>
        <v>2024</v>
      </c>
      <c r="C17" s="35">
        <f>INDEX([3]SourceEnergy!$S$20:$T$40,MATCH($B17,[3]SourceEnergy!$R$20:$R$40,0),MATCH(C$7,[3]SourceEnergy!$S$12:$T$12,0))/10</f>
        <v>2.1185443499998247</v>
      </c>
      <c r="D17" s="35">
        <f>INDEX([3]SourceEnergy!$S$20:$T$40,MATCH($B17,[3]SourceEnergy!$R$20:$R$40,0),MATCH(D$7,[3]SourceEnergy!$S$12:$T$12,0))/10</f>
        <v>3.1648809864253336</v>
      </c>
      <c r="E17" s="35">
        <f>INDEX([3]SourceEnergy!$U$20:$V$40,MATCH($B17,[3]SourceEnergy!$R$20:$R$40,0),MATCH(E$7,[3]SourceEnergy!$U$12:$V$12,0))/10</f>
        <v>1.9138156886985804</v>
      </c>
      <c r="F17" s="35">
        <f>INDEX([3]SourceEnergy!$U$20:$V$40,MATCH($B17,[3]SourceEnergy!$R$20:$R$40,0),MATCH(F$7,[3]SourceEnergy!$U$12:$V$12,0))/10</f>
        <v>2.3808133452496425</v>
      </c>
      <c r="G17" s="34"/>
      <c r="H17" s="129"/>
    </row>
    <row r="18" spans="1:14" x14ac:dyDescent="0.2">
      <c r="A18" s="32"/>
      <c r="B18" s="131">
        <f t="shared" si="0"/>
        <v>2025</v>
      </c>
      <c r="C18" s="35">
        <f>INDEX([3]SourceEnergy!$S$20:$T$40,MATCH($B18,[3]SourceEnergy!$R$20:$R$40,0),MATCH(C$7,[3]SourceEnergy!$S$12:$T$12,0))/10</f>
        <v>2.477947068484597</v>
      </c>
      <c r="D18" s="35">
        <f>INDEX([3]SourceEnergy!$S$20:$T$40,MATCH($B18,[3]SourceEnergy!$R$20:$R$40,0),MATCH(D$7,[3]SourceEnergy!$S$12:$T$12,0))/10</f>
        <v>3.5310704105784909</v>
      </c>
      <c r="E18" s="35">
        <f>INDEX([3]SourceEnergy!$U$20:$V$40,MATCH($B18,[3]SourceEnergy!$R$20:$R$40,0),MATCH(E$7,[3]SourceEnergy!$U$12:$V$12,0))/10</f>
        <v>2.275221804844799</v>
      </c>
      <c r="F18" s="35">
        <f>INDEX([3]SourceEnergy!$U$20:$V$40,MATCH($B18,[3]SourceEnergy!$R$20:$R$40,0),MATCH(F$7,[3]SourceEnergy!$U$12:$V$12,0))/10</f>
        <v>2.7847494472456824</v>
      </c>
      <c r="G18" s="34"/>
      <c r="H18" s="129"/>
    </row>
    <row r="19" spans="1:14" x14ac:dyDescent="0.2">
      <c r="A19" s="32"/>
      <c r="B19" s="131">
        <f t="shared" si="0"/>
        <v>2026</v>
      </c>
      <c r="C19" s="35">
        <f>INDEX([3]SourceEnergy!$S$20:$T$40,MATCH($B19,[3]SourceEnergy!$R$20:$R$40,0),MATCH(C$7,[3]SourceEnergy!$S$12:$T$12,0))/10</f>
        <v>2.7355451746617043</v>
      </c>
      <c r="D19" s="35">
        <f>INDEX([3]SourceEnergy!$S$20:$T$40,MATCH($B19,[3]SourceEnergy!$R$20:$R$40,0),MATCH(D$7,[3]SourceEnergy!$S$12:$T$12,0))/10</f>
        <v>3.467000178797238</v>
      </c>
      <c r="E19" s="35">
        <f>INDEX([3]SourceEnergy!$U$20:$V$40,MATCH($B19,[3]SourceEnergy!$R$20:$R$40,0),MATCH(E$7,[3]SourceEnergy!$U$12:$V$12,0))/10</f>
        <v>2.5128662491202656</v>
      </c>
      <c r="F19" s="35">
        <f>INDEX([3]SourceEnergy!$U$20:$V$40,MATCH($B19,[3]SourceEnergy!$R$20:$R$40,0),MATCH(F$7,[3]SourceEnergy!$U$12:$V$12,0))/10</f>
        <v>2.7673620112330597</v>
      </c>
      <c r="G19" s="34"/>
      <c r="H19" s="58"/>
    </row>
    <row r="20" spans="1:14" x14ac:dyDescent="0.2">
      <c r="A20" s="32"/>
      <c r="B20" s="131">
        <f t="shared" si="0"/>
        <v>2027</v>
      </c>
      <c r="C20" s="35">
        <f>INDEX([3]SourceEnergy!$S$20:$T$40,MATCH($B20,[3]SourceEnergy!$R$20:$R$40,0),MATCH(C$7,[3]SourceEnergy!$S$12:$T$12,0))/10</f>
        <v>2.8231281856802557</v>
      </c>
      <c r="D20" s="35">
        <f>INDEX([3]SourceEnergy!$S$20:$T$40,MATCH($B20,[3]SourceEnergy!$R$20:$R$40,0),MATCH(D$7,[3]SourceEnergy!$S$12:$T$12,0))/10</f>
        <v>3.5573647058322186</v>
      </c>
      <c r="E20" s="35">
        <f>INDEX([3]SourceEnergy!$U$20:$V$40,MATCH($B20,[3]SourceEnergy!$R$20:$R$40,0),MATCH(E$7,[3]SourceEnergy!$U$12:$V$12,0))/10</f>
        <v>2.6080257843366987</v>
      </c>
      <c r="F20" s="35">
        <f>INDEX([3]SourceEnergy!$U$20:$V$40,MATCH($B20,[3]SourceEnergy!$R$20:$R$40,0),MATCH(F$7,[3]SourceEnergy!$U$12:$V$12,0))/10</f>
        <v>2.8722443685653816</v>
      </c>
      <c r="G20" s="34"/>
      <c r="H20" s="58"/>
    </row>
    <row r="21" spans="1:14" x14ac:dyDescent="0.2">
      <c r="A21" s="32"/>
      <c r="B21" s="131">
        <f t="shared" si="0"/>
        <v>2028</v>
      </c>
      <c r="C21" s="35">
        <f>INDEX([3]SourceEnergy!$S$20:$T$40,MATCH($B21,[3]SourceEnergy!$R$20:$R$40,0),MATCH(C$7,[3]SourceEnergy!$S$12:$T$12,0))/10</f>
        <v>3.241377877824307</v>
      </c>
      <c r="D21" s="35">
        <f>INDEX([3]SourceEnergy!$S$20:$T$40,MATCH($B21,[3]SourceEnergy!$R$20:$R$40,0),MATCH(D$7,[3]SourceEnergy!$S$12:$T$12,0))/10</f>
        <v>4.2493035676721069</v>
      </c>
      <c r="E21" s="35">
        <f>INDEX([3]SourceEnergy!$U$20:$V$40,MATCH($B21,[3]SourceEnergy!$R$20:$R$40,0),MATCH(E$7,[3]SourceEnergy!$U$12:$V$12,0))/10</f>
        <v>3.0268765924606469</v>
      </c>
      <c r="F21" s="35">
        <f>INDEX([3]SourceEnergy!$U$20:$V$40,MATCH($B21,[3]SourceEnergy!$R$20:$R$40,0),MATCH(F$7,[3]SourceEnergy!$U$12:$V$12,0))/10</f>
        <v>3.5066983830148786</v>
      </c>
      <c r="G21" s="35"/>
      <c r="H21" s="58"/>
    </row>
    <row r="22" spans="1:14" x14ac:dyDescent="0.2">
      <c r="A22" s="32"/>
      <c r="B22" s="131">
        <f t="shared" si="0"/>
        <v>2029</v>
      </c>
      <c r="C22" s="35">
        <f>INDEX([3]SourceEnergy!$S$20:$T$40,MATCH($B22,[3]SourceEnergy!$R$20:$R$40,0),MATCH(C$7,[3]SourceEnergy!$S$12:$T$12,0))/10</f>
        <v>3.6314122205650521</v>
      </c>
      <c r="D22" s="35">
        <f>INDEX([3]SourceEnergy!$S$20:$T$40,MATCH($B22,[3]SourceEnergy!$R$20:$R$40,0),MATCH(D$7,[3]SourceEnergy!$S$12:$T$12,0))/10</f>
        <v>4.9469119309383149</v>
      </c>
      <c r="E22" s="35">
        <f>INDEX([3]SourceEnergy!$U$20:$V$40,MATCH($B22,[3]SourceEnergy!$R$20:$R$40,0),MATCH(E$7,[3]SourceEnergy!$U$12:$V$12,0))/10</f>
        <v>3.3934802232290422</v>
      </c>
      <c r="F22" s="35">
        <f>INDEX([3]SourceEnergy!$U$20:$V$40,MATCH($B22,[3]SourceEnergy!$R$20:$R$40,0),MATCH(F$7,[3]SourceEnergy!$U$12:$V$12,0))/10</f>
        <v>4.0886750341404667</v>
      </c>
      <c r="G22" s="35"/>
      <c r="H22" s="58"/>
    </row>
    <row r="23" spans="1:14" x14ac:dyDescent="0.2">
      <c r="A23" s="32"/>
      <c r="B23" s="131">
        <f t="shared" si="0"/>
        <v>2030</v>
      </c>
      <c r="C23" s="35">
        <f>INDEX([3]SourceEnergy!$S$20:$T$40,MATCH($B23,[3]SourceEnergy!$R$20:$R$40,0),MATCH(C$7,[3]SourceEnergy!$S$12:$T$12,0))/10</f>
        <v>4.1176747398086206</v>
      </c>
      <c r="D23" s="35">
        <f>INDEX([3]SourceEnergy!$S$20:$T$40,MATCH($B23,[3]SourceEnergy!$R$20:$R$40,0),MATCH(D$7,[3]SourceEnergy!$S$12:$T$12,0))/10</f>
        <v>5.6372029441007614</v>
      </c>
      <c r="E23" s="35">
        <f>INDEX([3]SourceEnergy!$U$20:$V$40,MATCH($B23,[3]SourceEnergy!$R$20:$R$40,0),MATCH(E$7,[3]SourceEnergy!$U$12:$V$12,0))/10</f>
        <v>3.8687907507578507</v>
      </c>
      <c r="F23" s="35">
        <f>INDEX([3]SourceEnergy!$U$20:$V$40,MATCH($B23,[3]SourceEnergy!$R$20:$R$40,0),MATCH(F$7,[3]SourceEnergy!$U$12:$V$12,0))/10</f>
        <v>4.6428608748878535</v>
      </c>
      <c r="G23" s="35"/>
      <c r="H23" s="58"/>
    </row>
    <row r="24" spans="1:14" x14ac:dyDescent="0.2">
      <c r="A24" s="32"/>
      <c r="B24" s="131">
        <f t="shared" si="0"/>
        <v>2031</v>
      </c>
      <c r="C24" s="35">
        <f>INDEX([3]SourceEnergy!$S$20:$T$40,MATCH($B24,[3]SourceEnergy!$R$20:$R$40,0),MATCH(C$7,[3]SourceEnergy!$S$12:$T$12,0))/10</f>
        <v>4.1538495504547308</v>
      </c>
      <c r="D24" s="35">
        <f>INDEX([3]SourceEnergy!$S$20:$T$40,MATCH($B24,[3]SourceEnergy!$R$20:$R$40,0),MATCH(D$7,[3]SourceEnergy!$S$12:$T$12,0))/10</f>
        <v>5.6880145269421805</v>
      </c>
      <c r="E24" s="35">
        <f>INDEX([3]SourceEnergy!$U$20:$V$40,MATCH($B24,[3]SourceEnergy!$R$20:$R$40,0),MATCH(E$7,[3]SourceEnergy!$U$12:$V$12,0))/10</f>
        <v>3.9154344858300298</v>
      </c>
      <c r="F24" s="35">
        <f>INDEX([3]SourceEnergy!$U$20:$V$40,MATCH($B24,[3]SourceEnergy!$R$20:$R$40,0),MATCH(F$7,[3]SourceEnergy!$U$12:$V$12,0))/10</f>
        <v>4.7106833870451101</v>
      </c>
      <c r="G24" s="35"/>
      <c r="H24" s="58"/>
    </row>
    <row r="25" spans="1:14" x14ac:dyDescent="0.2">
      <c r="A25" s="32"/>
      <c r="B25" s="131">
        <f t="shared" si="0"/>
        <v>2032</v>
      </c>
      <c r="C25" s="35">
        <f>INDEX([3]SourceEnergy!$S$20:$T$40,MATCH($B25,[3]SourceEnergy!$R$20:$R$40,0),MATCH(C$7,[3]SourceEnergy!$S$12:$T$12,0))/10</f>
        <v>4.5062268051793755</v>
      </c>
      <c r="D25" s="35">
        <f>INDEX([3]SourceEnergy!$S$20:$T$40,MATCH($B25,[3]SourceEnergy!$R$20:$R$40,0),MATCH(D$7,[3]SourceEnergy!$S$12:$T$12,0))/10</f>
        <v>6.0569548026917639</v>
      </c>
      <c r="E25" s="35">
        <f>INDEX([3]SourceEnergy!$U$20:$V$40,MATCH($B25,[3]SourceEnergy!$R$20:$R$40,0),MATCH(E$7,[3]SourceEnergy!$U$12:$V$12,0))/10</f>
        <v>4.2354613468634792</v>
      </c>
      <c r="F25" s="35">
        <f>INDEX([3]SourceEnergy!$U$20:$V$40,MATCH($B25,[3]SourceEnergy!$R$20:$R$40,0),MATCH(F$7,[3]SourceEnergy!$U$12:$V$12,0))/10</f>
        <v>5.1072887731292811</v>
      </c>
      <c r="G25" s="35"/>
      <c r="H25" s="58"/>
    </row>
    <row r="26" spans="1:14" x14ac:dyDescent="0.2">
      <c r="A26" s="32"/>
      <c r="B26" s="131">
        <f t="shared" si="0"/>
        <v>2033</v>
      </c>
      <c r="C26" s="35">
        <f>INDEX([3]SourceEnergy!$S$20:$T$40,MATCH($B26,[3]SourceEnergy!$R$20:$R$40,0),MATCH(C$7,[3]SourceEnergy!$S$12:$T$12,0))/10</f>
        <v>4.5861595710826517</v>
      </c>
      <c r="D26" s="35">
        <f>INDEX([3]SourceEnergy!$S$20:$T$40,MATCH($B26,[3]SourceEnergy!$R$20:$R$40,0),MATCH(D$7,[3]SourceEnergy!$S$12:$T$12,0))/10</f>
        <v>6.1303101734559329</v>
      </c>
      <c r="E26" s="35">
        <f>INDEX([3]SourceEnergy!$U$20:$V$40,MATCH($B26,[3]SourceEnergy!$R$20:$R$40,0),MATCH(E$7,[3]SourceEnergy!$U$12:$V$12,0))/10</f>
        <v>4.3448332681571973</v>
      </c>
      <c r="F26" s="35">
        <f>INDEX([3]SourceEnergy!$U$20:$V$40,MATCH($B26,[3]SourceEnergy!$R$20:$R$40,0),MATCH(F$7,[3]SourceEnergy!$U$12:$V$12,0))/10</f>
        <v>5.2214857047747563</v>
      </c>
      <c r="G26" s="35"/>
      <c r="H26" s="58"/>
    </row>
    <row r="27" spans="1:14" x14ac:dyDescent="0.2">
      <c r="A27" s="32"/>
      <c r="B27" s="131">
        <f t="shared" si="0"/>
        <v>2034</v>
      </c>
      <c r="C27" s="35">
        <f>INDEX([3]SourceEnergy!$S$20:$T$40,MATCH($B27,[3]SourceEnergy!$R$20:$R$40,0),MATCH(C$7,[3]SourceEnergy!$S$12:$T$12,0))/10</f>
        <v>4.5660216539154721</v>
      </c>
      <c r="D27" s="35">
        <f>INDEX([3]SourceEnergy!$S$20:$T$40,MATCH($B27,[3]SourceEnergy!$R$20:$R$40,0),MATCH(D$7,[3]SourceEnergy!$S$12:$T$12,0))/10</f>
        <v>6.1868165159680313</v>
      </c>
      <c r="E27" s="35">
        <f>INDEX([3]SourceEnergy!$U$20:$V$40,MATCH($B27,[3]SourceEnergy!$R$20:$R$40,0),MATCH(E$7,[3]SourceEnergy!$U$12:$V$12,0))/10</f>
        <v>4.3157397169474612</v>
      </c>
      <c r="F27" s="35">
        <f>INDEX([3]SourceEnergy!$U$20:$V$40,MATCH($B27,[3]SourceEnergy!$R$20:$R$40,0),MATCH(F$7,[3]SourceEnergy!$U$12:$V$12,0))/10</f>
        <v>5.2861478880597854</v>
      </c>
      <c r="G27" s="35"/>
      <c r="H27" s="58"/>
    </row>
    <row r="28" spans="1:14" x14ac:dyDescent="0.2">
      <c r="A28" s="32"/>
      <c r="B28" s="131">
        <f t="shared" si="0"/>
        <v>2035</v>
      </c>
      <c r="C28" s="35">
        <f>INDEX([3]SourceEnergy!$S$20:$T$40,MATCH($B28,[3]SourceEnergy!$R$20:$R$40,0),MATCH(C$7,[3]SourceEnergy!$S$12:$T$12,0))/10</f>
        <v>4.9549472534693439</v>
      </c>
      <c r="D28" s="35">
        <f>INDEX([3]SourceEnergy!$S$20:$T$40,MATCH($B28,[3]SourceEnergy!$R$20:$R$40,0),MATCH(D$7,[3]SourceEnergy!$S$12:$T$12,0))/10</f>
        <v>6.5154267851936307</v>
      </c>
      <c r="E28" s="35">
        <f>INDEX([3]SourceEnergy!$U$20:$V$40,MATCH($B28,[3]SourceEnergy!$R$20:$R$40,0),MATCH(E$7,[3]SourceEnergy!$U$12:$V$12,0))/10</f>
        <v>4.6954079299428049</v>
      </c>
      <c r="F28" s="35">
        <f>INDEX([3]SourceEnergy!$U$20:$V$40,MATCH($B28,[3]SourceEnergy!$R$20:$R$40,0),MATCH(F$7,[3]SourceEnergy!$U$12:$V$12,0))/10</f>
        <v>5.5471503250427308</v>
      </c>
      <c r="G28" s="35"/>
      <c r="H28" s="58"/>
    </row>
    <row r="29" spans="1:14" x14ac:dyDescent="0.2">
      <c r="A29" s="32"/>
      <c r="B29" s="131">
        <f t="shared" si="0"/>
        <v>2036</v>
      </c>
      <c r="C29" s="35">
        <f>INDEX([3]SourceEnergy!$S$20:$T$40,MATCH($B29,[3]SourceEnergy!$R$20:$R$40,0),MATCH(C$7,[3]SourceEnergy!$S$12:$T$12,0))/10</f>
        <v>5.1090197765495464</v>
      </c>
      <c r="D29" s="35">
        <f>INDEX([3]SourceEnergy!$S$20:$T$40,MATCH($B29,[3]SourceEnergy!$R$20:$R$40,0),MATCH(D$7,[3]SourceEnergy!$S$12:$T$12,0))/10</f>
        <v>6.7655200752933382</v>
      </c>
      <c r="E29" s="35">
        <f>INDEX([3]SourceEnergy!$U$20:$V$40,MATCH($B29,[3]SourceEnergy!$R$20:$R$40,0),MATCH(E$7,[3]SourceEnergy!$U$12:$V$12,0))/10</f>
        <v>4.8323438160743279</v>
      </c>
      <c r="F29" s="35">
        <f>INDEX([3]SourceEnergy!$U$20:$V$40,MATCH($B29,[3]SourceEnergy!$R$20:$R$40,0),MATCH(F$7,[3]SourceEnergy!$U$12:$V$12,0))/10</f>
        <v>5.7273951142732908</v>
      </c>
      <c r="G29" s="35"/>
      <c r="H29" s="58"/>
    </row>
    <row r="30" spans="1:14" x14ac:dyDescent="0.2">
      <c r="A30" s="32"/>
      <c r="B30" s="131">
        <f t="shared" si="0"/>
        <v>2037</v>
      </c>
      <c r="C30" s="35">
        <f>INDEX([3]SourceEnergy!$S$20:$T$40,MATCH($B30,[3]SourceEnergy!$R$20:$R$40,0),MATCH(C$7,[3]SourceEnergy!$S$12:$T$12,0))/10</f>
        <v>5.1981759677426833</v>
      </c>
      <c r="D30" s="35">
        <f>INDEX([3]SourceEnergy!$S$20:$T$40,MATCH($B30,[3]SourceEnergy!$R$20:$R$40,0),MATCH(D$7,[3]SourceEnergy!$S$12:$T$12,0))/10</f>
        <v>6.8768282902987767</v>
      </c>
      <c r="E30" s="35">
        <f>INDEX([3]SourceEnergy!$U$20:$V$40,MATCH($B30,[3]SourceEnergy!$R$20:$R$40,0),MATCH(E$7,[3]SourceEnergy!$U$12:$V$12,0))/10</f>
        <v>4.9481590622034277</v>
      </c>
      <c r="F30" s="35">
        <f>INDEX([3]SourceEnergy!$U$20:$V$40,MATCH($B30,[3]SourceEnergy!$R$20:$R$40,0),MATCH(F$7,[3]SourceEnergy!$U$12:$V$12,0))/10</f>
        <v>5.8696150506626399</v>
      </c>
      <c r="G30" s="35"/>
      <c r="H30" s="58"/>
    </row>
    <row r="31" spans="1:14" x14ac:dyDescent="0.2">
      <c r="A31" s="32"/>
      <c r="B31" s="33"/>
      <c r="C31" s="32"/>
      <c r="D31" s="32"/>
      <c r="E31" s="32"/>
      <c r="F31" s="32"/>
      <c r="G31" s="32"/>
      <c r="H31" s="129"/>
      <c r="I31" s="33"/>
      <c r="J31" s="33"/>
      <c r="K31" s="33"/>
      <c r="L31" s="130"/>
      <c r="M31" s="130"/>
      <c r="N31" s="130"/>
    </row>
    <row r="32" spans="1:14" x14ac:dyDescent="0.2">
      <c r="A32" s="32"/>
      <c r="C32" s="30" t="s">
        <v>181</v>
      </c>
      <c r="D32" s="30"/>
      <c r="E32" s="51" t="s">
        <v>31</v>
      </c>
      <c r="F32" s="51"/>
      <c r="G32" s="30"/>
      <c r="H32" s="129"/>
      <c r="I32" s="33"/>
      <c r="J32" s="33"/>
      <c r="K32" s="33"/>
      <c r="M32" s="130"/>
      <c r="N32" s="32"/>
    </row>
    <row r="33" spans="1:14" ht="14.25" x14ac:dyDescent="0.35">
      <c r="A33" s="32"/>
      <c r="B33" s="38"/>
      <c r="C33" s="31" t="s">
        <v>10</v>
      </c>
      <c r="D33" s="31" t="s">
        <v>11</v>
      </c>
      <c r="E33" s="31" t="s">
        <v>10</v>
      </c>
      <c r="F33" s="31" t="s">
        <v>11</v>
      </c>
      <c r="G33" s="31"/>
      <c r="H33" s="129"/>
      <c r="L33" s="130"/>
      <c r="M33" s="130"/>
      <c r="N33" s="32"/>
    </row>
    <row r="34" spans="1:14" ht="36" customHeight="1" x14ac:dyDescent="0.2">
      <c r="B34" s="39" t="s">
        <v>113</v>
      </c>
      <c r="C34" s="40">
        <f>-PMT('Table 3 Comparison'!$Q$37,COUNT(C11:C25),NPV('Table 3 Comparison'!$Q$37,C11:C25))</f>
        <v>2.4812000593745203</v>
      </c>
      <c r="D34" s="40">
        <f>-PMT('Table 3 Comparison'!$Q$37,COUNT(D11:D25),NPV('Table 3 Comparison'!$Q$37,D11:D25))</f>
        <v>3.3379311172585613</v>
      </c>
      <c r="E34" s="40">
        <f>-PMT('Table 3 Comparison'!$Q$37,COUNT(E11:E25),NPV('Table 3 Comparison'!$Q$37,E11:E25))</f>
        <v>2.2552757213497201</v>
      </c>
      <c r="F34" s="40">
        <f>-PMT('Table 3 Comparison'!$Q$37,COUNT(F11:F25),NPV('Table 3 Comparison'!$Q$37,F11:F25))</f>
        <v>2.5483176063734874</v>
      </c>
      <c r="G34" s="40"/>
    </row>
    <row r="35" spans="1:14" ht="28.5" hidden="1" customHeight="1" x14ac:dyDescent="0.2">
      <c r="A35" s="38"/>
      <c r="B35" s="39" t="s">
        <v>114</v>
      </c>
      <c r="C35" s="40">
        <f>-PMT('Table 3 Comparison'!$Q$37,COUNT(C12:C26),NPV('Table 3 Comparison'!$Q$37,C12:C26))</f>
        <v>2.6398330945727819</v>
      </c>
      <c r="D35" s="40">
        <f>-PMT('Table 3 Comparison'!$Q$37,COUNT(D12:D26),NPV('Table 3 Comparison'!$Q$37,D12:D26))</f>
        <v>3.5647094637690779</v>
      </c>
      <c r="E35" s="40">
        <f>-PMT('Table 3 Comparison'!$Q$37,COUNT(E12:E26),NPV('Table 3 Comparison'!$Q$37,E12:E26))</f>
        <v>2.4062631293261005</v>
      </c>
      <c r="F35" s="40">
        <f>-PMT('Table 3 Comparison'!$Q$37,COUNT(F12:F26),NPV('Table 3 Comparison'!$Q$37,F12:F26))</f>
        <v>2.7790066277644994</v>
      </c>
    </row>
    <row r="36" spans="1:14" ht="24.75" hidden="1" customHeight="1" x14ac:dyDescent="0.2">
      <c r="A36" s="42"/>
      <c r="B36" s="39" t="s">
        <v>115</v>
      </c>
      <c r="C36" s="40">
        <f>-PMT('Table 3 Comparison'!$Q$37,COUNT(C13:C27),NPV('Table 3 Comparison'!$Q$37,C13:C27))</f>
        <v>2.7982018932410839</v>
      </c>
      <c r="D36" s="40">
        <f>-PMT('Table 3 Comparison'!$Q$37,COUNT(D13:D27),NPV('Table 3 Comparison'!$Q$37,D13:D27))</f>
        <v>3.8051732551926065</v>
      </c>
      <c r="E36" s="40">
        <f>-PMT('Table 3 Comparison'!$Q$37,COUNT(E13:E27),NPV('Table 3 Comparison'!$Q$37,E13:E27))</f>
        <v>2.5642279836565409</v>
      </c>
      <c r="F36" s="40">
        <f>-PMT('Table 3 Comparison'!$Q$37,COUNT(F13:F27),NPV('Table 3 Comparison'!$Q$37,F13:F27))</f>
        <v>3.0214251101714296</v>
      </c>
    </row>
    <row r="37" spans="1:14" ht="12.75" x14ac:dyDescent="0.2">
      <c r="A37" s="42"/>
      <c r="B37" s="17"/>
      <c r="C37" s="17"/>
      <c r="D37" s="17"/>
      <c r="E37" s="17"/>
      <c r="F37" s="43"/>
      <c r="G37" s="43"/>
      <c r="I37" s="28"/>
      <c r="J37" s="28"/>
      <c r="K37" s="28"/>
      <c r="M37" s="42"/>
      <c r="N37" s="42"/>
    </row>
    <row r="38" spans="1:14" ht="12.75" x14ac:dyDescent="0.2">
      <c r="A38" s="42"/>
      <c r="B38" s="50"/>
      <c r="C38" s="50"/>
      <c r="D38" s="45"/>
      <c r="E38" s="45"/>
      <c r="F38" s="43"/>
      <c r="G38" s="43"/>
      <c r="I38" s="28"/>
      <c r="J38" s="28"/>
      <c r="K38" s="28"/>
      <c r="M38" s="42"/>
      <c r="N38" s="42"/>
    </row>
    <row r="39" spans="1:14" ht="12.75" x14ac:dyDescent="0.2">
      <c r="A39" s="32"/>
      <c r="B39" s="50"/>
      <c r="C39" s="50"/>
      <c r="D39" s="45"/>
      <c r="E39" s="45"/>
      <c r="F39" s="32"/>
      <c r="G39" s="32"/>
      <c r="I39" s="38"/>
      <c r="J39" s="38"/>
      <c r="K39" s="38"/>
      <c r="L39" s="32"/>
      <c r="M39" s="32"/>
      <c r="N39" s="32"/>
    </row>
    <row r="40" spans="1:14" ht="12.75" x14ac:dyDescent="0.2">
      <c r="A40" s="41"/>
      <c r="B40" s="50"/>
      <c r="C40" s="50"/>
      <c r="D40" s="45"/>
      <c r="E40" s="45"/>
      <c r="L40" s="130"/>
      <c r="N40" s="41"/>
    </row>
    <row r="41" spans="1:14" ht="12.75" x14ac:dyDescent="0.2">
      <c r="A41" s="41"/>
      <c r="B41" s="50"/>
      <c r="C41" s="50"/>
      <c r="D41" s="45"/>
      <c r="E41" s="45"/>
      <c r="N41" s="41"/>
    </row>
  </sheetData>
  <printOptions horizontalCentered="1"/>
  <pageMargins left="0.25" right="0.25" top="0.75" bottom="0.75" header="0.3" footer="0.3"/>
  <pageSetup orientation="landscape" copies="3" r:id="rId1"/>
  <headerFooter alignWithMargins="0">
    <oddFooter>&amp;L&amp;8NPC Group - &amp;F   ( &amp;A )&amp;C &amp;R 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V42"/>
  <sheetViews>
    <sheetView showGridLines="0" view="pageBreakPreview" zoomScale="6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11" sqref="C11:F34"/>
    </sheetView>
  </sheetViews>
  <sheetFormatPr defaultColWidth="9.33203125" defaultRowHeight="12" x14ac:dyDescent="0.2"/>
  <cols>
    <col min="1" max="1" width="2.83203125" style="27" customWidth="1"/>
    <col min="2" max="2" width="22.6640625" style="27" customWidth="1"/>
    <col min="3" max="6" width="18.83203125" style="27" customWidth="1"/>
    <col min="7" max="7" width="17" style="27" customWidth="1"/>
    <col min="8" max="8" width="9.33203125" style="27"/>
    <col min="9" max="9" width="11.6640625" style="237" customWidth="1"/>
    <col min="10" max="10" width="3.5" style="237" customWidth="1"/>
    <col min="11" max="11" width="17.1640625" style="237" customWidth="1"/>
    <col min="12" max="12" width="12.5" style="237" customWidth="1"/>
    <col min="13" max="13" width="11" style="237" customWidth="1"/>
    <col min="14" max="14" width="3.83203125" style="237" customWidth="1"/>
    <col min="15" max="16" width="12.5" style="237" customWidth="1"/>
    <col min="17" max="17" width="3.83203125" style="237" customWidth="1"/>
    <col min="18" max="19" width="12.5" style="237" customWidth="1"/>
    <col min="20" max="20" width="3.33203125" style="237" customWidth="1"/>
    <col min="21" max="22" width="12.5" style="237" customWidth="1"/>
    <col min="23" max="16384" width="9.33203125" style="27"/>
  </cols>
  <sheetData>
    <row r="1" spans="1:22" x14ac:dyDescent="0.2">
      <c r="A1" s="2"/>
      <c r="B1" s="2"/>
      <c r="C1" s="2"/>
      <c r="D1" s="2"/>
      <c r="E1" s="2"/>
      <c r="F1" s="2"/>
      <c r="G1" s="2"/>
      <c r="I1" s="236"/>
      <c r="J1" s="236"/>
    </row>
    <row r="2" spans="1:22" x14ac:dyDescent="0.2">
      <c r="A2" s="2"/>
      <c r="B2" s="2" t="s">
        <v>21</v>
      </c>
      <c r="C2" s="2"/>
      <c r="D2" s="2"/>
      <c r="E2" s="2"/>
      <c r="F2" s="2"/>
      <c r="G2" s="2"/>
      <c r="I2" s="236"/>
      <c r="J2" s="236"/>
    </row>
    <row r="3" spans="1:22" x14ac:dyDescent="0.2">
      <c r="B3" s="48"/>
      <c r="I3" s="236"/>
      <c r="J3" s="236"/>
    </row>
    <row r="4" spans="1:22" x14ac:dyDescent="0.2">
      <c r="A4" s="28"/>
      <c r="B4" s="27" t="s">
        <v>55</v>
      </c>
      <c r="C4" s="28"/>
      <c r="D4" s="28"/>
      <c r="E4" s="28"/>
      <c r="F4" s="28"/>
      <c r="G4" s="28"/>
      <c r="I4" s="238"/>
      <c r="J4" s="238"/>
      <c r="L4" s="239"/>
      <c r="O4" s="239"/>
      <c r="R4" s="239"/>
      <c r="U4" s="239"/>
    </row>
    <row r="5" spans="1:22" x14ac:dyDescent="0.2">
      <c r="A5" s="28"/>
      <c r="B5" s="28"/>
    </row>
    <row r="6" spans="1:22" x14ac:dyDescent="0.2">
      <c r="A6" s="28"/>
      <c r="B6" s="29" t="s">
        <v>32</v>
      </c>
      <c r="C6" s="30" t="s">
        <v>181</v>
      </c>
      <c r="D6" s="30"/>
      <c r="E6" s="51" t="s">
        <v>116</v>
      </c>
      <c r="F6" s="30"/>
      <c r="G6" s="30"/>
      <c r="J6" s="240"/>
      <c r="L6" s="237" t="s">
        <v>182</v>
      </c>
      <c r="O6" s="237" t="s">
        <v>183</v>
      </c>
      <c r="R6" s="237" t="s">
        <v>184</v>
      </c>
      <c r="U6" s="237" t="s">
        <v>185</v>
      </c>
    </row>
    <row r="7" spans="1:22" ht="14.25" x14ac:dyDescent="0.35">
      <c r="A7" s="28"/>
      <c r="B7" s="29" t="s">
        <v>30</v>
      </c>
      <c r="C7" s="31" t="s">
        <v>10</v>
      </c>
      <c r="D7" s="31" t="s">
        <v>11</v>
      </c>
      <c r="E7" s="31" t="s">
        <v>10</v>
      </c>
      <c r="F7" s="31" t="s">
        <v>11</v>
      </c>
      <c r="G7" s="31"/>
      <c r="I7" s="241" t="s">
        <v>187</v>
      </c>
      <c r="J7" s="242"/>
      <c r="K7" s="243"/>
      <c r="L7" s="243" t="s">
        <v>186</v>
      </c>
      <c r="M7" s="243"/>
      <c r="O7" s="243" t="s">
        <v>186</v>
      </c>
      <c r="R7" s="243" t="s">
        <v>186</v>
      </c>
      <c r="U7" s="243" t="s">
        <v>186</v>
      </c>
    </row>
    <row r="8" spans="1:22" x14ac:dyDescent="0.2">
      <c r="A8" s="32"/>
      <c r="B8" s="33"/>
      <c r="C8" s="34"/>
      <c r="D8" s="34"/>
      <c r="E8" s="34"/>
      <c r="F8" s="34"/>
      <c r="G8" s="34"/>
      <c r="I8" s="244"/>
      <c r="J8" s="245"/>
      <c r="L8" s="246"/>
      <c r="O8" s="246"/>
      <c r="R8" s="246"/>
      <c r="U8" s="246"/>
    </row>
    <row r="9" spans="1:22" x14ac:dyDescent="0.2">
      <c r="A9" s="32"/>
      <c r="B9" s="33"/>
      <c r="C9" s="34"/>
      <c r="D9" s="34"/>
      <c r="E9" s="34"/>
      <c r="F9" s="34"/>
      <c r="G9" s="34"/>
      <c r="H9" s="129"/>
      <c r="I9" s="244"/>
      <c r="J9" s="245"/>
      <c r="L9" s="246"/>
      <c r="O9" s="246"/>
      <c r="R9" s="246"/>
      <c r="U9" s="246"/>
    </row>
    <row r="10" spans="1:22" hidden="1" x14ac:dyDescent="0.2">
      <c r="A10" s="32"/>
      <c r="B10" s="131">
        <f>[4]SourceEnergy!$R$20</f>
        <v>2017</v>
      </c>
      <c r="C10" s="35">
        <f>INDEX([5]SourceEnergy!$S$20:$T$40,MATCH($B10,[5]SourceEnergy!$R$20:$R$40,0),MATCH(C$7,[5]SourceEnergy!$S$12:$T$12,0))/10</f>
        <v>0</v>
      </c>
      <c r="D10" s="35">
        <f>INDEX([5]SourceEnergy!$S$20:$T$40,MATCH($B10,[5]SourceEnergy!$R$20:$R$40,0),MATCH(D$7,[5]SourceEnergy!$S$12:$T$12,0))/10</f>
        <v>0</v>
      </c>
      <c r="E10" s="35">
        <f>INDEX([5]SourceEnergy!$U$20:$V$40,MATCH($B10,[5]SourceEnergy!$R$20:$R$40,0),MATCH(E$7,[5]SourceEnergy!$U$12:$V$12,0))/10</f>
        <v>0</v>
      </c>
      <c r="F10" s="35">
        <f>INDEX([5]SourceEnergy!$U$20:$V$40,MATCH($B10,[5]SourceEnergy!$R$20:$R$40,0),MATCH(F$7,[5]SourceEnergy!$U$12:$V$12,0))/10</f>
        <v>0</v>
      </c>
      <c r="G10" s="34"/>
      <c r="H10" s="129"/>
      <c r="I10" s="244">
        <v>1</v>
      </c>
      <c r="J10" s="245"/>
      <c r="L10" s="260">
        <f>C10*1*$I10</f>
        <v>0</v>
      </c>
      <c r="M10" s="261">
        <f t="shared" ref="M10" si="0">M$34*$I10</f>
        <v>1.9413425526931938</v>
      </c>
      <c r="O10" s="260">
        <f>D10*1*$I10</f>
        <v>0</v>
      </c>
      <c r="P10" s="261">
        <f t="shared" ref="P10" si="1">P$34*$I10</f>
        <v>2.685565156574278</v>
      </c>
      <c r="R10" s="260">
        <f>E10*1*$I10</f>
        <v>0</v>
      </c>
      <c r="S10" s="261">
        <f t="shared" ref="S10" si="2">S$34*$I10</f>
        <v>1.7926246773865333</v>
      </c>
      <c r="U10" s="260">
        <f>F10*1*$I10</f>
        <v>0</v>
      </c>
      <c r="V10" s="261">
        <f t="shared" ref="V10" si="3">V$34*$I10</f>
        <v>2.0714716262360189</v>
      </c>
    </row>
    <row r="11" spans="1:22" x14ac:dyDescent="0.2">
      <c r="A11" s="32"/>
      <c r="B11" s="131">
        <f>B10+1</f>
        <v>2018</v>
      </c>
      <c r="C11" s="35">
        <f>INDEX([5]SourceEnergy!$S$20:$T$40,MATCH($B11,[5]SourceEnergy!$R$20:$R$40,0),MATCH(C$7,[5]SourceEnergy!$S$12:$T$12,0))/10</f>
        <v>1.5263021449671172</v>
      </c>
      <c r="D11" s="35">
        <f>INDEX([5]SourceEnergy!$S$20:$T$40,MATCH($B11,[5]SourceEnergy!$R$20:$R$40,0),MATCH(D$7,[5]SourceEnergy!$S$12:$T$12,0))/10</f>
        <v>1.7577548698935015</v>
      </c>
      <c r="E11" s="35">
        <f>INDEX([5]SourceEnergy!$U$20:$V$40,MATCH($B11,[5]SourceEnergy!$R$20:$R$40,0),MATCH(E$7,[5]SourceEnergy!$U$12:$V$12,0))/10</f>
        <v>1.4565197667532175</v>
      </c>
      <c r="F11" s="35">
        <f>INDEX([5]SourceEnergy!$U$20:$V$40,MATCH($B11,[5]SourceEnergy!$R$20:$R$40,0),MATCH(F$7,[5]SourceEnergy!$U$12:$V$12,0))/10</f>
        <v>1.1099048464509407</v>
      </c>
      <c r="G11" s="34"/>
      <c r="H11" s="129"/>
      <c r="I11" s="245">
        <f>I10-0.005</f>
        <v>0.995</v>
      </c>
      <c r="J11" s="245"/>
      <c r="L11" s="260">
        <f t="shared" ref="L11:L27" si="4">C11*1*$I11</f>
        <v>1.5186706342422815</v>
      </c>
      <c r="M11" s="261">
        <f>M$34*$I11</f>
        <v>1.9316358399297278</v>
      </c>
      <c r="O11" s="260">
        <f t="shared" ref="O11:O27" si="5">D11*1*$I11</f>
        <v>1.748966095544034</v>
      </c>
      <c r="P11" s="261">
        <f>P$34*$I11</f>
        <v>2.6721373307914065</v>
      </c>
      <c r="R11" s="260">
        <f t="shared" ref="R11:R27" si="6">E11*1*$I11</f>
        <v>1.4492371679194513</v>
      </c>
      <c r="S11" s="261">
        <f>S$34*$I11</f>
        <v>1.7836615539996006</v>
      </c>
      <c r="U11" s="260">
        <f t="shared" ref="U11:U27" si="7">F11*1*$I11</f>
        <v>1.1043553222186859</v>
      </c>
      <c r="V11" s="261">
        <f>V$34*$I11</f>
        <v>2.0611142681048387</v>
      </c>
    </row>
    <row r="12" spans="1:22" x14ac:dyDescent="0.2">
      <c r="A12" s="32"/>
      <c r="B12" s="131">
        <f t="shared" ref="B12:B27" si="8">B11+1</f>
        <v>2019</v>
      </c>
      <c r="C12" s="35">
        <f>INDEX([5]SourceEnergy!$S$20:$T$40,MATCH($B12,[5]SourceEnergy!$R$20:$R$40,0),MATCH(C$7,[5]SourceEnergy!$S$12:$T$12,0))/10</f>
        <v>1.5248273525482845</v>
      </c>
      <c r="D12" s="35">
        <f>INDEX([5]SourceEnergy!$S$20:$T$40,MATCH($B12,[5]SourceEnergy!$R$20:$R$40,0),MATCH(D$7,[5]SourceEnergy!$S$12:$T$12,0))/10</f>
        <v>1.7314513560970297</v>
      </c>
      <c r="E12" s="35">
        <f>INDEX([5]SourceEnergy!$U$20:$V$40,MATCH($B12,[5]SourceEnergy!$R$20:$R$40,0),MATCH(E$7,[5]SourceEnergy!$U$12:$V$12,0))/10</f>
        <v>1.3851334244367188</v>
      </c>
      <c r="F12" s="35">
        <f>INDEX([5]SourceEnergy!$U$20:$V$40,MATCH($B12,[5]SourceEnergy!$R$20:$R$40,0),MATCH(F$7,[5]SourceEnergy!$U$12:$V$12,0))/10</f>
        <v>1.0955774273039769</v>
      </c>
      <c r="G12" s="34"/>
      <c r="H12" s="129"/>
      <c r="I12" s="245">
        <f t="shared" ref="I12:I27" si="9">I11-0.005</f>
        <v>0.99</v>
      </c>
      <c r="J12" s="245"/>
      <c r="L12" s="260">
        <f t="shared" si="4"/>
        <v>1.5095790790228016</v>
      </c>
      <c r="M12" s="261">
        <f t="shared" ref="M12:M27" si="10">M$34*$I12</f>
        <v>1.9219291271662617</v>
      </c>
      <c r="O12" s="260">
        <f t="shared" si="5"/>
        <v>1.7141368425360595</v>
      </c>
      <c r="P12" s="261">
        <f t="shared" ref="P12:P27" si="11">P$34*$I12</f>
        <v>2.658709505008535</v>
      </c>
      <c r="R12" s="260">
        <f t="shared" si="6"/>
        <v>1.3712820901923517</v>
      </c>
      <c r="S12" s="261">
        <f t="shared" ref="S12:S27" si="12">S$34*$I12</f>
        <v>1.7746984306126679</v>
      </c>
      <c r="U12" s="260">
        <f t="shared" si="7"/>
        <v>1.0846216530309372</v>
      </c>
      <c r="V12" s="261">
        <f t="shared" ref="V12:V27" si="13">V$34*$I12</f>
        <v>2.0507569099736589</v>
      </c>
    </row>
    <row r="13" spans="1:22" x14ac:dyDescent="0.2">
      <c r="A13" s="32"/>
      <c r="B13" s="131">
        <f t="shared" si="8"/>
        <v>2020</v>
      </c>
      <c r="C13" s="35">
        <f>INDEX([5]SourceEnergy!$S$20:$T$40,MATCH($B13,[5]SourceEnergy!$R$20:$R$40,0),MATCH(C$7,[5]SourceEnergy!$S$12:$T$12,0))/10</f>
        <v>1.183912315314444</v>
      </c>
      <c r="D13" s="35">
        <f>INDEX([5]SourceEnergy!$S$20:$T$40,MATCH($B13,[5]SourceEnergy!$R$20:$R$40,0),MATCH(D$7,[5]SourceEnergy!$S$12:$T$12,0))/10</f>
        <v>1.8234152042937937</v>
      </c>
      <c r="E13" s="35">
        <f>INDEX([5]SourceEnergy!$U$20:$V$40,MATCH($B13,[5]SourceEnergy!$R$20:$R$40,0),MATCH(E$7,[5]SourceEnergy!$U$12:$V$12,0))/10</f>
        <v>1.0181459451517849</v>
      </c>
      <c r="F13" s="35">
        <f>INDEX([5]SourceEnergy!$U$20:$V$40,MATCH($B13,[5]SourceEnergy!$R$20:$R$40,0),MATCH(F$7,[5]SourceEnergy!$U$12:$V$12,0))/10</f>
        <v>1.2849651872842283</v>
      </c>
      <c r="G13" s="34"/>
      <c r="H13" s="129"/>
      <c r="I13" s="245">
        <f t="shared" si="9"/>
        <v>0.98499999999999999</v>
      </c>
      <c r="J13" s="245"/>
      <c r="L13" s="260">
        <f t="shared" si="4"/>
        <v>1.1661536305847273</v>
      </c>
      <c r="M13" s="261">
        <f t="shared" si="10"/>
        <v>1.9122224144027959</v>
      </c>
      <c r="O13" s="260">
        <f t="shared" si="5"/>
        <v>1.7960639762293868</v>
      </c>
      <c r="P13" s="261">
        <f t="shared" si="11"/>
        <v>2.6452816792256639</v>
      </c>
      <c r="R13" s="260">
        <f t="shared" si="6"/>
        <v>1.0028737559745082</v>
      </c>
      <c r="S13" s="261">
        <f t="shared" si="12"/>
        <v>1.7657353072257354</v>
      </c>
      <c r="U13" s="260">
        <f t="shared" si="7"/>
        <v>1.2656907094749648</v>
      </c>
      <c r="V13" s="261">
        <f t="shared" si="13"/>
        <v>2.0403995518424787</v>
      </c>
    </row>
    <row r="14" spans="1:22" x14ac:dyDescent="0.2">
      <c r="A14" s="32"/>
      <c r="B14" s="131">
        <f t="shared" si="8"/>
        <v>2021</v>
      </c>
      <c r="C14" s="35">
        <f>INDEX([5]SourceEnergy!$S$20:$T$40,MATCH($B14,[5]SourceEnergy!$R$20:$R$40,0),MATCH(C$7,[5]SourceEnergy!$S$12:$T$12,0))/10</f>
        <v>1.3445629272348221</v>
      </c>
      <c r="D14" s="35">
        <f>INDEX([5]SourceEnergy!$S$20:$T$40,MATCH($B14,[5]SourceEnergy!$R$20:$R$40,0),MATCH(D$7,[5]SourceEnergy!$S$12:$T$12,0))/10</f>
        <v>1.8361433851693214</v>
      </c>
      <c r="E14" s="35">
        <f>INDEX([5]SourceEnergy!$U$20:$V$40,MATCH($B14,[5]SourceEnergy!$R$20:$R$40,0),MATCH(E$7,[5]SourceEnergy!$U$12:$V$12,0))/10</f>
        <v>1.1744170322850991</v>
      </c>
      <c r="F14" s="35">
        <f>INDEX([5]SourceEnergy!$U$20:$V$40,MATCH($B14,[5]SourceEnergy!$R$20:$R$40,0),MATCH(F$7,[5]SourceEnergy!$U$12:$V$12,0))/10</f>
        <v>1.3570169216147185</v>
      </c>
      <c r="G14" s="34"/>
      <c r="H14" s="129"/>
      <c r="I14" s="245">
        <f t="shared" si="9"/>
        <v>0.98</v>
      </c>
      <c r="J14" s="245"/>
      <c r="L14" s="260">
        <f t="shared" si="4"/>
        <v>1.3176716686901255</v>
      </c>
      <c r="M14" s="261">
        <f t="shared" si="10"/>
        <v>1.9025157016393299</v>
      </c>
      <c r="O14" s="260">
        <f t="shared" si="5"/>
        <v>1.799420517465935</v>
      </c>
      <c r="P14" s="261">
        <f t="shared" si="11"/>
        <v>2.6318538534427924</v>
      </c>
      <c r="R14" s="260">
        <f t="shared" si="6"/>
        <v>1.150928691639397</v>
      </c>
      <c r="S14" s="261">
        <f t="shared" si="12"/>
        <v>1.7567721838388026</v>
      </c>
      <c r="U14" s="260">
        <f t="shared" si="7"/>
        <v>1.3298765831824242</v>
      </c>
      <c r="V14" s="261">
        <f t="shared" si="13"/>
        <v>2.0300421937112985</v>
      </c>
    </row>
    <row r="15" spans="1:22" x14ac:dyDescent="0.2">
      <c r="A15" s="32"/>
      <c r="B15" s="131">
        <f t="shared" si="8"/>
        <v>2022</v>
      </c>
      <c r="C15" s="35">
        <f>INDEX([5]SourceEnergy!$S$20:$T$40,MATCH($B15,[5]SourceEnergy!$R$20:$R$40,0),MATCH(C$7,[5]SourceEnergy!$S$12:$T$12,0))/10</f>
        <v>1.4209337206397383</v>
      </c>
      <c r="D15" s="35">
        <f>INDEX([5]SourceEnergy!$S$20:$T$40,MATCH($B15,[5]SourceEnergy!$R$20:$R$40,0),MATCH(D$7,[5]SourceEnergy!$S$12:$T$12,0))/10</f>
        <v>1.9595202703393408</v>
      </c>
      <c r="E15" s="35">
        <f>INDEX([5]SourceEnergy!$U$20:$V$40,MATCH($B15,[5]SourceEnergy!$R$20:$R$40,0),MATCH(E$7,[5]SourceEnergy!$U$12:$V$12,0))/10</f>
        <v>1.255251971020841</v>
      </c>
      <c r="F15" s="35">
        <f>INDEX([5]SourceEnergy!$U$20:$V$40,MATCH($B15,[5]SourceEnergy!$R$20:$R$40,0),MATCH(F$7,[5]SourceEnergy!$U$12:$V$12,0))/10</f>
        <v>1.4205398001040217</v>
      </c>
      <c r="G15" s="34"/>
      <c r="H15" s="129"/>
      <c r="I15" s="245">
        <f t="shared" si="9"/>
        <v>0.97499999999999998</v>
      </c>
      <c r="J15" s="245"/>
      <c r="L15" s="260">
        <f t="shared" si="4"/>
        <v>1.3854103776237447</v>
      </c>
      <c r="M15" s="261">
        <f t="shared" si="10"/>
        <v>1.8928089888758639</v>
      </c>
      <c r="O15" s="260">
        <f t="shared" si="5"/>
        <v>1.9105322635808573</v>
      </c>
      <c r="P15" s="261">
        <f t="shared" si="11"/>
        <v>2.6184260276599209</v>
      </c>
      <c r="R15" s="260">
        <f t="shared" si="6"/>
        <v>1.2238706717453198</v>
      </c>
      <c r="S15" s="261">
        <f t="shared" si="12"/>
        <v>1.7478090604518699</v>
      </c>
      <c r="U15" s="260">
        <f t="shared" si="7"/>
        <v>1.3850263051014211</v>
      </c>
      <c r="V15" s="261">
        <f t="shared" si="13"/>
        <v>2.0196848355801182</v>
      </c>
    </row>
    <row r="16" spans="1:22" x14ac:dyDescent="0.2">
      <c r="A16" s="32"/>
      <c r="B16" s="131">
        <f t="shared" si="8"/>
        <v>2023</v>
      </c>
      <c r="C16" s="35">
        <f>INDEX([5]SourceEnergy!$S$20:$T$40,MATCH($B16,[5]SourceEnergy!$R$20:$R$40,0),MATCH(C$7,[5]SourceEnergy!$S$12:$T$12,0))/10</f>
        <v>1.4832104279445106</v>
      </c>
      <c r="D16" s="35">
        <f>INDEX([5]SourceEnergy!$S$20:$T$40,MATCH($B16,[5]SourceEnergy!$R$20:$R$40,0),MATCH(D$7,[5]SourceEnergy!$S$12:$T$12,0))/10</f>
        <v>2.2734225615520165</v>
      </c>
      <c r="E16" s="35">
        <f>INDEX([5]SourceEnergy!$U$20:$V$40,MATCH($B16,[5]SourceEnergy!$R$20:$R$40,0),MATCH(E$7,[5]SourceEnergy!$U$12:$V$12,0))/10</f>
        <v>1.3305959892830299</v>
      </c>
      <c r="F16" s="35">
        <f>INDEX([5]SourceEnergy!$U$20:$V$40,MATCH($B16,[5]SourceEnergy!$R$20:$R$40,0),MATCH(F$7,[5]SourceEnergy!$U$12:$V$12,0))/10</f>
        <v>1.6825461519628426</v>
      </c>
      <c r="G16" s="34"/>
      <c r="H16" s="129"/>
      <c r="I16" s="245">
        <f t="shared" si="9"/>
        <v>0.97</v>
      </c>
      <c r="J16" s="245"/>
      <c r="L16" s="260">
        <f t="shared" si="4"/>
        <v>1.4387141151061753</v>
      </c>
      <c r="M16" s="261">
        <f t="shared" si="10"/>
        <v>1.8831022761123979</v>
      </c>
      <c r="O16" s="260">
        <f t="shared" si="5"/>
        <v>2.205219884705456</v>
      </c>
      <c r="P16" s="261">
        <f t="shared" si="11"/>
        <v>2.6049982018770494</v>
      </c>
      <c r="R16" s="260">
        <f t="shared" si="6"/>
        <v>1.290678109604539</v>
      </c>
      <c r="S16" s="261">
        <f t="shared" si="12"/>
        <v>1.7388459370649372</v>
      </c>
      <c r="U16" s="260">
        <f t="shared" si="7"/>
        <v>1.6320697674039573</v>
      </c>
      <c r="V16" s="261">
        <f t="shared" si="13"/>
        <v>2.0093274774489385</v>
      </c>
    </row>
    <row r="17" spans="1:22" x14ac:dyDescent="0.2">
      <c r="A17" s="32"/>
      <c r="B17" s="131">
        <f t="shared" si="8"/>
        <v>2024</v>
      </c>
      <c r="C17" s="35">
        <f>INDEX([5]SourceEnergy!$S$20:$T$40,MATCH($B17,[5]SourceEnergy!$R$20:$R$40,0),MATCH(C$7,[5]SourceEnergy!$S$12:$T$12,0))/10</f>
        <v>1.5711485834308108</v>
      </c>
      <c r="D17" s="35">
        <f>INDEX([5]SourceEnergy!$S$20:$T$40,MATCH($B17,[5]SourceEnergy!$R$20:$R$40,0),MATCH(D$7,[5]SourceEnergy!$S$12:$T$12,0))/10</f>
        <v>2.4546424349142706</v>
      </c>
      <c r="E17" s="35">
        <f>INDEX([5]SourceEnergy!$U$20:$V$40,MATCH($B17,[5]SourceEnergy!$R$20:$R$40,0),MATCH(E$7,[5]SourceEnergy!$U$12:$V$12,0))/10</f>
        <v>1.4311407141611432</v>
      </c>
      <c r="F17" s="35">
        <f>INDEX([5]SourceEnergy!$U$20:$V$40,MATCH($B17,[5]SourceEnergy!$R$20:$R$40,0),MATCH(F$7,[5]SourceEnergy!$U$12:$V$12,0))/10</f>
        <v>1.8337830091378193</v>
      </c>
      <c r="G17" s="34"/>
      <c r="H17" s="129"/>
      <c r="I17" s="245">
        <f t="shared" si="9"/>
        <v>0.96499999999999997</v>
      </c>
      <c r="J17" s="245"/>
      <c r="L17" s="260">
        <f t="shared" si="4"/>
        <v>1.5161583830107324</v>
      </c>
      <c r="M17" s="261">
        <f t="shared" si="10"/>
        <v>1.8733955633489319</v>
      </c>
      <c r="O17" s="260">
        <f t="shared" si="5"/>
        <v>2.3687299496922711</v>
      </c>
      <c r="P17" s="261">
        <f t="shared" si="11"/>
        <v>2.591570376094178</v>
      </c>
      <c r="R17" s="260">
        <f t="shared" si="6"/>
        <v>1.3810507891655031</v>
      </c>
      <c r="S17" s="261">
        <f t="shared" si="12"/>
        <v>1.7298828136780047</v>
      </c>
      <c r="U17" s="260">
        <f t="shared" si="7"/>
        <v>1.7696006038179957</v>
      </c>
      <c r="V17" s="261">
        <f t="shared" si="13"/>
        <v>1.9989701193177583</v>
      </c>
    </row>
    <row r="18" spans="1:22" x14ac:dyDescent="0.2">
      <c r="A18" s="32"/>
      <c r="B18" s="131">
        <f t="shared" si="8"/>
        <v>2025</v>
      </c>
      <c r="C18" s="35">
        <f>INDEX([5]SourceEnergy!$S$20:$T$40,MATCH($B18,[5]SourceEnergy!$R$20:$R$40,0),MATCH(C$7,[5]SourceEnergy!$S$12:$T$12,0))/10</f>
        <v>1.810622429699589</v>
      </c>
      <c r="D18" s="35">
        <f>INDEX([5]SourceEnergy!$S$20:$T$40,MATCH($B18,[5]SourceEnergy!$R$20:$R$40,0),MATCH(D$7,[5]SourceEnergy!$S$12:$T$12,0))/10</f>
        <v>3.1855700290523616</v>
      </c>
      <c r="E18" s="35">
        <f>INDEX([5]SourceEnergy!$U$20:$V$40,MATCH($B18,[5]SourceEnergy!$R$20:$R$40,0),MATCH(E$7,[5]SourceEnergy!$U$12:$V$12,0))/10</f>
        <v>1.6703062294073281</v>
      </c>
      <c r="F18" s="35">
        <f>INDEX([5]SourceEnergy!$U$20:$V$40,MATCH($B18,[5]SourceEnergy!$R$20:$R$40,0),MATCH(F$7,[5]SourceEnergy!$U$12:$V$12,0))/10</f>
        <v>2.5202925323174847</v>
      </c>
      <c r="G18" s="34"/>
      <c r="H18" s="129"/>
      <c r="I18" s="245">
        <f t="shared" si="9"/>
        <v>0.96</v>
      </c>
      <c r="J18" s="245"/>
      <c r="L18" s="260">
        <f t="shared" si="4"/>
        <v>1.7381975325116052</v>
      </c>
      <c r="M18" s="261">
        <f t="shared" si="10"/>
        <v>1.8636888505854659</v>
      </c>
      <c r="O18" s="260">
        <f t="shared" si="5"/>
        <v>3.0581472278902671</v>
      </c>
      <c r="P18" s="261">
        <f t="shared" si="11"/>
        <v>2.5781425503113069</v>
      </c>
      <c r="R18" s="260">
        <f t="shared" si="6"/>
        <v>1.6034939802310348</v>
      </c>
      <c r="S18" s="261">
        <f t="shared" si="12"/>
        <v>1.7209196902910719</v>
      </c>
      <c r="U18" s="260">
        <f t="shared" si="7"/>
        <v>2.4194808310247851</v>
      </c>
      <c r="V18" s="261">
        <f t="shared" si="13"/>
        <v>1.988612761186578</v>
      </c>
    </row>
    <row r="19" spans="1:22" x14ac:dyDescent="0.2">
      <c r="A19" s="32"/>
      <c r="B19" s="131">
        <f t="shared" si="8"/>
        <v>2026</v>
      </c>
      <c r="C19" s="35">
        <f>INDEX([5]SourceEnergy!$S$20:$T$40,MATCH($B19,[5]SourceEnergy!$R$20:$R$40,0),MATCH(C$7,[5]SourceEnergy!$S$12:$T$12,0))/10</f>
        <v>1.8619852712411309</v>
      </c>
      <c r="D19" s="35">
        <f>INDEX([5]SourceEnergy!$S$20:$T$40,MATCH($B19,[5]SourceEnergy!$R$20:$R$40,0),MATCH(D$7,[5]SourceEnergy!$S$12:$T$12,0))/10</f>
        <v>2.7204567634343104</v>
      </c>
      <c r="E19" s="35">
        <f>INDEX([5]SourceEnergy!$U$20:$V$40,MATCH($B19,[5]SourceEnergy!$R$20:$R$40,0),MATCH(E$7,[5]SourceEnergy!$U$12:$V$12,0))/10</f>
        <v>1.7052026480380456</v>
      </c>
      <c r="F19" s="35">
        <f>INDEX([5]SourceEnergy!$U$20:$V$40,MATCH($B19,[5]SourceEnergy!$R$20:$R$40,0),MATCH(F$7,[5]SourceEnergy!$U$12:$V$12,0))/10</f>
        <v>2.1897803824643258</v>
      </c>
      <c r="G19" s="34"/>
      <c r="H19" s="58"/>
      <c r="I19" s="245">
        <f t="shared" si="9"/>
        <v>0.95499999999999996</v>
      </c>
      <c r="J19" s="245"/>
      <c r="L19" s="260">
        <f t="shared" si="4"/>
        <v>1.77819593403528</v>
      </c>
      <c r="M19" s="261">
        <f t="shared" si="10"/>
        <v>1.8539821378220001</v>
      </c>
      <c r="O19" s="260">
        <f t="shared" si="5"/>
        <v>2.5980362090797664</v>
      </c>
      <c r="P19" s="261">
        <f t="shared" si="11"/>
        <v>2.5647147245284354</v>
      </c>
      <c r="R19" s="260">
        <f t="shared" si="6"/>
        <v>1.6284685288763334</v>
      </c>
      <c r="S19" s="261">
        <f t="shared" si="12"/>
        <v>1.7119565669041392</v>
      </c>
      <c r="U19" s="260">
        <f t="shared" si="7"/>
        <v>2.0912402652534312</v>
      </c>
      <c r="V19" s="261">
        <f t="shared" si="13"/>
        <v>1.978255403055398</v>
      </c>
    </row>
    <row r="20" spans="1:22" x14ac:dyDescent="0.2">
      <c r="A20" s="32"/>
      <c r="B20" s="131">
        <f t="shared" si="8"/>
        <v>2027</v>
      </c>
      <c r="C20" s="35">
        <f>INDEX([5]SourceEnergy!$S$20:$T$40,MATCH($B20,[5]SourceEnergy!$R$20:$R$40,0),MATCH(C$7,[5]SourceEnergy!$S$12:$T$12,0))/10</f>
        <v>1.90090449396715</v>
      </c>
      <c r="D20" s="35">
        <f>INDEX([5]SourceEnergy!$S$20:$T$40,MATCH($B20,[5]SourceEnergy!$R$20:$R$40,0),MATCH(D$7,[5]SourceEnergy!$S$12:$T$12,0))/10</f>
        <v>2.8193420385589012</v>
      </c>
      <c r="E20" s="35">
        <f>INDEX([5]SourceEnergy!$U$20:$V$40,MATCH($B20,[5]SourceEnergy!$R$20:$R$40,0),MATCH(E$7,[5]SourceEnergy!$U$12:$V$12,0))/10</f>
        <v>1.777607315489756</v>
      </c>
      <c r="F20" s="35">
        <f>INDEX([5]SourceEnergy!$U$20:$V$40,MATCH($B20,[5]SourceEnergy!$R$20:$R$40,0),MATCH(F$7,[5]SourceEnergy!$U$12:$V$12,0))/10</f>
        <v>2.2966786322439581</v>
      </c>
      <c r="G20" s="34"/>
      <c r="H20" s="58"/>
      <c r="I20" s="245">
        <f t="shared" si="9"/>
        <v>0.95</v>
      </c>
      <c r="J20" s="245"/>
      <c r="L20" s="260">
        <f t="shared" si="4"/>
        <v>1.8058592692687925</v>
      </c>
      <c r="M20" s="261">
        <f t="shared" si="10"/>
        <v>1.844275425058534</v>
      </c>
      <c r="O20" s="260">
        <f t="shared" si="5"/>
        <v>2.6783749366309562</v>
      </c>
      <c r="P20" s="261">
        <f t="shared" si="11"/>
        <v>2.5512868987455639</v>
      </c>
      <c r="R20" s="260">
        <f t="shared" si="6"/>
        <v>1.6887269497152682</v>
      </c>
      <c r="S20" s="261">
        <f t="shared" si="12"/>
        <v>1.7029934435172065</v>
      </c>
      <c r="U20" s="260">
        <f t="shared" si="7"/>
        <v>2.1818447006317601</v>
      </c>
      <c r="V20" s="261">
        <f t="shared" si="13"/>
        <v>1.9678980449242178</v>
      </c>
    </row>
    <row r="21" spans="1:22" x14ac:dyDescent="0.2">
      <c r="A21" s="32"/>
      <c r="B21" s="131">
        <f t="shared" si="8"/>
        <v>2028</v>
      </c>
      <c r="C21" s="35">
        <f>INDEX([5]SourceEnergy!$S$20:$T$40,MATCH($B21,[5]SourceEnergy!$R$20:$R$40,0),MATCH(C$7,[5]SourceEnergy!$S$12:$T$12,0))/10</f>
        <v>2.4653466637785866</v>
      </c>
      <c r="D21" s="35">
        <f>INDEX([5]SourceEnergy!$S$20:$T$40,MATCH($B21,[5]SourceEnergy!$R$20:$R$40,0),MATCH(D$7,[5]SourceEnergy!$S$12:$T$12,0))/10</f>
        <v>3.334096910196183</v>
      </c>
      <c r="E21" s="35">
        <f>INDEX([5]SourceEnergy!$U$20:$V$40,MATCH($B21,[5]SourceEnergy!$R$20:$R$40,0),MATCH(E$7,[5]SourceEnergy!$U$12:$V$12,0))/10</f>
        <v>2.3769120797318446</v>
      </c>
      <c r="F21" s="35">
        <f>INDEX([5]SourceEnergy!$U$20:$V$40,MATCH($B21,[5]SourceEnergy!$R$20:$R$40,0),MATCH(F$7,[5]SourceEnergy!$U$12:$V$12,0))/10</f>
        <v>2.8451588493456916</v>
      </c>
      <c r="G21" s="35"/>
      <c r="H21" s="58"/>
      <c r="I21" s="245">
        <f t="shared" si="9"/>
        <v>0.94499999999999995</v>
      </c>
      <c r="J21" s="245"/>
      <c r="L21" s="260">
        <f t="shared" si="4"/>
        <v>2.329752597270764</v>
      </c>
      <c r="M21" s="261">
        <f t="shared" si="10"/>
        <v>1.834568712295068</v>
      </c>
      <c r="O21" s="260">
        <f t="shared" si="5"/>
        <v>3.1507215801353929</v>
      </c>
      <c r="P21" s="261">
        <f t="shared" si="11"/>
        <v>2.5378590729626924</v>
      </c>
      <c r="R21" s="260">
        <f t="shared" si="6"/>
        <v>2.2461819153465932</v>
      </c>
      <c r="S21" s="261">
        <f t="shared" si="12"/>
        <v>1.694030320130274</v>
      </c>
      <c r="U21" s="260">
        <f t="shared" si="7"/>
        <v>2.6886751126316786</v>
      </c>
      <c r="V21" s="261">
        <f t="shared" si="13"/>
        <v>1.9575406867930378</v>
      </c>
    </row>
    <row r="22" spans="1:22" x14ac:dyDescent="0.2">
      <c r="A22" s="32"/>
      <c r="B22" s="131">
        <f t="shared" si="8"/>
        <v>2029</v>
      </c>
      <c r="C22" s="35">
        <f>INDEX([5]SourceEnergy!$S$20:$T$40,MATCH($B22,[5]SourceEnergy!$R$20:$R$40,0),MATCH(C$7,[5]SourceEnergy!$S$12:$T$12,0))/10</f>
        <v>2.5286168959630948</v>
      </c>
      <c r="D22" s="35">
        <f>INDEX([5]SourceEnergy!$S$20:$T$40,MATCH($B22,[5]SourceEnergy!$R$20:$R$40,0),MATCH(D$7,[5]SourceEnergy!$S$12:$T$12,0))/10</f>
        <v>3.7331548254944851</v>
      </c>
      <c r="E22" s="35">
        <f>INDEX([5]SourceEnergy!$U$20:$V$40,MATCH($B22,[5]SourceEnergy!$R$20:$R$40,0),MATCH(E$7,[5]SourceEnergy!$U$12:$V$12,0))/10</f>
        <v>2.4228551488274657</v>
      </c>
      <c r="F22" s="35">
        <f>INDEX([5]SourceEnergy!$U$20:$V$40,MATCH($B22,[5]SourceEnergy!$R$20:$R$40,0),MATCH(F$7,[5]SourceEnergy!$U$12:$V$12,0))/10</f>
        <v>3.1570115070595031</v>
      </c>
      <c r="G22" s="35"/>
      <c r="H22" s="58"/>
      <c r="I22" s="245">
        <f t="shared" si="9"/>
        <v>0.94</v>
      </c>
      <c r="J22" s="245"/>
      <c r="L22" s="260">
        <f t="shared" si="4"/>
        <v>2.3768998822053091</v>
      </c>
      <c r="M22" s="261">
        <f t="shared" si="10"/>
        <v>1.824861999531602</v>
      </c>
      <c r="O22" s="260">
        <f t="shared" si="5"/>
        <v>3.509165535964816</v>
      </c>
      <c r="P22" s="261">
        <f t="shared" si="11"/>
        <v>2.5244312471798209</v>
      </c>
      <c r="R22" s="260">
        <f t="shared" si="6"/>
        <v>2.2774838398978177</v>
      </c>
      <c r="S22" s="261">
        <f t="shared" si="12"/>
        <v>1.6850671967433413</v>
      </c>
      <c r="U22" s="260">
        <f t="shared" si="7"/>
        <v>2.9675908166359326</v>
      </c>
      <c r="V22" s="261">
        <f t="shared" si="13"/>
        <v>1.9471833286618576</v>
      </c>
    </row>
    <row r="23" spans="1:22" x14ac:dyDescent="0.2">
      <c r="A23" s="32"/>
      <c r="B23" s="131">
        <f t="shared" si="8"/>
        <v>2030</v>
      </c>
      <c r="C23" s="35">
        <f>INDEX([5]SourceEnergy!$S$20:$T$40,MATCH($B23,[5]SourceEnergy!$R$20:$R$40,0),MATCH(C$7,[5]SourceEnergy!$S$12:$T$12,0))/10</f>
        <v>3.9402721861792855</v>
      </c>
      <c r="D23" s="35">
        <f>INDEX([5]SourceEnergy!$S$20:$T$40,MATCH($B23,[5]SourceEnergy!$R$20:$R$40,0),MATCH(D$7,[5]SourceEnergy!$S$12:$T$12,0))/10</f>
        <v>5.1864381110693705</v>
      </c>
      <c r="E23" s="35">
        <f>INDEX([5]SourceEnergy!$U$20:$V$40,MATCH($B23,[5]SourceEnergy!$R$20:$R$40,0),MATCH(E$7,[5]SourceEnergy!$U$12:$V$12,0))/10</f>
        <v>3.7037678415639208</v>
      </c>
      <c r="F23" s="35">
        <f>INDEX([5]SourceEnergy!$U$20:$V$40,MATCH($B23,[5]SourceEnergy!$R$20:$R$40,0),MATCH(F$7,[5]SourceEnergy!$U$12:$V$12,0))/10</f>
        <v>4.2678778501709385</v>
      </c>
      <c r="G23" s="35"/>
      <c r="H23" s="58"/>
      <c r="I23" s="245">
        <f t="shared" si="9"/>
        <v>0.93499999999999994</v>
      </c>
      <c r="J23" s="245"/>
      <c r="L23" s="260">
        <f t="shared" si="4"/>
        <v>3.6841544940776316</v>
      </c>
      <c r="M23" s="261">
        <f t="shared" si="10"/>
        <v>1.815155286768136</v>
      </c>
      <c r="O23" s="260">
        <f t="shared" si="5"/>
        <v>4.849319633849861</v>
      </c>
      <c r="P23" s="261">
        <f t="shared" si="11"/>
        <v>2.5110034213969499</v>
      </c>
      <c r="R23" s="260">
        <f t="shared" si="6"/>
        <v>3.4630229318622656</v>
      </c>
      <c r="S23" s="261">
        <f t="shared" si="12"/>
        <v>1.6761040733564085</v>
      </c>
      <c r="U23" s="260">
        <f t="shared" si="7"/>
        <v>3.9904657899098273</v>
      </c>
      <c r="V23" s="261">
        <f t="shared" si="13"/>
        <v>1.9368259705306776</v>
      </c>
    </row>
    <row r="24" spans="1:22" x14ac:dyDescent="0.2">
      <c r="A24" s="32"/>
      <c r="B24" s="131">
        <f t="shared" si="8"/>
        <v>2031</v>
      </c>
      <c r="C24" s="35">
        <f>INDEX([5]SourceEnergy!$S$20:$T$40,MATCH($B24,[5]SourceEnergy!$R$20:$R$40,0),MATCH(C$7,[5]SourceEnergy!$S$12:$T$12,0))/10</f>
        <v>4.1028803252271384</v>
      </c>
      <c r="D24" s="35">
        <f>INDEX([5]SourceEnergy!$S$20:$T$40,MATCH($B24,[5]SourceEnergy!$R$20:$R$40,0),MATCH(D$7,[5]SourceEnergy!$S$12:$T$12,0))/10</f>
        <v>5.2625163302922946</v>
      </c>
      <c r="E24" s="35">
        <f>INDEX([5]SourceEnergy!$U$20:$V$40,MATCH($B24,[5]SourceEnergy!$R$20:$R$40,0),MATCH(E$7,[5]SourceEnergy!$U$12:$V$12,0))/10</f>
        <v>3.8681416009949054</v>
      </c>
      <c r="F24" s="35">
        <f>INDEX([5]SourceEnergy!$U$20:$V$40,MATCH($B24,[5]SourceEnergy!$R$20:$R$40,0),MATCH(F$7,[5]SourceEnergy!$U$12:$V$12,0))/10</f>
        <v>4.3590235447832448</v>
      </c>
      <c r="G24" s="35"/>
      <c r="H24" s="58"/>
      <c r="I24" s="245">
        <f t="shared" si="9"/>
        <v>0.92999999999999994</v>
      </c>
      <c r="J24" s="245"/>
      <c r="L24" s="260">
        <f t="shared" si="4"/>
        <v>3.8156787024612386</v>
      </c>
      <c r="M24" s="261">
        <f t="shared" si="10"/>
        <v>1.8054485740046702</v>
      </c>
      <c r="O24" s="260">
        <f t="shared" si="5"/>
        <v>4.8941401871718337</v>
      </c>
      <c r="P24" s="261">
        <f t="shared" si="11"/>
        <v>2.4975755956140784</v>
      </c>
      <c r="R24" s="260">
        <f t="shared" si="6"/>
        <v>3.597371688925262</v>
      </c>
      <c r="S24" s="261">
        <f t="shared" si="12"/>
        <v>1.6671409499694758</v>
      </c>
      <c r="U24" s="260">
        <f t="shared" si="7"/>
        <v>4.053891896648417</v>
      </c>
      <c r="V24" s="261">
        <f t="shared" si="13"/>
        <v>1.9264686123994974</v>
      </c>
    </row>
    <row r="25" spans="1:22" x14ac:dyDescent="0.2">
      <c r="A25" s="32"/>
      <c r="B25" s="131">
        <f t="shared" si="8"/>
        <v>2032</v>
      </c>
      <c r="C25" s="35">
        <f>INDEX([5]SourceEnergy!$S$20:$T$40,MATCH($B25,[5]SourceEnergy!$R$20:$R$40,0),MATCH(C$7,[5]SourceEnergy!$S$12:$T$12,0))/10</f>
        <v>4.1996471966930233</v>
      </c>
      <c r="D25" s="35">
        <f>INDEX([5]SourceEnergy!$S$20:$T$40,MATCH($B25,[5]SourceEnergy!$R$20:$R$40,0),MATCH(D$7,[5]SourceEnergy!$S$12:$T$12,0))/10</f>
        <v>5.3794100674919036</v>
      </c>
      <c r="E25" s="35">
        <f>INDEX([5]SourceEnergy!$U$20:$V$40,MATCH($B25,[5]SourceEnergy!$R$20:$R$40,0),MATCH(E$7,[5]SourceEnergy!$U$12:$V$12,0))/10</f>
        <v>3.948315223843994</v>
      </c>
      <c r="F25" s="35">
        <f>INDEX([5]SourceEnergy!$U$20:$V$40,MATCH($B25,[5]SourceEnergy!$R$20:$R$40,0),MATCH(F$7,[5]SourceEnergy!$U$12:$V$12,0))/10</f>
        <v>4.5225225767848123</v>
      </c>
      <c r="G25" s="35"/>
      <c r="H25" s="58"/>
      <c r="I25" s="245">
        <f t="shared" si="9"/>
        <v>0.92499999999999993</v>
      </c>
      <c r="J25" s="245"/>
      <c r="L25" s="260">
        <f t="shared" si="4"/>
        <v>3.8846736569410463</v>
      </c>
      <c r="M25" s="261">
        <f t="shared" si="10"/>
        <v>1.7957418612412042</v>
      </c>
      <c r="O25" s="260">
        <f t="shared" si="5"/>
        <v>4.9759543124300105</v>
      </c>
      <c r="P25" s="261">
        <f t="shared" si="11"/>
        <v>2.4841477698312069</v>
      </c>
      <c r="R25" s="260">
        <f t="shared" si="6"/>
        <v>3.6521915820556941</v>
      </c>
      <c r="S25" s="261">
        <f t="shared" si="12"/>
        <v>1.6581778265825431</v>
      </c>
      <c r="U25" s="260">
        <f t="shared" si="7"/>
        <v>4.1833333835259507</v>
      </c>
      <c r="V25" s="261">
        <f t="shared" si="13"/>
        <v>1.9161112542683174</v>
      </c>
    </row>
    <row r="26" spans="1:22" x14ac:dyDescent="0.2">
      <c r="A26" s="32"/>
      <c r="B26" s="131">
        <f t="shared" si="8"/>
        <v>2033</v>
      </c>
      <c r="C26" s="35">
        <f>INDEX([5]SourceEnergy!$S$20:$T$40,MATCH($B26,[5]SourceEnergy!$R$20:$R$40,0),MATCH(C$7,[5]SourceEnergy!$S$12:$T$12,0))/10</f>
        <v>3.8710977399059394</v>
      </c>
      <c r="D26" s="35">
        <f>INDEX([5]SourceEnergy!$S$20:$T$40,MATCH($B26,[5]SourceEnergy!$R$20:$R$40,0),MATCH(D$7,[5]SourceEnergy!$S$12:$T$12,0))/10</f>
        <v>4.978372565990524</v>
      </c>
      <c r="E26" s="35">
        <f>INDEX([5]SourceEnergy!$U$20:$V$40,MATCH($B26,[5]SourceEnergy!$R$20:$R$40,0),MATCH(E$7,[5]SourceEnergy!$U$12:$V$12,0))/10</f>
        <v>3.6774896937955512</v>
      </c>
      <c r="F26" s="35">
        <f>INDEX([5]SourceEnergy!$U$20:$V$40,MATCH($B26,[5]SourceEnergy!$R$20:$R$40,0),MATCH(F$7,[5]SourceEnergy!$U$12:$V$12,0))/10</f>
        <v>4.212157391059467</v>
      </c>
      <c r="G26" s="35"/>
      <c r="H26" s="58"/>
      <c r="I26" s="245">
        <f t="shared" si="9"/>
        <v>0.91999999999999993</v>
      </c>
      <c r="J26" s="245"/>
      <c r="L26" s="260">
        <f t="shared" si="4"/>
        <v>3.561409920713464</v>
      </c>
      <c r="M26" s="261">
        <f t="shared" si="10"/>
        <v>1.7860351484777381</v>
      </c>
      <c r="O26" s="260">
        <f t="shared" si="5"/>
        <v>4.5801027607112816</v>
      </c>
      <c r="P26" s="261">
        <f t="shared" si="11"/>
        <v>2.4707199440483354</v>
      </c>
      <c r="R26" s="260">
        <f t="shared" si="6"/>
        <v>3.3832905182919069</v>
      </c>
      <c r="S26" s="261">
        <f t="shared" si="12"/>
        <v>1.6492147031956106</v>
      </c>
      <c r="U26" s="260">
        <f t="shared" si="7"/>
        <v>3.8751847997747091</v>
      </c>
      <c r="V26" s="261">
        <f t="shared" si="13"/>
        <v>1.9057538961371372</v>
      </c>
    </row>
    <row r="27" spans="1:22" x14ac:dyDescent="0.2">
      <c r="A27" s="32"/>
      <c r="B27" s="131">
        <f t="shared" si="8"/>
        <v>2034</v>
      </c>
      <c r="C27" s="35">
        <f>INDEX([5]SourceEnergy!$S$20:$T$40,MATCH($B27,[5]SourceEnergy!$R$20:$R$40,0),MATCH(C$7,[5]SourceEnergy!$S$12:$T$12,0))/10</f>
        <v>4.0371168624013025</v>
      </c>
      <c r="D27" s="35">
        <f>INDEX([5]SourceEnergy!$S$20:$T$40,MATCH($B27,[5]SourceEnergy!$R$20:$R$40,0),MATCH(D$7,[5]SourceEnergy!$S$12:$T$12,0))/10</f>
        <v>5.1215140317954058</v>
      </c>
      <c r="E27" s="35">
        <f>INDEX([5]SourceEnergy!$U$20:$V$40,MATCH($B27,[5]SourceEnergy!$R$20:$R$40,0),MATCH(E$7,[5]SourceEnergy!$U$12:$V$12,0))/10</f>
        <v>3.8136472499359364</v>
      </c>
      <c r="F27" s="35">
        <f>INDEX([5]SourceEnergy!$U$20:$V$40,MATCH($B27,[5]SourceEnergy!$R$20:$R$40,0),MATCH(F$7,[5]SourceEnergy!$U$12:$V$12,0))/10</f>
        <v>4.3427677902475805</v>
      </c>
      <c r="G27" s="35"/>
      <c r="H27" s="58"/>
      <c r="I27" s="245">
        <f t="shared" si="9"/>
        <v>0.91499999999999992</v>
      </c>
      <c r="J27" s="245"/>
      <c r="L27" s="260">
        <f t="shared" si="4"/>
        <v>3.6939619290971915</v>
      </c>
      <c r="M27" s="261">
        <f t="shared" si="10"/>
        <v>1.7763284357142721</v>
      </c>
      <c r="O27" s="260">
        <f t="shared" si="5"/>
        <v>4.6861853390927957</v>
      </c>
      <c r="P27" s="261">
        <f t="shared" si="11"/>
        <v>2.4572921182654643</v>
      </c>
      <c r="R27" s="260">
        <f t="shared" si="6"/>
        <v>3.4894872336913814</v>
      </c>
      <c r="S27" s="261">
        <f t="shared" si="12"/>
        <v>1.6402515798086779</v>
      </c>
      <c r="U27" s="260">
        <f t="shared" si="7"/>
        <v>3.9736325280765357</v>
      </c>
      <c r="V27" s="261">
        <f t="shared" si="13"/>
        <v>1.8953965380059572</v>
      </c>
    </row>
    <row r="28" spans="1:22" x14ac:dyDescent="0.2">
      <c r="A28" s="32"/>
      <c r="B28" s="131">
        <f t="shared" ref="B28" si="14">B27+1</f>
        <v>2035</v>
      </c>
      <c r="C28" s="35">
        <f>INDEX([5]SourceEnergy!$S$20:$T$40,MATCH($B28,[5]SourceEnergy!$R$20:$R$40,0),MATCH(C$7,[5]SourceEnergy!$S$12:$T$12,0))/10</f>
        <v>4.2860859804223326</v>
      </c>
      <c r="D28" s="35">
        <f>INDEX([5]SourceEnergy!$S$20:$T$40,MATCH($B28,[5]SourceEnergy!$R$20:$R$40,0),MATCH(D$7,[5]SourceEnergy!$S$12:$T$12,0))/10</f>
        <v>5.4647398845949704</v>
      </c>
      <c r="E28" s="35">
        <f>INDEX([5]SourceEnergy!$U$20:$V$40,MATCH($B28,[5]SourceEnergy!$R$20:$R$40,0),MATCH(E$7,[5]SourceEnergy!$U$12:$V$12,0))/10</f>
        <v>4.0375313949969573</v>
      </c>
      <c r="F28" s="35">
        <f>INDEX([5]SourceEnergy!$U$20:$V$40,MATCH($B28,[5]SourceEnergy!$R$20:$R$40,0),MATCH(F$7,[5]SourceEnergy!$U$12:$V$12,0))/10</f>
        <v>4.6192630442538141</v>
      </c>
      <c r="G28" s="35"/>
      <c r="H28" s="58"/>
      <c r="I28" s="245"/>
      <c r="J28" s="245"/>
      <c r="L28" s="246"/>
      <c r="O28" s="246"/>
      <c r="R28" s="246"/>
      <c r="U28" s="246"/>
    </row>
    <row r="29" spans="1:22" x14ac:dyDescent="0.2">
      <c r="A29" s="32"/>
      <c r="B29" s="131">
        <f t="shared" ref="B29:B30" si="15">B28+1</f>
        <v>2036</v>
      </c>
      <c r="C29" s="35">
        <f>INDEX([5]SourceEnergy!$S$20:$T$40,MATCH($B29,[5]SourceEnergy!$R$20:$R$40,0),MATCH(C$7,[5]SourceEnergy!$S$12:$T$12,0))/10</f>
        <v>4.5605993853307432</v>
      </c>
      <c r="D29" s="35">
        <f>INDEX([5]SourceEnergy!$S$20:$T$40,MATCH($B29,[5]SourceEnergy!$R$20:$R$40,0),MATCH(D$7,[5]SourceEnergy!$S$12:$T$12,0))/10</f>
        <v>5.9638549449264868</v>
      </c>
      <c r="E29" s="35">
        <f>INDEX([5]SourceEnergy!$U$20:$V$40,MATCH($B29,[5]SourceEnergy!$R$20:$R$40,0),MATCH(E$7,[5]SourceEnergy!$U$12:$V$12,0))/10</f>
        <v>4.3002887219658827</v>
      </c>
      <c r="F29" s="35">
        <f>INDEX([5]SourceEnergy!$U$20:$V$40,MATCH($B29,[5]SourceEnergy!$R$20:$R$40,0),MATCH(F$7,[5]SourceEnergy!$U$12:$V$12,0))/10</f>
        <v>5.0410089606901112</v>
      </c>
      <c r="G29" s="35"/>
      <c r="H29" s="58"/>
      <c r="I29" s="245"/>
      <c r="J29" s="245"/>
      <c r="L29" s="246"/>
      <c r="O29" s="246"/>
      <c r="R29" s="246"/>
      <c r="U29" s="246"/>
    </row>
    <row r="30" spans="1:22" x14ac:dyDescent="0.2">
      <c r="A30" s="32"/>
      <c r="B30" s="131">
        <f t="shared" si="15"/>
        <v>2037</v>
      </c>
      <c r="C30" s="35">
        <f>INDEX([5]SourceEnergy!$S$20:$T$40,MATCH($B30,[5]SourceEnergy!$R$20:$R$40,0),MATCH(C$7,[5]SourceEnergy!$S$12:$T$12,0))/10</f>
        <v>4.6670613391497984</v>
      </c>
      <c r="D30" s="35">
        <f>INDEX([5]SourceEnergy!$S$20:$T$40,MATCH($B30,[5]SourceEnergy!$R$20:$R$40,0),MATCH(D$7,[5]SourceEnergy!$S$12:$T$12,0))/10</f>
        <v>6.068632785210184</v>
      </c>
      <c r="E30" s="35">
        <f>INDEX([5]SourceEnergy!$U$20:$V$40,MATCH($B30,[5]SourceEnergy!$R$20:$R$40,0),MATCH(E$7,[5]SourceEnergy!$U$12:$V$12,0))/10</f>
        <v>4.4324772578844414</v>
      </c>
      <c r="F30" s="35">
        <f>INDEX([5]SourceEnergy!$U$20:$V$40,MATCH($B30,[5]SourceEnergy!$R$20:$R$40,0),MATCH(F$7,[5]SourceEnergy!$U$12:$V$12,0))/10</f>
        <v>5.1481884385190799</v>
      </c>
      <c r="G30" s="35"/>
      <c r="H30" s="58"/>
      <c r="I30" s="245"/>
      <c r="J30" s="245"/>
      <c r="L30" s="246"/>
      <c r="O30" s="246"/>
      <c r="R30" s="246"/>
      <c r="U30" s="246"/>
    </row>
    <row r="31" spans="1:22" x14ac:dyDescent="0.2">
      <c r="A31" s="32"/>
      <c r="B31" s="33"/>
      <c r="C31" s="32"/>
      <c r="D31" s="32"/>
      <c r="E31" s="32"/>
      <c r="F31" s="32"/>
      <c r="G31" s="32"/>
      <c r="H31" s="129"/>
      <c r="I31" s="245"/>
      <c r="J31" s="245"/>
      <c r="L31" s="246"/>
      <c r="O31" s="246"/>
      <c r="R31" s="246"/>
      <c r="U31" s="246"/>
    </row>
    <row r="32" spans="1:22" x14ac:dyDescent="0.2">
      <c r="A32" s="32"/>
      <c r="C32" s="30" t="s">
        <v>181</v>
      </c>
      <c r="D32" s="30"/>
      <c r="E32" s="51" t="s">
        <v>31</v>
      </c>
      <c r="F32" s="51"/>
      <c r="G32" s="30"/>
      <c r="H32" s="129"/>
      <c r="I32" s="245"/>
      <c r="J32" s="245"/>
      <c r="L32" s="246"/>
      <c r="O32" s="246"/>
      <c r="R32" s="246"/>
      <c r="U32" s="246"/>
    </row>
    <row r="33" spans="1:22" ht="14.25" x14ac:dyDescent="0.35">
      <c r="A33" s="32"/>
      <c r="B33" s="38"/>
      <c r="C33" s="31" t="s">
        <v>10</v>
      </c>
      <c r="D33" s="31" t="s">
        <v>11</v>
      </c>
      <c r="E33" s="31" t="s">
        <v>10</v>
      </c>
      <c r="F33" s="31" t="s">
        <v>11</v>
      </c>
      <c r="G33" s="31"/>
      <c r="H33" s="129"/>
      <c r="I33" s="245"/>
      <c r="J33" s="245"/>
      <c r="K33" s="257"/>
      <c r="L33" s="257"/>
      <c r="M33" s="257"/>
      <c r="O33" s="246"/>
      <c r="R33" s="246"/>
      <c r="U33" s="246"/>
    </row>
    <row r="34" spans="1:22" ht="36" customHeight="1" x14ac:dyDescent="0.2">
      <c r="B34" s="39" t="s">
        <v>113</v>
      </c>
      <c r="C34" s="40">
        <f>M34</f>
        <v>1.9413425526931938</v>
      </c>
      <c r="D34" s="40">
        <f>P34</f>
        <v>2.685565156574278</v>
      </c>
      <c r="E34" s="40">
        <f>S34</f>
        <v>1.7926246773865333</v>
      </c>
      <c r="F34" s="40">
        <f>V34</f>
        <v>2.0714716262360189</v>
      </c>
      <c r="G34" s="40"/>
      <c r="I34" s="259">
        <f>-PMT('Table 3 Comparison'!$Q$37,COUNT(I11:I25),NPV('Table 3 Comparison'!$Q$37,I11:I25))</f>
        <v>0.96613384464478669</v>
      </c>
      <c r="J34" s="249"/>
      <c r="K34" s="257"/>
      <c r="L34" s="259">
        <f>-PMT('Table 3 Comparison'!$Q$37,COUNT(L11:L25),NPV('Table 3 Comparison'!$Q$37,L11:L25))</f>
        <v>1.8755967442059998</v>
      </c>
      <c r="M34" s="258">
        <f>L34/$I34</f>
        <v>1.9413425526931938</v>
      </c>
      <c r="N34" s="252"/>
      <c r="O34" s="259">
        <f>-PMT('Table 3 Comparison'!$Q$37,COUNT(O11:O25),NPV('Table 3 Comparison'!$Q$37,O11:O25))</f>
        <v>2.5946153897651856</v>
      </c>
      <c r="P34" s="258">
        <f>O34/$I34</f>
        <v>2.685565156574278</v>
      </c>
      <c r="Q34" s="252"/>
      <c r="R34" s="259">
        <f>-PMT('Table 3 Comparison'!$Q$37,COUNT(R11:R25),NPV('Table 3 Comparison'!$Q$37,R11:R25))</f>
        <v>1.7319153715685718</v>
      </c>
      <c r="S34" s="258">
        <f>R34/$I34</f>
        <v>1.7926246773865333</v>
      </c>
      <c r="T34" s="252"/>
      <c r="U34" s="259">
        <f>-PMT('Table 3 Comparison'!$Q$37,COUNT(U11:U25),NPV('Table 3 Comparison'!$Q$37,U11:U25))</f>
        <v>2.0013188463279934</v>
      </c>
      <c r="V34" s="258">
        <f>U34/$I34</f>
        <v>2.0714716262360189</v>
      </c>
    </row>
    <row r="35" spans="1:22" ht="28.5" hidden="1" customHeight="1" x14ac:dyDescent="0.2">
      <c r="A35" s="38"/>
      <c r="B35" s="39" t="s">
        <v>114</v>
      </c>
      <c r="C35" s="40">
        <f t="shared" ref="C35:C36" si="16">M35</f>
        <v>2.0622680180785102</v>
      </c>
      <c r="D35" s="40">
        <f t="shared" ref="D35:D36" si="17">P35</f>
        <v>2.8783682335570018</v>
      </c>
      <c r="E35" s="40">
        <f t="shared" ref="E35:E36" si="18">S35</f>
        <v>1.9029071837300366</v>
      </c>
      <c r="F35" s="40">
        <f t="shared" ref="F35:F36" si="19">V35</f>
        <v>2.2622549608895182</v>
      </c>
      <c r="I35" s="259">
        <f>-PMT('Table 3 Comparison'!$Q$37,COUNT(I12:I26),NPV('Table 3 Comparison'!$Q$37,I12:I26))</f>
        <v>0.96113384464478635</v>
      </c>
      <c r="J35" s="247"/>
      <c r="K35" s="248"/>
      <c r="L35" s="259">
        <f>-PMT('Table 3 Comparison'!$Q$37,COUNT(L12:L26),NPV('Table 3 Comparison'!$Q$37,L12:L26))</f>
        <v>1.9821155889037823</v>
      </c>
      <c r="M35" s="258">
        <f>L35/$I35</f>
        <v>2.0622680180785102</v>
      </c>
      <c r="N35" s="248"/>
      <c r="O35" s="259">
        <f>-PMT('Table 3 Comparison'!$Q$37,COUNT(O12:O26),NPV('Table 3 Comparison'!$Q$37,O12:O26))</f>
        <v>2.7664971266220633</v>
      </c>
      <c r="P35" s="258">
        <f>O35/$I35</f>
        <v>2.8783682335570018</v>
      </c>
      <c r="Q35" s="248"/>
      <c r="R35" s="259">
        <f>-PMT('Table 3 Comparison'!$Q$37,COUNT(R12:R26),NPV('Table 3 Comparison'!$Q$37,R12:R26))</f>
        <v>1.8289484975006329</v>
      </c>
      <c r="S35" s="258">
        <f>R35/$I35</f>
        <v>1.9029071837300366</v>
      </c>
      <c r="T35" s="248"/>
      <c r="U35" s="259">
        <f>-PMT('Table 3 Comparison'!$Q$37,COUNT(U12:U26),NPV('Table 3 Comparison'!$Q$37,U12:U26))</f>
        <v>2.1743298081264832</v>
      </c>
      <c r="V35" s="258">
        <f>U35/$I35</f>
        <v>2.2622549608895182</v>
      </c>
    </row>
    <row r="36" spans="1:22" ht="24.75" hidden="1" customHeight="1" x14ac:dyDescent="0.2">
      <c r="A36" s="42"/>
      <c r="B36" s="39" t="s">
        <v>115</v>
      </c>
      <c r="C36" s="40">
        <f t="shared" si="16"/>
        <v>2.1987496498957193</v>
      </c>
      <c r="D36" s="40">
        <f t="shared" si="17"/>
        <v>3.0940324222447626</v>
      </c>
      <c r="E36" s="40">
        <f t="shared" si="18"/>
        <v>2.0347072994122404</v>
      </c>
      <c r="F36" s="40">
        <f t="shared" si="19"/>
        <v>2.4739163049643889</v>
      </c>
      <c r="I36" s="259">
        <f>-PMT('Table 3 Comparison'!$Q$37,COUNT(I13:I27),NPV('Table 3 Comparison'!$Q$37,I13:I27))</f>
        <v>0.95613384464478635</v>
      </c>
      <c r="J36" s="247"/>
      <c r="K36" s="248"/>
      <c r="L36" s="259">
        <f>-PMT('Table 3 Comparison'!$Q$37,COUNT(L13:L27),NPV('Table 3 Comparison'!$Q$37,L13:L27))</f>
        <v>2.1022989561661722</v>
      </c>
      <c r="M36" s="258">
        <f>L36/$I36</f>
        <v>2.1987496498957193</v>
      </c>
      <c r="N36" s="248"/>
      <c r="O36" s="259">
        <f>-PMT('Table 3 Comparison'!$Q$37,COUNT(O13:O27),NPV('Table 3 Comparison'!$Q$37,O13:O27))</f>
        <v>2.958309115336506</v>
      </c>
      <c r="P36" s="258">
        <f>O36/$I36</f>
        <v>3.0940324222447626</v>
      </c>
      <c r="Q36" s="248"/>
      <c r="R36" s="259">
        <f>-PMT('Table 3 Comparison'!$Q$37,COUNT(R13:R27),NPV('Table 3 Comparison'!$Q$37,R13:R27))</f>
        <v>1.9454525129138358</v>
      </c>
      <c r="S36" s="258">
        <f>R36/$I36</f>
        <v>2.0347072994122404</v>
      </c>
      <c r="T36" s="248"/>
      <c r="U36" s="259">
        <f>-PMT('Table 3 Comparison'!$Q$37,COUNT(U13:U27),NPV('Table 3 Comparison'!$Q$37,U13:U27))</f>
        <v>2.3653951079950248</v>
      </c>
      <c r="V36" s="258">
        <f>U36/$I36</f>
        <v>2.4739163049643889</v>
      </c>
    </row>
    <row r="37" spans="1:22" hidden="1" x14ac:dyDescent="0.2">
      <c r="A37" s="42"/>
      <c r="B37" s="39"/>
      <c r="C37" s="40"/>
      <c r="D37" s="40"/>
      <c r="E37" s="40"/>
      <c r="F37" s="40"/>
      <c r="I37" s="249"/>
      <c r="J37" s="249"/>
      <c r="K37" s="250"/>
      <c r="L37" s="250"/>
      <c r="M37" s="251"/>
      <c r="N37" s="252"/>
      <c r="O37" s="250"/>
      <c r="P37" s="251"/>
      <c r="Q37" s="252"/>
      <c r="R37" s="250"/>
      <c r="S37" s="251"/>
      <c r="T37" s="252"/>
      <c r="U37" s="250"/>
      <c r="V37" s="251"/>
    </row>
    <row r="38" spans="1:22" ht="12.75" hidden="1" x14ac:dyDescent="0.2">
      <c r="A38" s="42"/>
      <c r="B38" s="17"/>
      <c r="C38" s="17"/>
      <c r="D38" s="17"/>
      <c r="E38" s="17"/>
      <c r="F38" s="43"/>
      <c r="G38" s="43"/>
      <c r="K38" s="253"/>
      <c r="L38" s="254"/>
      <c r="M38" s="255"/>
      <c r="O38" s="254"/>
      <c r="P38" s="255"/>
      <c r="R38" s="254"/>
      <c r="S38" s="255"/>
      <c r="U38" s="254"/>
      <c r="V38" s="255"/>
    </row>
    <row r="39" spans="1:22" ht="12.75" hidden="1" x14ac:dyDescent="0.2">
      <c r="A39" s="42"/>
      <c r="B39" s="50"/>
      <c r="C39" s="50"/>
      <c r="D39" s="45"/>
      <c r="E39" s="45"/>
      <c r="F39" s="43"/>
      <c r="G39" s="43"/>
      <c r="L39" s="256"/>
      <c r="O39" s="256"/>
      <c r="R39" s="256"/>
      <c r="U39" s="256"/>
    </row>
    <row r="40" spans="1:22" ht="12.75" hidden="1" x14ac:dyDescent="0.2">
      <c r="A40" s="32"/>
      <c r="B40" s="50"/>
      <c r="C40" s="50"/>
      <c r="D40" s="45"/>
      <c r="E40" s="45"/>
      <c r="F40" s="32"/>
      <c r="G40" s="32"/>
    </row>
    <row r="41" spans="1:22" ht="12.75" x14ac:dyDescent="0.2">
      <c r="A41" s="41"/>
      <c r="B41" s="50" t="s">
        <v>179</v>
      </c>
      <c r="C41" s="50"/>
      <c r="D41" s="45"/>
      <c r="E41" s="45"/>
      <c r="K41" s="237" t="s">
        <v>189</v>
      </c>
      <c r="L41" s="244">
        <f>NPV('Table 3 Comparison'!$Q$37,L11:L25)</f>
        <v>17.180307254277743</v>
      </c>
      <c r="M41" s="244">
        <f>NPV('Table 3 Comparison'!$Q$37,M11:M25)</f>
        <v>17.180307254277732</v>
      </c>
      <c r="O41" s="244">
        <f>NPV('Table 3 Comparison'!$Q$37,O11:O25)</f>
        <v>23.766457123870762</v>
      </c>
      <c r="P41" s="244">
        <f>NPV('Table 3 Comparison'!$Q$37,P11:P25)</f>
        <v>23.766457123870762</v>
      </c>
      <c r="R41" s="244">
        <f>NPV('Table 3 Comparison'!$Q$37,R11:R25)</f>
        <v>15.864198055297246</v>
      </c>
      <c r="S41" s="244">
        <f>NPV('Table 3 Comparison'!$Q$37,S11:S25)</f>
        <v>15.864198055297246</v>
      </c>
      <c r="U41" s="244">
        <f>NPV('Table 3 Comparison'!$Q$37,U11:U25)</f>
        <v>18.331911057057809</v>
      </c>
      <c r="V41" s="244">
        <f>NPV('Table 3 Comparison'!$Q$37,V11:V25)</f>
        <v>18.331911057057802</v>
      </c>
    </row>
    <row r="42" spans="1:22" ht="12.75" x14ac:dyDescent="0.2">
      <c r="A42" s="41"/>
      <c r="B42" s="50"/>
      <c r="C42" s="50"/>
      <c r="D42" s="45"/>
      <c r="E42" s="45"/>
      <c r="K42" s="237" t="s">
        <v>188</v>
      </c>
      <c r="M42" s="237">
        <f>M41-L41</f>
        <v>0</v>
      </c>
      <c r="P42" s="237">
        <f>P41-O41</f>
        <v>0</v>
      </c>
      <c r="S42" s="237">
        <f>S41-R41</f>
        <v>0</v>
      </c>
      <c r="V42" s="237">
        <f>V41-U41</f>
        <v>0</v>
      </c>
    </row>
  </sheetData>
  <printOptions horizontalCentered="1"/>
  <pageMargins left="0.25" right="0.25" top="0.75" bottom="0.75" header="0.3" footer="0.3"/>
  <pageSetup scale="82" orientation="landscape" copies="3" r:id="rId1"/>
  <headerFooter alignWithMargins="0">
    <oddFooter>&amp;L&amp;8NPC Group -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Table 1 Preferred Portfolio</vt:lpstr>
      <vt:lpstr>Table 2 QF Signed Queue</vt:lpstr>
      <vt:lpstr>Table 3 Comparison</vt:lpstr>
      <vt:lpstr>Table 4 Gas Price</vt:lpstr>
      <vt:lpstr> Table 5 Electric Price</vt:lpstr>
      <vt:lpstr>Table 6 Integration</vt:lpstr>
      <vt:lpstr>--- Do Not Print ---&gt;</vt:lpstr>
      <vt:lpstr>Tariff Page</vt:lpstr>
      <vt:lpstr>Tariff Page Solar Fixed</vt:lpstr>
      <vt:lpstr>Tariff Page Solar Tracking</vt:lpstr>
      <vt:lpstr>Tariff Page Wind</vt:lpstr>
      <vt:lpstr>OFPC Source</vt:lpstr>
      <vt:lpstr>CC_E_Fixed</vt:lpstr>
      <vt:lpstr>CC_E_Gas</vt:lpstr>
      <vt:lpstr>CC_E_Hydro</vt:lpstr>
      <vt:lpstr>CC_E_Tracking</vt:lpstr>
      <vt:lpstr>CC_E_Wind</vt:lpstr>
      <vt:lpstr>CC_W_Fixed</vt:lpstr>
      <vt:lpstr>CC_W_Gas</vt:lpstr>
      <vt:lpstr>CC_W_Hydro</vt:lpstr>
      <vt:lpstr>CC_W_Tracking</vt:lpstr>
      <vt:lpstr>CC_W_Wind</vt:lpstr>
      <vt:lpstr>' Table 5 Electric Price'!Print_Area</vt:lpstr>
      <vt:lpstr>'OFPC Source'!Print_Area</vt:lpstr>
      <vt:lpstr>'Table 2 QF Signed Queue'!Print_Area</vt:lpstr>
      <vt:lpstr>'Table 3 Comparison'!Print_Area</vt:lpstr>
      <vt:lpstr>'Table 4 Gas Price'!Print_Area</vt:lpstr>
      <vt:lpstr>'Table 6 Integration'!Print_Area</vt:lpstr>
      <vt:lpstr>'Tariff Page'!Print_Area</vt:lpstr>
      <vt:lpstr>'Tariff Page Solar Fixed'!Print_Area</vt:lpstr>
      <vt:lpstr>'Tariff Page Solar Tracking'!Print_Area</vt:lpstr>
      <vt:lpstr>'Tariff Page Wind'!Print_Area</vt:lpstr>
      <vt:lpstr>'Table 1 Preferred Portfolio'!Print_Titles</vt:lpstr>
      <vt:lpstr>'Table 2 QF Signed Queue'!Signed_MW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2018-05-31T18:46:13Z</dcterms:created>
  <dcterms:modified xsi:type="dcterms:W3CDTF">2018-05-31T20:34:20Z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