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rojected DSM Expenditures" sheetId="1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Area" localSheetId="0">'Projected DSM Expenditures'!$A$1:$AA$32</definedName>
    <definedName name="_xlnm.Print_Titles" localSheetId="0">'Projected DSM Expenditures'!$A:$A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1" l="1"/>
  <c r="D7" i="1"/>
  <c r="E7" i="1" s="1"/>
  <c r="Y7" i="1"/>
  <c r="D8" i="1"/>
  <c r="F8" i="1" s="1"/>
  <c r="M8" i="1"/>
  <c r="N8" i="1"/>
  <c r="O8" i="1"/>
  <c r="P8" i="1"/>
  <c r="Q8" i="1"/>
  <c r="R8" i="1"/>
  <c r="S8" i="1"/>
  <c r="T8" i="1"/>
  <c r="U8" i="1"/>
  <c r="V8" i="1"/>
  <c r="W8" i="1"/>
  <c r="X8" i="1"/>
  <c r="C9" i="1"/>
  <c r="D9" i="1" s="1"/>
  <c r="M9" i="1"/>
  <c r="N9" i="1"/>
  <c r="O9" i="1"/>
  <c r="P9" i="1"/>
  <c r="Q9" i="1"/>
  <c r="R9" i="1"/>
  <c r="S9" i="1"/>
  <c r="T9" i="1"/>
  <c r="U9" i="1"/>
  <c r="V9" i="1"/>
  <c r="W9" i="1"/>
  <c r="X9" i="1"/>
  <c r="C10" i="1"/>
  <c r="D10" i="1" s="1"/>
  <c r="K10" i="1"/>
  <c r="AA10" i="1"/>
  <c r="O10" i="1" s="1"/>
  <c r="B11" i="1"/>
  <c r="I11" i="1"/>
  <c r="J11" i="1"/>
  <c r="K11" i="1"/>
  <c r="AA11" i="1"/>
  <c r="B14" i="1"/>
  <c r="D14" i="1" s="1"/>
  <c r="J14" i="1"/>
  <c r="J17" i="1" s="1"/>
  <c r="J25" i="1" s="1"/>
  <c r="K14" i="1"/>
  <c r="K17" i="1" s="1"/>
  <c r="O14" i="1"/>
  <c r="O17" i="1" s="1"/>
  <c r="AA14" i="1"/>
  <c r="P14" i="1" s="1"/>
  <c r="P17" i="1" s="1"/>
  <c r="B15" i="1"/>
  <c r="C15" i="1"/>
  <c r="C17" i="1" s="1"/>
  <c r="D16" i="1"/>
  <c r="H16" i="1" s="1"/>
  <c r="I16" i="1"/>
  <c r="I17" i="1" s="1"/>
  <c r="Y16" i="1"/>
  <c r="D19" i="1"/>
  <c r="F19" i="1" s="1"/>
  <c r="M19" i="1"/>
  <c r="N19" i="1"/>
  <c r="O19" i="1"/>
  <c r="P19" i="1"/>
  <c r="Q19" i="1"/>
  <c r="R19" i="1"/>
  <c r="S19" i="1"/>
  <c r="T19" i="1"/>
  <c r="U19" i="1"/>
  <c r="V19" i="1"/>
  <c r="W19" i="1"/>
  <c r="X19" i="1"/>
  <c r="D20" i="1"/>
  <c r="I20" i="1"/>
  <c r="K20" i="1"/>
  <c r="Y20" i="1"/>
  <c r="AA20" i="1"/>
  <c r="C21" i="1"/>
  <c r="D21" i="1" s="1"/>
  <c r="M21" i="1"/>
  <c r="N21" i="1"/>
  <c r="O21" i="1"/>
  <c r="P21" i="1"/>
  <c r="Q21" i="1"/>
  <c r="R21" i="1"/>
  <c r="S21" i="1"/>
  <c r="T21" i="1"/>
  <c r="U21" i="1"/>
  <c r="V21" i="1"/>
  <c r="W21" i="1"/>
  <c r="X21" i="1"/>
  <c r="D22" i="1"/>
  <c r="E22" i="1" s="1"/>
  <c r="M22" i="1"/>
  <c r="N22" i="1"/>
  <c r="O22" i="1"/>
  <c r="P22" i="1"/>
  <c r="Q22" i="1"/>
  <c r="R22" i="1"/>
  <c r="S22" i="1"/>
  <c r="T22" i="1"/>
  <c r="U22" i="1"/>
  <c r="V22" i="1"/>
  <c r="W22" i="1"/>
  <c r="X22" i="1"/>
  <c r="D23" i="1"/>
  <c r="G23" i="1" s="1"/>
  <c r="E23" i="1"/>
  <c r="M23" i="1"/>
  <c r="N23" i="1"/>
  <c r="O23" i="1"/>
  <c r="P23" i="1"/>
  <c r="Q23" i="1"/>
  <c r="R23" i="1"/>
  <c r="S23" i="1"/>
  <c r="T23" i="1"/>
  <c r="U23" i="1"/>
  <c r="V23" i="1"/>
  <c r="W23" i="1"/>
  <c r="X23" i="1"/>
  <c r="H27" i="1"/>
  <c r="Y30" i="1"/>
  <c r="Y31" i="1"/>
  <c r="AH33" i="1"/>
  <c r="AH34" i="1"/>
  <c r="AH35" i="1"/>
  <c r="AH36" i="1"/>
  <c r="AH37" i="1"/>
  <c r="AH38" i="1"/>
  <c r="AF39" i="1"/>
  <c r="K25" i="1" l="1"/>
  <c r="E20" i="1"/>
  <c r="E19" i="1"/>
  <c r="F23" i="1"/>
  <c r="H23" i="1" s="1"/>
  <c r="S14" i="1"/>
  <c r="S17" i="1" s="1"/>
  <c r="Y8" i="1"/>
  <c r="Y22" i="1"/>
  <c r="Y19" i="1"/>
  <c r="Y23" i="1"/>
  <c r="D15" i="1"/>
  <c r="G15" i="1" s="1"/>
  <c r="G17" i="1" s="1"/>
  <c r="Y21" i="1"/>
  <c r="G19" i="1"/>
  <c r="H19" i="1" s="1"/>
  <c r="O11" i="1"/>
  <c r="G7" i="1"/>
  <c r="F20" i="1"/>
  <c r="W14" i="1"/>
  <c r="W17" i="1" s="1"/>
  <c r="E10" i="1"/>
  <c r="Y9" i="1"/>
  <c r="E8" i="1"/>
  <c r="F7" i="1"/>
  <c r="E15" i="1"/>
  <c r="E17" i="1" s="1"/>
  <c r="F15" i="1"/>
  <c r="F17" i="1" s="1"/>
  <c r="O25" i="1"/>
  <c r="G9" i="1"/>
  <c r="E9" i="1"/>
  <c r="F9" i="1"/>
  <c r="D11" i="1"/>
  <c r="G21" i="1"/>
  <c r="F21" i="1"/>
  <c r="E21" i="1"/>
  <c r="D17" i="1"/>
  <c r="I25" i="1"/>
  <c r="F10" i="1"/>
  <c r="G10" i="1"/>
  <c r="R10" i="1"/>
  <c r="R11" i="1" s="1"/>
  <c r="G22" i="1"/>
  <c r="H22" i="1" s="1"/>
  <c r="G20" i="1"/>
  <c r="R14" i="1"/>
  <c r="R17" i="1" s="1"/>
  <c r="M10" i="1"/>
  <c r="H8" i="1"/>
  <c r="F22" i="1"/>
  <c r="B17" i="1"/>
  <c r="B25" i="1" s="1"/>
  <c r="U14" i="1"/>
  <c r="U17" i="1" s="1"/>
  <c r="Q14" i="1"/>
  <c r="Q17" i="1" s="1"/>
  <c r="M14" i="1"/>
  <c r="C11" i="1"/>
  <c r="C25" i="1" s="1"/>
  <c r="X10" i="1"/>
  <c r="X11" i="1" s="1"/>
  <c r="T10" i="1"/>
  <c r="T11" i="1" s="1"/>
  <c r="T25" i="1" s="1"/>
  <c r="P10" i="1"/>
  <c r="P11" i="1" s="1"/>
  <c r="P25" i="1" s="1"/>
  <c r="G8" i="1"/>
  <c r="V10" i="1"/>
  <c r="V11" i="1" s="1"/>
  <c r="V25" i="1" s="1"/>
  <c r="N10" i="1"/>
  <c r="N11" i="1" s="1"/>
  <c r="N25" i="1" s="1"/>
  <c r="V14" i="1"/>
  <c r="V17" i="1" s="1"/>
  <c r="N14" i="1"/>
  <c r="N17" i="1" s="1"/>
  <c r="U10" i="1"/>
  <c r="U11" i="1" s="1"/>
  <c r="U25" i="1" s="1"/>
  <c r="Q10" i="1"/>
  <c r="Q11" i="1" s="1"/>
  <c r="Q25" i="1" s="1"/>
  <c r="AA17" i="1"/>
  <c r="AA25" i="1" s="1"/>
  <c r="X14" i="1"/>
  <c r="X17" i="1" s="1"/>
  <c r="T14" i="1"/>
  <c r="T17" i="1" s="1"/>
  <c r="W10" i="1"/>
  <c r="W11" i="1" s="1"/>
  <c r="W25" i="1" s="1"/>
  <c r="S10" i="1"/>
  <c r="S11" i="1" s="1"/>
  <c r="S25" i="1" s="1"/>
  <c r="X25" i="1" l="1"/>
  <c r="R25" i="1"/>
  <c r="H21" i="1"/>
  <c r="G11" i="1"/>
  <c r="G25" i="1" s="1"/>
  <c r="H10" i="1"/>
  <c r="H7" i="1"/>
  <c r="F11" i="1"/>
  <c r="F25" i="1" s="1"/>
  <c r="E11" i="1"/>
  <c r="E25" i="1" s="1"/>
  <c r="H20" i="1"/>
  <c r="D25" i="1"/>
  <c r="H14" i="1"/>
  <c r="H17" i="1" s="1"/>
  <c r="H9" i="1"/>
  <c r="H11" i="1"/>
  <c r="Y10" i="1"/>
  <c r="Y11" i="1" s="1"/>
  <c r="Y14" i="1"/>
  <c r="Y17" i="1" s="1"/>
  <c r="M17" i="1"/>
  <c r="M11" i="1"/>
  <c r="M25" i="1" s="1"/>
  <c r="H25" i="1" l="1"/>
  <c r="H28" i="1" s="1"/>
  <c r="H29" i="1" s="1"/>
  <c r="Y25" i="1"/>
</calcChain>
</file>

<file path=xl/sharedStrings.xml><?xml version="1.0" encoding="utf-8"?>
<sst xmlns="http://schemas.openxmlformats.org/spreadsheetml/2006/main" count="56" uniqueCount="48">
  <si>
    <t>Split for WSB program cost was based on 2017 kWh savings (76% / 24%)</t>
  </si>
  <si>
    <t>per MWh</t>
  </si>
  <si>
    <t>Forecast</t>
  </si>
  <si>
    <t>Budget</t>
  </si>
  <si>
    <t>$ / MWh</t>
  </si>
  <si>
    <t>WSB</t>
  </si>
  <si>
    <t>Accruals added to capture full cost through Sept</t>
  </si>
  <si>
    <t>2018 $</t>
  </si>
  <si>
    <t>2018 kWh</t>
  </si>
  <si>
    <t>2019 Budget</t>
  </si>
  <si>
    <t>2018 Budget</t>
  </si>
  <si>
    <t>Jan-Sept 2018 actuals</t>
  </si>
  <si>
    <t>% of monthly allocation from 2017 spend</t>
  </si>
  <si>
    <t>Notes;</t>
  </si>
  <si>
    <t>Diff is accrual at state level (cell C25)</t>
  </si>
  <si>
    <t>Deferred Acct Balance 2018 expenditure total</t>
  </si>
  <si>
    <t>Total DSM Program Expenditures</t>
  </si>
  <si>
    <t>2019 Potential Study</t>
  </si>
  <si>
    <t>Program Evaluation Cost - Res</t>
  </si>
  <si>
    <t>Program Evaluation Cost - C&amp;I</t>
  </si>
  <si>
    <t>Portfolio (TRL, DSM Central, Training)</t>
  </si>
  <si>
    <t>Outreach and Communications</t>
  </si>
  <si>
    <t>Industrial Irrigation Load Control (Sch. N/A)</t>
  </si>
  <si>
    <t>wattsmart Business Industrial (Sch. 140)</t>
  </si>
  <si>
    <t>wattsmart Business Commercial (Sch. 140)</t>
  </si>
  <si>
    <t xml:space="preserve"> </t>
  </si>
  <si>
    <t>Commercial &amp; Industrial Sector Programs</t>
  </si>
  <si>
    <t>wattsmart Homes Program (Sch. 111)</t>
  </si>
  <si>
    <t>Home Energy Reports (Sch. N/A)</t>
  </si>
  <si>
    <t>Low Income (Sch. 118)</t>
  </si>
  <si>
    <t>A/C Load Control Program  (Sch. 114)</t>
  </si>
  <si>
    <t>Residential Programs</t>
  </si>
  <si>
    <t>2019 Totals</t>
  </si>
  <si>
    <t>2018 charges</t>
  </si>
  <si>
    <t>Sept 2018</t>
  </si>
  <si>
    <t>for Sept</t>
  </si>
  <si>
    <t>Jan - Dec</t>
  </si>
  <si>
    <t>Nov 1, 2018</t>
  </si>
  <si>
    <t>June 2018</t>
  </si>
  <si>
    <t>Nov 1, 2017</t>
  </si>
  <si>
    <t>Projected</t>
  </si>
  <si>
    <t>Total thru</t>
  </si>
  <si>
    <t>Accrual</t>
  </si>
  <si>
    <t>YTD Balance</t>
  </si>
  <si>
    <t>2018 Program Year Spend</t>
  </si>
  <si>
    <t>DSM Program Expenditures &amp; Revenues</t>
  </si>
  <si>
    <t>WSH</t>
  </si>
  <si>
    <t>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</si>
</sst>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000"/>
    <numFmt numFmtId="167" formatCode="&quot;$&quot;#,##0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3" applyFont="1" applyFill="1"/>
    <xf numFmtId="37" fontId="2" fillId="0" borderId="0" xfId="3" applyNumberFormat="1" applyFont="1" applyFill="1"/>
    <xf numFmtId="43" fontId="2" fillId="0" borderId="0" xfId="3" applyNumberFormat="1" applyFont="1" applyFill="1"/>
    <xf numFmtId="164" fontId="2" fillId="0" borderId="0" xfId="3" applyNumberFormat="1" applyFont="1" applyFill="1"/>
    <xf numFmtId="3" fontId="2" fillId="0" borderId="0" xfId="3" applyNumberFormat="1" applyFont="1" applyFill="1"/>
    <xf numFmtId="1" fontId="2" fillId="0" borderId="0" xfId="3" applyNumberFormat="1" applyFont="1" applyFill="1"/>
    <xf numFmtId="164" fontId="2" fillId="0" borderId="0" xfId="1" applyNumberFormat="1" applyFont="1" applyFill="1"/>
    <xf numFmtId="3" fontId="3" fillId="0" borderId="0" xfId="3" applyNumberFormat="1" applyFont="1" applyFill="1"/>
    <xf numFmtId="165" fontId="2" fillId="0" borderId="0" xfId="3" applyNumberFormat="1" applyFont="1" applyFill="1"/>
    <xf numFmtId="166" fontId="2" fillId="0" borderId="0" xfId="3" applyNumberFormat="1" applyFont="1" applyFill="1"/>
    <xf numFmtId="0" fontId="4" fillId="0" borderId="0" xfId="3" applyFont="1" applyFill="1"/>
    <xf numFmtId="164" fontId="2" fillId="0" borderId="0" xfId="4" applyNumberFormat="1" applyFont="1" applyFill="1"/>
    <xf numFmtId="0" fontId="3" fillId="0" borderId="0" xfId="3" applyFont="1" applyFill="1"/>
    <xf numFmtId="0" fontId="2" fillId="0" borderId="0" xfId="3" applyFont="1" applyFill="1" applyAlignment="1">
      <alignment horizontal="left"/>
    </xf>
    <xf numFmtId="37" fontId="3" fillId="0" borderId="0" xfId="3" applyNumberFormat="1" applyFont="1" applyFill="1"/>
    <xf numFmtId="167" fontId="2" fillId="0" borderId="0" xfId="4" applyNumberFormat="1" applyFont="1" applyFill="1" applyBorder="1"/>
    <xf numFmtId="164" fontId="2" fillId="0" borderId="0" xfId="4" applyNumberFormat="1" applyFont="1" applyFill="1" applyBorder="1"/>
    <xf numFmtId="3" fontId="2" fillId="0" borderId="0" xfId="4" applyNumberFormat="1" applyFont="1" applyFill="1" applyBorder="1"/>
    <xf numFmtId="37" fontId="4" fillId="0" borderId="0" xfId="3" applyNumberFormat="1" applyFont="1" applyFill="1" applyAlignment="1">
      <alignment horizontal="right"/>
    </xf>
    <xf numFmtId="39" fontId="4" fillId="0" borderId="0" xfId="3" applyNumberFormat="1" applyFont="1" applyFill="1" applyAlignment="1">
      <alignment horizontal="right"/>
    </xf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167" fontId="4" fillId="0" borderId="0" xfId="5" applyNumberFormat="1" applyFont="1" applyFill="1" applyBorder="1"/>
    <xf numFmtId="168" fontId="4" fillId="0" borderId="0" xfId="5" applyNumberFormat="1" applyFont="1" applyFill="1" applyBorder="1"/>
    <xf numFmtId="3" fontId="2" fillId="0" borderId="0" xfId="4" applyNumberFormat="1" applyFont="1" applyFill="1"/>
    <xf numFmtId="3" fontId="2" fillId="0" borderId="1" xfId="4" applyNumberFormat="1" applyFont="1" applyFill="1" applyBorder="1" applyAlignment="1">
      <alignment horizontal="right"/>
    </xf>
    <xf numFmtId="37" fontId="2" fillId="0" borderId="1" xfId="4" applyNumberFormat="1" applyFont="1" applyFill="1" applyBorder="1" applyAlignment="1">
      <alignment horizontal="right"/>
    </xf>
    <xf numFmtId="0" fontId="4" fillId="0" borderId="0" xfId="3" quotePrefix="1" applyFont="1" applyFill="1" applyAlignment="1">
      <alignment horizontal="left"/>
    </xf>
    <xf numFmtId="3" fontId="2" fillId="0" borderId="0" xfId="3" applyNumberFormat="1" applyFont="1" applyFill="1" applyBorder="1"/>
    <xf numFmtId="5" fontId="0" fillId="0" borderId="0" xfId="2" applyNumberFormat="1" applyFont="1" applyFill="1"/>
    <xf numFmtId="37" fontId="2" fillId="0" borderId="0" xfId="3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0" xfId="3" applyFont="1" applyFill="1" applyAlignment="1">
      <alignment horizontal="left" indent="1"/>
    </xf>
    <xf numFmtId="0" fontId="4" fillId="0" borderId="0" xfId="3" applyFont="1" applyFill="1" applyAlignment="1">
      <alignment horizontal="center"/>
    </xf>
    <xf numFmtId="3" fontId="2" fillId="0" borderId="1" xfId="4" applyNumberFormat="1" applyFont="1" applyFill="1" applyBorder="1"/>
    <xf numFmtId="5" fontId="0" fillId="0" borderId="1" xfId="2" applyNumberFormat="1" applyFont="1" applyFill="1" applyBorder="1"/>
    <xf numFmtId="164" fontId="2" fillId="0" borderId="1" xfId="4" applyNumberFormat="1" applyFont="1" applyFill="1" applyBorder="1"/>
    <xf numFmtId="164" fontId="2" fillId="0" borderId="0" xfId="1" applyNumberFormat="1" applyFont="1" applyFill="1" applyAlignment="1">
      <alignment horizontal="left" indent="1"/>
    </xf>
    <xf numFmtId="41" fontId="2" fillId="0" borderId="0" xfId="1" applyNumberFormat="1" applyFont="1" applyFill="1" applyAlignment="1">
      <alignment horizontal="left" indent="1"/>
    </xf>
    <xf numFmtId="3" fontId="2" fillId="0" borderId="0" xfId="4" applyNumberFormat="1" applyFont="1" applyFill="1" applyBorder="1" applyAlignment="1">
      <alignment wrapText="1"/>
    </xf>
    <xf numFmtId="164" fontId="2" fillId="0" borderId="0" xfId="4" applyNumberFormat="1" applyFont="1" applyFill="1" applyBorder="1" applyAlignment="1">
      <alignment vertical="center"/>
    </xf>
    <xf numFmtId="0" fontId="2" fillId="0" borderId="0" xfId="3" applyFont="1" applyFill="1" applyBorder="1"/>
    <xf numFmtId="17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7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37" fontId="4" fillId="0" borderId="0" xfId="3" quotePrefix="1" applyNumberFormat="1" applyFont="1" applyFill="1" applyAlignment="1">
      <alignment horizontal="center"/>
    </xf>
    <xf numFmtId="39" fontId="4" fillId="0" borderId="0" xfId="3" quotePrefix="1" applyNumberFormat="1" applyFont="1" applyFill="1" applyBorder="1" applyAlignment="1">
      <alignment horizontal="center"/>
    </xf>
    <xf numFmtId="39" fontId="4" fillId="0" borderId="0" xfId="3" applyNumberFormat="1" applyFont="1" applyFill="1" applyBorder="1" applyAlignment="1">
      <alignment horizontal="center"/>
    </xf>
    <xf numFmtId="37" fontId="4" fillId="0" borderId="0" xfId="3" applyNumberFormat="1" applyFont="1" applyFill="1" applyAlignment="1">
      <alignment horizontal="center"/>
    </xf>
    <xf numFmtId="37" fontId="4" fillId="0" borderId="0" xfId="3" applyNumberFormat="1" applyFont="1" applyFill="1"/>
    <xf numFmtId="37" fontId="4" fillId="0" borderId="0" xfId="3" applyNumberFormat="1" applyFont="1" applyFill="1" applyAlignment="1" applyProtection="1">
      <protection locked="0"/>
    </xf>
    <xf numFmtId="0" fontId="4" fillId="0" borderId="0" xfId="3" applyFont="1" applyFill="1" applyAlignment="1" applyProtection="1">
      <protection locked="0"/>
    </xf>
    <xf numFmtId="0" fontId="2" fillId="0" borderId="0" xfId="3" applyFont="1" applyFill="1" applyAlignment="1">
      <alignment wrapText="1"/>
    </xf>
    <xf numFmtId="164" fontId="2" fillId="0" borderId="0" xfId="4" applyNumberFormat="1" applyFont="1" applyFill="1" applyBorder="1" applyAlignment="1">
      <alignment horizontal="center" vertical="center"/>
    </xf>
    <xf numFmtId="3" fontId="2" fillId="0" borderId="0" xfId="4" applyNumberFormat="1" applyFont="1" applyFill="1" applyAlignment="1">
      <alignment horizontal="right" vertical="center"/>
    </xf>
    <xf numFmtId="0" fontId="4" fillId="2" borderId="0" xfId="3" applyFont="1" applyFill="1" applyAlignment="1">
      <alignment horizontal="center"/>
    </xf>
  </cellXfs>
  <cellStyles count="6">
    <cellStyle name="Comma" xfId="1" builtinId="3"/>
    <cellStyle name="Comma 2" xfId="4"/>
    <cellStyle name="Currency 2" xfId="5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8-035-T05%20RMP%20Advice%2018-06%20Native%20Exhibits%2011-9-18.zip\Exhibit%20B%20-%20Forecast%20with%20Proposed%20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Acct-Proposed Rate"/>
    </sheetNames>
    <sheetDataSet>
      <sheetData sheetId="0">
        <row r="69">
          <cell r="B69">
            <v>45492519.82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.140625" defaultRowHeight="12.75" outlineLevelCol="1" x14ac:dyDescent="0.2"/>
  <cols>
    <col min="1" max="1" width="44.140625" style="1" customWidth="1"/>
    <col min="2" max="2" width="13.5703125" style="2" customWidth="1" outlineLevel="1"/>
    <col min="3" max="3" width="12.5703125" style="2" customWidth="1" outlineLevel="1"/>
    <col min="4" max="4" width="11.42578125" style="2" customWidth="1"/>
    <col min="5" max="5" width="12.5703125" style="1" bestFit="1" customWidth="1"/>
    <col min="6" max="6" width="12.28515625" style="1" bestFit="1" customWidth="1"/>
    <col min="7" max="7" width="14.5703125" style="1" customWidth="1"/>
    <col min="8" max="8" width="14.28515625" style="1" customWidth="1"/>
    <col min="9" max="9" width="11.85546875" style="1" customWidth="1"/>
    <col min="10" max="10" width="12.5703125" style="1" customWidth="1"/>
    <col min="11" max="11" width="12.28515625" style="1" customWidth="1"/>
    <col min="12" max="12" width="1.5703125" style="1" customWidth="1"/>
    <col min="13" max="24" width="11.5703125" style="1" customWidth="1" outlineLevel="1"/>
    <col min="25" max="25" width="12.140625" style="1" bestFit="1" customWidth="1"/>
    <col min="26" max="26" width="1.7109375" style="1" customWidth="1"/>
    <col min="27" max="27" width="13" style="1" bestFit="1" customWidth="1"/>
    <col min="28" max="28" width="11.140625" style="1" customWidth="1"/>
    <col min="29" max="29" width="9.140625" style="1"/>
    <col min="30" max="30" width="13.140625" style="1" customWidth="1"/>
    <col min="31" max="31" width="11.42578125" style="1" bestFit="1" customWidth="1"/>
    <col min="32" max="32" width="13.140625" style="1" customWidth="1"/>
    <col min="33" max="33" width="12.28515625" style="1" bestFit="1" customWidth="1"/>
    <col min="34" max="16384" width="9.140625" style="1"/>
  </cols>
  <sheetData>
    <row r="1" spans="1:34" x14ac:dyDescent="0.2">
      <c r="A1" s="53" t="s">
        <v>47</v>
      </c>
      <c r="B1" s="52"/>
      <c r="C1" s="52"/>
      <c r="D1" s="52"/>
    </row>
    <row r="2" spans="1:34" x14ac:dyDescent="0.2">
      <c r="A2" s="11" t="s">
        <v>45</v>
      </c>
      <c r="B2" s="51"/>
      <c r="C2" s="51"/>
      <c r="D2" s="51"/>
      <c r="G2" s="4"/>
      <c r="H2" s="57" t="s">
        <v>44</v>
      </c>
      <c r="I2" s="57"/>
      <c r="J2" s="57"/>
      <c r="K2" s="57"/>
      <c r="N2" s="11"/>
    </row>
    <row r="3" spans="1:34" x14ac:dyDescent="0.2">
      <c r="B3" s="50" t="s">
        <v>43</v>
      </c>
      <c r="C3" s="50" t="s">
        <v>42</v>
      </c>
      <c r="D3" s="50" t="s">
        <v>41</v>
      </c>
      <c r="H3" s="49" t="s">
        <v>40</v>
      </c>
      <c r="I3" s="48" t="s">
        <v>39</v>
      </c>
      <c r="J3" s="48" t="s">
        <v>38</v>
      </c>
      <c r="K3" s="48" t="s">
        <v>37</v>
      </c>
      <c r="Y3" s="34" t="s">
        <v>36</v>
      </c>
      <c r="AA3" s="34" t="s">
        <v>9</v>
      </c>
    </row>
    <row r="4" spans="1:34" x14ac:dyDescent="0.2">
      <c r="B4" s="47" t="s">
        <v>34</v>
      </c>
      <c r="C4" s="47" t="s">
        <v>35</v>
      </c>
      <c r="D4" s="47" t="s">
        <v>34</v>
      </c>
      <c r="E4" s="45">
        <v>43374</v>
      </c>
      <c r="F4" s="45">
        <v>43405</v>
      </c>
      <c r="G4" s="45">
        <v>43435</v>
      </c>
      <c r="H4" s="46" t="s">
        <v>33</v>
      </c>
      <c r="I4" s="44" t="s">
        <v>2</v>
      </c>
      <c r="J4" s="44" t="s">
        <v>2</v>
      </c>
      <c r="K4" s="44" t="s">
        <v>2</v>
      </c>
      <c r="L4" s="43"/>
      <c r="M4" s="45">
        <v>43101</v>
      </c>
      <c r="N4" s="45">
        <v>43132</v>
      </c>
      <c r="O4" s="45">
        <v>43160</v>
      </c>
      <c r="P4" s="45">
        <v>43191</v>
      </c>
      <c r="Q4" s="45">
        <v>43221</v>
      </c>
      <c r="R4" s="45">
        <v>43252</v>
      </c>
      <c r="S4" s="45">
        <v>43282</v>
      </c>
      <c r="T4" s="45">
        <v>43313</v>
      </c>
      <c r="U4" s="45">
        <v>43344</v>
      </c>
      <c r="V4" s="45">
        <v>43374</v>
      </c>
      <c r="W4" s="45">
        <v>43405</v>
      </c>
      <c r="X4" s="45">
        <v>43435</v>
      </c>
      <c r="Y4" s="45" t="s">
        <v>32</v>
      </c>
      <c r="Z4" s="42"/>
      <c r="AA4" s="44" t="s">
        <v>2</v>
      </c>
      <c r="AB4" s="42"/>
      <c r="AC4" s="42"/>
      <c r="AD4" s="42"/>
      <c r="AE4" s="42"/>
      <c r="AF4" s="42"/>
      <c r="AG4" s="42"/>
      <c r="AH4" s="42"/>
    </row>
    <row r="5" spans="1:34" x14ac:dyDescent="0.2">
      <c r="E5" s="43"/>
      <c r="F5" s="43"/>
      <c r="G5" s="43"/>
      <c r="H5" s="44"/>
      <c r="I5" s="44"/>
      <c r="J5" s="44"/>
      <c r="K5" s="44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2"/>
      <c r="AA5" s="12"/>
      <c r="AB5" s="42"/>
      <c r="AC5" s="42"/>
      <c r="AD5" s="42"/>
      <c r="AE5" s="42"/>
      <c r="AF5" s="42"/>
      <c r="AG5" s="42"/>
      <c r="AH5" s="42"/>
    </row>
    <row r="6" spans="1:34" x14ac:dyDescent="0.2">
      <c r="A6" s="11" t="s">
        <v>31</v>
      </c>
      <c r="B6" s="19"/>
      <c r="C6" s="19"/>
      <c r="D6" s="19"/>
      <c r="E6" s="42"/>
      <c r="F6" s="42"/>
      <c r="G6" s="42"/>
      <c r="H6" s="42"/>
      <c r="I6" s="42"/>
      <c r="J6" s="42"/>
      <c r="K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AA6" s="12"/>
    </row>
    <row r="7" spans="1:34" ht="15" x14ac:dyDescent="0.25">
      <c r="A7" s="33" t="s">
        <v>30</v>
      </c>
      <c r="B7" s="31">
        <v>1510642.48</v>
      </c>
      <c r="C7" s="31">
        <v>2000000</v>
      </c>
      <c r="D7" s="31">
        <f>SUM(B7:C7)</f>
        <v>3510642.48</v>
      </c>
      <c r="E7" s="17">
        <f>+(-$D$7+$K$7)/3</f>
        <v>779785.84</v>
      </c>
      <c r="F7" s="17">
        <f>+(-$D$7+$K$7)/3</f>
        <v>779785.84</v>
      </c>
      <c r="G7" s="17">
        <f>+(-$D$7+$K$7)/3</f>
        <v>779785.84</v>
      </c>
      <c r="H7" s="17">
        <f>SUM(D7:G7)</f>
        <v>5850000</v>
      </c>
      <c r="I7" s="17">
        <v>4500000</v>
      </c>
      <c r="J7" s="17">
        <v>5850000</v>
      </c>
      <c r="K7" s="17">
        <v>5850000</v>
      </c>
      <c r="M7" s="30">
        <v>350000</v>
      </c>
      <c r="N7" s="30">
        <v>350000</v>
      </c>
      <c r="O7" s="30">
        <v>350000</v>
      </c>
      <c r="P7" s="30">
        <v>350000</v>
      </c>
      <c r="Q7" s="30">
        <v>350000</v>
      </c>
      <c r="R7" s="30">
        <v>350000</v>
      </c>
      <c r="S7" s="30">
        <v>350000</v>
      </c>
      <c r="T7" s="30">
        <v>350000</v>
      </c>
      <c r="U7" s="30">
        <v>350000</v>
      </c>
      <c r="V7" s="30">
        <v>350000</v>
      </c>
      <c r="W7" s="30">
        <v>2450000</v>
      </c>
      <c r="X7" s="30">
        <v>350000</v>
      </c>
      <c r="Y7" s="18">
        <f>SUM(M7:X7)</f>
        <v>6300000</v>
      </c>
      <c r="Z7" s="5"/>
      <c r="AA7" s="25">
        <v>6300000</v>
      </c>
    </row>
    <row r="8" spans="1:34" ht="15" x14ac:dyDescent="0.25">
      <c r="A8" s="33" t="s">
        <v>29</v>
      </c>
      <c r="B8" s="31">
        <v>33155.51</v>
      </c>
      <c r="C8" s="31"/>
      <c r="D8" s="31">
        <f>SUM(B8:C8)</f>
        <v>33155.51</v>
      </c>
      <c r="E8" s="38">
        <f>+(+$K$8-$D$8)/3</f>
        <v>13948.163333333332</v>
      </c>
      <c r="F8" s="38">
        <f>+(+$K$8-$D$8)/3</f>
        <v>13948.163333333332</v>
      </c>
      <c r="G8" s="38">
        <f>+(+$K$8-$D$8)/3</f>
        <v>13948.163333333332</v>
      </c>
      <c r="H8" s="17">
        <f>SUM(D8:G8)</f>
        <v>75000</v>
      </c>
      <c r="I8" s="17">
        <v>75000</v>
      </c>
      <c r="J8" s="17">
        <v>75000</v>
      </c>
      <c r="K8" s="17">
        <v>75000</v>
      </c>
      <c r="M8" s="30">
        <f t="shared" ref="M8:X8" si="0">+$AA$8/12</f>
        <v>6250</v>
      </c>
      <c r="N8" s="30">
        <f t="shared" si="0"/>
        <v>6250</v>
      </c>
      <c r="O8" s="30">
        <f t="shared" si="0"/>
        <v>6250</v>
      </c>
      <c r="P8" s="30">
        <f t="shared" si="0"/>
        <v>6250</v>
      </c>
      <c r="Q8" s="30">
        <f t="shared" si="0"/>
        <v>6250</v>
      </c>
      <c r="R8" s="30">
        <f t="shared" si="0"/>
        <v>6250</v>
      </c>
      <c r="S8" s="30">
        <f t="shared" si="0"/>
        <v>6250</v>
      </c>
      <c r="T8" s="30">
        <f t="shared" si="0"/>
        <v>6250</v>
      </c>
      <c r="U8" s="30">
        <f t="shared" si="0"/>
        <v>6250</v>
      </c>
      <c r="V8" s="30">
        <f t="shared" si="0"/>
        <v>6250</v>
      </c>
      <c r="W8" s="30">
        <f t="shared" si="0"/>
        <v>6250</v>
      </c>
      <c r="X8" s="30">
        <f t="shared" si="0"/>
        <v>6250</v>
      </c>
      <c r="Y8" s="18">
        <f>SUM(M8:X8)</f>
        <v>75000</v>
      </c>
      <c r="Z8" s="5"/>
      <c r="AA8" s="25">
        <v>75000</v>
      </c>
    </row>
    <row r="9" spans="1:34" ht="15" x14ac:dyDescent="0.25">
      <c r="A9" s="33" t="s">
        <v>28</v>
      </c>
      <c r="B9" s="31">
        <v>1071429.96</v>
      </c>
      <c r="C9" s="31">
        <f>35550.75+255.87</f>
        <v>35806.620000000003</v>
      </c>
      <c r="D9" s="31">
        <f>SUM(B9:C9)</f>
        <v>1107236.58</v>
      </c>
      <c r="E9" s="38">
        <f>+(+$K$9-$D$9)/3</f>
        <v>80921.13999999997</v>
      </c>
      <c r="F9" s="38">
        <f>+(+$K$9-$D$9)/3</f>
        <v>80921.13999999997</v>
      </c>
      <c r="G9" s="38">
        <f>+(+$K$9-$D$9)/3</f>
        <v>80921.13999999997</v>
      </c>
      <c r="H9" s="17">
        <f>SUM(D9:G9)</f>
        <v>1349999.9999999998</v>
      </c>
      <c r="I9" s="17">
        <v>2700112</v>
      </c>
      <c r="J9" s="17">
        <v>1350000</v>
      </c>
      <c r="K9" s="17">
        <v>1350000</v>
      </c>
      <c r="M9" s="30">
        <f t="shared" ref="M9:X9" si="1">+$AA$9/12</f>
        <v>104166.66666666667</v>
      </c>
      <c r="N9" s="30">
        <f t="shared" si="1"/>
        <v>104166.66666666667</v>
      </c>
      <c r="O9" s="30">
        <f t="shared" si="1"/>
        <v>104166.66666666667</v>
      </c>
      <c r="P9" s="30">
        <f t="shared" si="1"/>
        <v>104166.66666666667</v>
      </c>
      <c r="Q9" s="30">
        <f t="shared" si="1"/>
        <v>104166.66666666667</v>
      </c>
      <c r="R9" s="30">
        <f t="shared" si="1"/>
        <v>104166.66666666667</v>
      </c>
      <c r="S9" s="30">
        <f t="shared" si="1"/>
        <v>104166.66666666667</v>
      </c>
      <c r="T9" s="30">
        <f t="shared" si="1"/>
        <v>104166.66666666667</v>
      </c>
      <c r="U9" s="30">
        <f t="shared" si="1"/>
        <v>104166.66666666667</v>
      </c>
      <c r="V9" s="30">
        <f t="shared" si="1"/>
        <v>104166.66666666667</v>
      </c>
      <c r="W9" s="30">
        <f t="shared" si="1"/>
        <v>104166.66666666667</v>
      </c>
      <c r="X9" s="30">
        <f t="shared" si="1"/>
        <v>104166.66666666667</v>
      </c>
      <c r="Y9" s="18">
        <f>SUM(M9:X9)</f>
        <v>1250000</v>
      </c>
      <c r="Z9" s="5"/>
      <c r="AA9" s="25">
        <v>1250000</v>
      </c>
    </row>
    <row r="10" spans="1:34" ht="15" x14ac:dyDescent="0.25">
      <c r="A10" s="33" t="s">
        <v>27</v>
      </c>
      <c r="B10" s="31">
        <v>7524179.4199999999</v>
      </c>
      <c r="C10" s="31">
        <f>1181762.31+68819.51</f>
        <v>1250581.82</v>
      </c>
      <c r="D10" s="31">
        <f>SUM(B10:C10)</f>
        <v>8774761.2400000002</v>
      </c>
      <c r="E10" s="38">
        <f>($K$10-$D$10)/3</f>
        <v>1337746.2533333332</v>
      </c>
      <c r="F10" s="38">
        <f>($K$10-$D$10)/3</f>
        <v>1337746.2533333332</v>
      </c>
      <c r="G10" s="38">
        <f>($K$10-$D$10)/3</f>
        <v>1337746.2533333332</v>
      </c>
      <c r="H10" s="17">
        <f>SUM(D10:G10)</f>
        <v>12788000.000000002</v>
      </c>
      <c r="I10" s="41">
        <v>13482751</v>
      </c>
      <c r="J10" s="17">
        <v>14213630</v>
      </c>
      <c r="K10" s="41">
        <f>12553000+235000</f>
        <v>12788000</v>
      </c>
      <c r="M10" s="30">
        <f t="shared" ref="M10:X10" si="2">+$AA$10*M30</f>
        <v>323322.538</v>
      </c>
      <c r="N10" s="30">
        <f t="shared" si="2"/>
        <v>911181.69799999997</v>
      </c>
      <c r="O10" s="30">
        <f t="shared" si="2"/>
        <v>1116932.4039999999</v>
      </c>
      <c r="P10" s="30">
        <f t="shared" si="2"/>
        <v>1190414.7990000001</v>
      </c>
      <c r="Q10" s="30">
        <f t="shared" si="2"/>
        <v>1322683.1099999999</v>
      </c>
      <c r="R10" s="30">
        <f t="shared" si="2"/>
        <v>1190414.7990000001</v>
      </c>
      <c r="S10" s="30">
        <f t="shared" si="2"/>
        <v>881788.74</v>
      </c>
      <c r="T10" s="30">
        <f t="shared" si="2"/>
        <v>1131628.8829999999</v>
      </c>
      <c r="U10" s="30">
        <f t="shared" si="2"/>
        <v>1352076.068</v>
      </c>
      <c r="V10" s="30">
        <f t="shared" si="2"/>
        <v>1660702.1270000001</v>
      </c>
      <c r="W10" s="30">
        <f t="shared" si="2"/>
        <v>969967.61400000006</v>
      </c>
      <c r="X10" s="30">
        <f t="shared" si="2"/>
        <v>2645366.2199999997</v>
      </c>
      <c r="Y10" s="18">
        <f>SUM(M10:X10)</f>
        <v>14696479</v>
      </c>
      <c r="Z10" s="5"/>
      <c r="AA10" s="25">
        <f>14458479+238000</f>
        <v>14696479</v>
      </c>
    </row>
    <row r="11" spans="1:34" ht="15" x14ac:dyDescent="0.25">
      <c r="A11" s="34"/>
      <c r="B11" s="27">
        <f t="shared" ref="B11:K11" si="3">SUM(B7:B10)</f>
        <v>10139407.370000001</v>
      </c>
      <c r="C11" s="27">
        <f t="shared" si="3"/>
        <v>3286388.4400000004</v>
      </c>
      <c r="D11" s="27">
        <f t="shared" si="3"/>
        <v>13425795.810000001</v>
      </c>
      <c r="E11" s="37">
        <f t="shared" si="3"/>
        <v>2212401.3966666665</v>
      </c>
      <c r="F11" s="37">
        <f t="shared" si="3"/>
        <v>2212401.3966666665</v>
      </c>
      <c r="G11" s="37">
        <f t="shared" si="3"/>
        <v>2212401.3966666665</v>
      </c>
      <c r="H11" s="37">
        <f t="shared" si="3"/>
        <v>20063000</v>
      </c>
      <c r="I11" s="37">
        <f t="shared" si="3"/>
        <v>20757863</v>
      </c>
      <c r="J11" s="37">
        <f t="shared" si="3"/>
        <v>21488630</v>
      </c>
      <c r="K11" s="37">
        <f t="shared" si="3"/>
        <v>20063000</v>
      </c>
      <c r="M11" s="36">
        <f t="shared" ref="M11:Y11" si="4">SUM(M7:M10)</f>
        <v>783739.20466666669</v>
      </c>
      <c r="N11" s="36">
        <f t="shared" si="4"/>
        <v>1371598.3646666666</v>
      </c>
      <c r="O11" s="36">
        <f t="shared" si="4"/>
        <v>1577349.0706666666</v>
      </c>
      <c r="P11" s="36">
        <f t="shared" si="4"/>
        <v>1650831.4656666669</v>
      </c>
      <c r="Q11" s="36">
        <f t="shared" si="4"/>
        <v>1783099.7766666666</v>
      </c>
      <c r="R11" s="36">
        <f t="shared" si="4"/>
        <v>1650831.4656666669</v>
      </c>
      <c r="S11" s="36">
        <f t="shared" si="4"/>
        <v>1342205.4066666667</v>
      </c>
      <c r="T11" s="36">
        <f t="shared" si="4"/>
        <v>1592045.5496666667</v>
      </c>
      <c r="U11" s="36">
        <f t="shared" si="4"/>
        <v>1812492.7346666667</v>
      </c>
      <c r="V11" s="36">
        <f t="shared" si="4"/>
        <v>2121118.7936666668</v>
      </c>
      <c r="W11" s="36">
        <f t="shared" si="4"/>
        <v>3530384.2806666666</v>
      </c>
      <c r="X11" s="36">
        <f t="shared" si="4"/>
        <v>3105782.8866666663</v>
      </c>
      <c r="Y11" s="35">
        <f t="shared" si="4"/>
        <v>22321479</v>
      </c>
      <c r="Z11" s="5"/>
      <c r="AA11" s="35">
        <f>SUM(AA7:AA10)</f>
        <v>22321479</v>
      </c>
      <c r="AB11" s="25"/>
    </row>
    <row r="12" spans="1:34" ht="15" x14ac:dyDescent="0.25">
      <c r="B12" s="31"/>
      <c r="C12" s="31"/>
      <c r="D12" s="31"/>
      <c r="E12" s="12"/>
      <c r="F12" s="12"/>
      <c r="G12" s="12"/>
      <c r="H12" s="12"/>
      <c r="I12" s="12"/>
      <c r="J12" s="12"/>
      <c r="K12" s="1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5"/>
      <c r="Z12" s="5"/>
      <c r="AA12" s="25"/>
      <c r="AB12" s="25"/>
    </row>
    <row r="13" spans="1:34" ht="15" x14ac:dyDescent="0.25">
      <c r="A13" s="11" t="s">
        <v>26</v>
      </c>
      <c r="B13" s="19"/>
      <c r="C13" s="19"/>
      <c r="D13" s="19"/>
      <c r="E13" s="12"/>
      <c r="F13" s="12"/>
      <c r="G13" s="12"/>
      <c r="H13" s="12"/>
      <c r="I13" s="12"/>
      <c r="J13" s="12"/>
      <c r="K13" s="12"/>
      <c r="M13" s="30" t="s">
        <v>25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5"/>
      <c r="Z13" s="5"/>
      <c r="AA13" s="25"/>
      <c r="AB13" s="25"/>
    </row>
    <row r="14" spans="1:34" ht="15" x14ac:dyDescent="0.25">
      <c r="A14" s="33" t="s">
        <v>24</v>
      </c>
      <c r="B14" s="31">
        <f>12483400.23+(6108214.69*0.76)</f>
        <v>17125643.394400001</v>
      </c>
      <c r="C14" s="31"/>
      <c r="D14" s="31">
        <f>SUM(B14:C14)</f>
        <v>17125643.394400001</v>
      </c>
      <c r="E14" s="17"/>
      <c r="F14" s="17"/>
      <c r="G14" s="17"/>
      <c r="H14" s="55">
        <f>SUM(D15:G15)+D14</f>
        <v>28909750</v>
      </c>
      <c r="I14" s="56">
        <v>37978641</v>
      </c>
      <c r="J14" s="17">
        <f>30943340+2000000+1000000</f>
        <v>33943340</v>
      </c>
      <c r="K14" s="56">
        <f>28109750+800000</f>
        <v>28909750</v>
      </c>
      <c r="M14" s="30">
        <f t="shared" ref="M14:X14" si="5">+$AA$14*M31</f>
        <v>2118938.8859999999</v>
      </c>
      <c r="N14" s="30">
        <f t="shared" si="5"/>
        <v>3217647.9380000001</v>
      </c>
      <c r="O14" s="30">
        <f t="shared" si="5"/>
        <v>2746772.6300000004</v>
      </c>
      <c r="P14" s="30">
        <f t="shared" si="5"/>
        <v>3727762.855</v>
      </c>
      <c r="Q14" s="30">
        <f t="shared" si="5"/>
        <v>1961980.4500000002</v>
      </c>
      <c r="R14" s="30">
        <f t="shared" si="5"/>
        <v>3060689.5019999999</v>
      </c>
      <c r="S14" s="30">
        <f t="shared" si="5"/>
        <v>2668293.412</v>
      </c>
      <c r="T14" s="30">
        <f t="shared" si="5"/>
        <v>3178408.3289999999</v>
      </c>
      <c r="U14" s="30">
        <f t="shared" si="5"/>
        <v>1765782.405</v>
      </c>
      <c r="V14" s="30">
        <f t="shared" si="5"/>
        <v>2903731.0659999996</v>
      </c>
      <c r="W14" s="30">
        <f t="shared" si="5"/>
        <v>3884721.2910000002</v>
      </c>
      <c r="X14" s="30">
        <f t="shared" si="5"/>
        <v>8004880.2359999996</v>
      </c>
      <c r="Y14" s="18">
        <f>SUM(M14:X14)</f>
        <v>39239609</v>
      </c>
      <c r="Z14" s="5"/>
      <c r="AA14" s="25">
        <f>36439609+800000+2000000</f>
        <v>39239609</v>
      </c>
    </row>
    <row r="15" spans="1:34" ht="15" x14ac:dyDescent="0.25">
      <c r="A15" s="33" t="s">
        <v>23</v>
      </c>
      <c r="B15" s="31">
        <f>223695.73+3682539.4+(6108214.69*0.24)</f>
        <v>5372206.6556000002</v>
      </c>
      <c r="C15" s="31">
        <f>369295.65+270388.34+60324.87+1271827.73+7689.58+261741.07+900+16994.36+5343.5+17173.26+2011.25</f>
        <v>2283689.6099999994</v>
      </c>
      <c r="D15" s="31">
        <f>SUM(B15:C15)</f>
        <v>7655896.2655999996</v>
      </c>
      <c r="E15" s="17">
        <f>+($K$14-($D$15+$D$14))/3</f>
        <v>1376070.1133333333</v>
      </c>
      <c r="F15" s="17">
        <f>+($K$14-($D$15+$D$14))/3</f>
        <v>1376070.1133333333</v>
      </c>
      <c r="G15" s="17">
        <f>+($K$14-($D$15+$D$14))/3</f>
        <v>1376070.1133333333</v>
      </c>
      <c r="H15" s="55"/>
      <c r="I15" s="56"/>
      <c r="J15" s="17">
        <v>0</v>
      </c>
      <c r="K15" s="56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0"/>
      <c r="Z15" s="5"/>
      <c r="AA15" s="25"/>
    </row>
    <row r="16" spans="1:34" ht="15" x14ac:dyDescent="0.25">
      <c r="A16" s="33" t="s">
        <v>22</v>
      </c>
      <c r="B16" s="31">
        <v>8757.86</v>
      </c>
      <c r="C16" s="31">
        <v>600000</v>
      </c>
      <c r="D16" s="31">
        <f>SUM(B16:C16)</f>
        <v>608757.86</v>
      </c>
      <c r="E16" s="39">
        <v>-110000</v>
      </c>
      <c r="F16" s="38">
        <v>600</v>
      </c>
      <c r="G16" s="38">
        <v>642</v>
      </c>
      <c r="H16" s="17">
        <f>SUM(D16:G16)</f>
        <v>499999.86</v>
      </c>
      <c r="I16" s="17">
        <f>600000-100000</f>
        <v>500000</v>
      </c>
      <c r="J16" s="17">
        <v>500000</v>
      </c>
      <c r="K16" s="17">
        <v>500000</v>
      </c>
      <c r="M16" s="30">
        <v>2000</v>
      </c>
      <c r="N16" s="30">
        <v>2000</v>
      </c>
      <c r="O16" s="30">
        <v>2000</v>
      </c>
      <c r="P16" s="30">
        <v>2000</v>
      </c>
      <c r="Q16" s="30">
        <v>2000</v>
      </c>
      <c r="R16" s="30">
        <v>2000</v>
      </c>
      <c r="S16" s="30">
        <v>2000</v>
      </c>
      <c r="T16" s="30">
        <v>2000</v>
      </c>
      <c r="U16" s="30">
        <v>2000</v>
      </c>
      <c r="V16" s="30">
        <v>2000</v>
      </c>
      <c r="W16" s="30">
        <v>628000</v>
      </c>
      <c r="X16" s="30">
        <v>2000</v>
      </c>
      <c r="Y16" s="18">
        <f>SUM(M16:X16)</f>
        <v>650000</v>
      </c>
      <c r="Z16" s="5"/>
      <c r="AA16" s="25">
        <v>650000</v>
      </c>
    </row>
    <row r="17" spans="1:35" ht="15" x14ac:dyDescent="0.25">
      <c r="A17" s="34"/>
      <c r="B17" s="27">
        <f t="shared" ref="B17:K17" si="6">SUM(B14:B16)</f>
        <v>22506607.91</v>
      </c>
      <c r="C17" s="27">
        <f t="shared" si="6"/>
        <v>2883689.6099999994</v>
      </c>
      <c r="D17" s="27">
        <f t="shared" si="6"/>
        <v>25390297.52</v>
      </c>
      <c r="E17" s="27">
        <f t="shared" si="6"/>
        <v>1266070.1133333333</v>
      </c>
      <c r="F17" s="27">
        <f t="shared" si="6"/>
        <v>1376670.1133333333</v>
      </c>
      <c r="G17" s="27">
        <f t="shared" si="6"/>
        <v>1376712.1133333333</v>
      </c>
      <c r="H17" s="37">
        <f t="shared" si="6"/>
        <v>29409749.859999999</v>
      </c>
      <c r="I17" s="37">
        <f t="shared" si="6"/>
        <v>38478641</v>
      </c>
      <c r="J17" s="37">
        <f t="shared" si="6"/>
        <v>34443340</v>
      </c>
      <c r="K17" s="37">
        <f t="shared" si="6"/>
        <v>29409750</v>
      </c>
      <c r="M17" s="36">
        <f t="shared" ref="M17:Y17" si="7">SUM(M14:M16)</f>
        <v>2120938.8859999999</v>
      </c>
      <c r="N17" s="36">
        <f t="shared" si="7"/>
        <v>3219647.9380000001</v>
      </c>
      <c r="O17" s="36">
        <f t="shared" si="7"/>
        <v>2748772.6300000004</v>
      </c>
      <c r="P17" s="36">
        <f t="shared" si="7"/>
        <v>3729762.855</v>
      </c>
      <c r="Q17" s="36">
        <f t="shared" si="7"/>
        <v>1963980.4500000002</v>
      </c>
      <c r="R17" s="36">
        <f t="shared" si="7"/>
        <v>3062689.5019999999</v>
      </c>
      <c r="S17" s="36">
        <f t="shared" si="7"/>
        <v>2670293.412</v>
      </c>
      <c r="T17" s="36">
        <f t="shared" si="7"/>
        <v>3180408.3289999999</v>
      </c>
      <c r="U17" s="36">
        <f t="shared" si="7"/>
        <v>1767782.405</v>
      </c>
      <c r="V17" s="36">
        <f t="shared" si="7"/>
        <v>2905731.0659999996</v>
      </c>
      <c r="W17" s="36">
        <f t="shared" si="7"/>
        <v>4512721.2910000002</v>
      </c>
      <c r="X17" s="36">
        <f t="shared" si="7"/>
        <v>8006880.2359999996</v>
      </c>
      <c r="Y17" s="35">
        <f t="shared" si="7"/>
        <v>39889609</v>
      </c>
      <c r="Z17" s="5"/>
      <c r="AA17" s="35">
        <f>SUM(AA14:AA16)</f>
        <v>39889609</v>
      </c>
      <c r="AB17" s="25"/>
    </row>
    <row r="18" spans="1:35" ht="15" x14ac:dyDescent="0.25">
      <c r="A18" s="34"/>
      <c r="B18" s="19"/>
      <c r="C18" s="19"/>
      <c r="D18" s="19"/>
      <c r="E18" s="17"/>
      <c r="F18" s="17"/>
      <c r="G18" s="17"/>
      <c r="H18" s="17"/>
      <c r="I18" s="17"/>
      <c r="J18" s="17"/>
      <c r="K18" s="17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18"/>
      <c r="Z18" s="5"/>
      <c r="AA18" s="25"/>
      <c r="AB18" s="25"/>
    </row>
    <row r="19" spans="1:35" ht="15" x14ac:dyDescent="0.25">
      <c r="A19" s="33" t="s">
        <v>21</v>
      </c>
      <c r="B19" s="31">
        <v>840883.28</v>
      </c>
      <c r="C19" s="31">
        <v>43593.75</v>
      </c>
      <c r="D19" s="31">
        <f>SUM(B19:C19)</f>
        <v>884477.03</v>
      </c>
      <c r="E19" s="32">
        <f>+($K$19-$D$19)/3</f>
        <v>158507.65666666665</v>
      </c>
      <c r="F19" s="32">
        <f>+($K$19-$D$19)/3</f>
        <v>158507.65666666665</v>
      </c>
      <c r="G19" s="32">
        <f>+($K$19-$D$19)/3</f>
        <v>158507.65666666665</v>
      </c>
      <c r="H19" s="17">
        <f>SUM(D19:G19)</f>
        <v>1360000</v>
      </c>
      <c r="I19" s="17">
        <v>1325000</v>
      </c>
      <c r="J19" s="17">
        <v>1325000</v>
      </c>
      <c r="K19" s="17">
        <v>1360000</v>
      </c>
      <c r="M19" s="30">
        <f t="shared" ref="M19:X19" si="8">+$AA$19/12</f>
        <v>125000</v>
      </c>
      <c r="N19" s="30">
        <f t="shared" si="8"/>
        <v>125000</v>
      </c>
      <c r="O19" s="30">
        <f t="shared" si="8"/>
        <v>125000</v>
      </c>
      <c r="P19" s="30">
        <f t="shared" si="8"/>
        <v>125000</v>
      </c>
      <c r="Q19" s="30">
        <f t="shared" si="8"/>
        <v>125000</v>
      </c>
      <c r="R19" s="30">
        <f t="shared" si="8"/>
        <v>125000</v>
      </c>
      <c r="S19" s="30">
        <f t="shared" si="8"/>
        <v>125000</v>
      </c>
      <c r="T19" s="30">
        <f t="shared" si="8"/>
        <v>125000</v>
      </c>
      <c r="U19" s="30">
        <f t="shared" si="8"/>
        <v>125000</v>
      </c>
      <c r="V19" s="30">
        <f t="shared" si="8"/>
        <v>125000</v>
      </c>
      <c r="W19" s="30">
        <f t="shared" si="8"/>
        <v>125000</v>
      </c>
      <c r="X19" s="30">
        <f t="shared" si="8"/>
        <v>125000</v>
      </c>
      <c r="Y19" s="18">
        <f>SUM(M19:X19)</f>
        <v>1500000</v>
      </c>
      <c r="Z19" s="5"/>
      <c r="AA19" s="25">
        <v>1500000</v>
      </c>
    </row>
    <row r="20" spans="1:35" ht="15" x14ac:dyDescent="0.25">
      <c r="A20" s="33" t="s">
        <v>20</v>
      </c>
      <c r="B20" s="31">
        <v>218557.55</v>
      </c>
      <c r="C20" s="31"/>
      <c r="D20" s="31">
        <f>SUM(B20:C20)</f>
        <v>218557.55</v>
      </c>
      <c r="E20" s="32">
        <f>+($K$20-$D$20)/3</f>
        <v>5050.1033333333326</v>
      </c>
      <c r="F20" s="32">
        <f>+($K$20-$D$20)/3</f>
        <v>5050.1033333333326</v>
      </c>
      <c r="G20" s="32">
        <f>+($K$20-$D$20)/3</f>
        <v>5050.1033333333326</v>
      </c>
      <c r="H20" s="17">
        <f>SUM(D20:G20)</f>
        <v>233707.86</v>
      </c>
      <c r="I20" s="17">
        <f>171600+50000-17600</f>
        <v>204000</v>
      </c>
      <c r="J20" s="17">
        <v>208000</v>
      </c>
      <c r="K20" s="17">
        <f>63207.86+170500</f>
        <v>233707.86</v>
      </c>
      <c r="M20" s="30">
        <v>28000</v>
      </c>
      <c r="N20" s="30">
        <v>135000</v>
      </c>
      <c r="O20" s="30">
        <v>24000</v>
      </c>
      <c r="P20" s="30">
        <v>12000</v>
      </c>
      <c r="Q20" s="30">
        <v>12000</v>
      </c>
      <c r="R20" s="30">
        <v>12000</v>
      </c>
      <c r="S20" s="30">
        <v>12000</v>
      </c>
      <c r="T20" s="30">
        <v>12000</v>
      </c>
      <c r="U20" s="30">
        <v>12000</v>
      </c>
      <c r="V20" s="30">
        <v>12000</v>
      </c>
      <c r="W20" s="30">
        <v>12000</v>
      </c>
      <c r="X20" s="30">
        <v>12000</v>
      </c>
      <c r="Y20" s="18">
        <f>SUM(M20:X20)</f>
        <v>295000</v>
      </c>
      <c r="Z20" s="5"/>
      <c r="AA20" s="25">
        <f>220000+75000</f>
        <v>295000</v>
      </c>
    </row>
    <row r="21" spans="1:35" ht="15" x14ac:dyDescent="0.25">
      <c r="A21" s="33" t="s">
        <v>19</v>
      </c>
      <c r="B21" s="31">
        <v>278873.36</v>
      </c>
      <c r="C21" s="31">
        <f>55489.1+7377</f>
        <v>62866.1</v>
      </c>
      <c r="D21" s="31">
        <f>SUM(B21:C21)</f>
        <v>341739.45999999996</v>
      </c>
      <c r="E21" s="32">
        <f>+($K$21-$D$21)/3</f>
        <v>29520.180000000011</v>
      </c>
      <c r="F21" s="32">
        <f>+($K$21-$D$21)/3</f>
        <v>29520.180000000011</v>
      </c>
      <c r="G21" s="32">
        <f>+($K$21-$D$21)/3</f>
        <v>29520.180000000011</v>
      </c>
      <c r="H21" s="17">
        <f>SUM(D21:G21)</f>
        <v>430299.99999999994</v>
      </c>
      <c r="I21" s="17">
        <v>165460.19</v>
      </c>
      <c r="J21" s="17">
        <v>418000</v>
      </c>
      <c r="K21" s="17">
        <v>430300</v>
      </c>
      <c r="M21" s="30">
        <f t="shared" ref="M21:X21" si="9">+$AA$21/12</f>
        <v>22092.166666666668</v>
      </c>
      <c r="N21" s="30">
        <f t="shared" si="9"/>
        <v>22092.166666666668</v>
      </c>
      <c r="O21" s="30">
        <f t="shared" si="9"/>
        <v>22092.166666666668</v>
      </c>
      <c r="P21" s="30">
        <f t="shared" si="9"/>
        <v>22092.166666666668</v>
      </c>
      <c r="Q21" s="30">
        <f t="shared" si="9"/>
        <v>22092.166666666668</v>
      </c>
      <c r="R21" s="30">
        <f t="shared" si="9"/>
        <v>22092.166666666668</v>
      </c>
      <c r="S21" s="30">
        <f t="shared" si="9"/>
        <v>22092.166666666668</v>
      </c>
      <c r="T21" s="30">
        <f t="shared" si="9"/>
        <v>22092.166666666668</v>
      </c>
      <c r="U21" s="30">
        <f t="shared" si="9"/>
        <v>22092.166666666668</v>
      </c>
      <c r="V21" s="30">
        <f t="shared" si="9"/>
        <v>22092.166666666668</v>
      </c>
      <c r="W21" s="30">
        <f t="shared" si="9"/>
        <v>22092.166666666668</v>
      </c>
      <c r="X21" s="30">
        <f t="shared" si="9"/>
        <v>22092.166666666668</v>
      </c>
      <c r="Y21" s="18">
        <f>SUM(M21:X21)</f>
        <v>265105.99999999994</v>
      </c>
      <c r="Z21" s="5"/>
      <c r="AA21" s="25">
        <v>265106</v>
      </c>
    </row>
    <row r="22" spans="1:35" ht="15" x14ac:dyDescent="0.25">
      <c r="A22" s="33" t="s">
        <v>18</v>
      </c>
      <c r="B22" s="31">
        <v>140088.57999999999</v>
      </c>
      <c r="C22" s="31"/>
      <c r="D22" s="31">
        <f>SUM(B22:C22)</f>
        <v>140088.57999999999</v>
      </c>
      <c r="E22" s="32">
        <f>+($K$22-$D$22)/3</f>
        <v>18670.473333333339</v>
      </c>
      <c r="F22" s="32">
        <f>+($K$22-$D$22)/3</f>
        <v>18670.473333333339</v>
      </c>
      <c r="G22" s="32">
        <f>+($K$22-$D$22)/3</f>
        <v>18670.473333333339</v>
      </c>
      <c r="H22" s="17">
        <f>SUM(D22:G22)</f>
        <v>196099.99999999997</v>
      </c>
      <c r="I22" s="17">
        <v>403673.14</v>
      </c>
      <c r="J22" s="17">
        <v>179000</v>
      </c>
      <c r="K22" s="17">
        <v>196100</v>
      </c>
      <c r="M22" s="30">
        <f t="shared" ref="M22:X22" si="10">+$AA$22/12</f>
        <v>27864</v>
      </c>
      <c r="N22" s="30">
        <f t="shared" si="10"/>
        <v>27864</v>
      </c>
      <c r="O22" s="30">
        <f t="shared" si="10"/>
        <v>27864</v>
      </c>
      <c r="P22" s="30">
        <f t="shared" si="10"/>
        <v>27864</v>
      </c>
      <c r="Q22" s="30">
        <f t="shared" si="10"/>
        <v>27864</v>
      </c>
      <c r="R22" s="30">
        <f t="shared" si="10"/>
        <v>27864</v>
      </c>
      <c r="S22" s="30">
        <f t="shared" si="10"/>
        <v>27864</v>
      </c>
      <c r="T22" s="30">
        <f t="shared" si="10"/>
        <v>27864</v>
      </c>
      <c r="U22" s="30">
        <f t="shared" si="10"/>
        <v>27864</v>
      </c>
      <c r="V22" s="30">
        <f t="shared" si="10"/>
        <v>27864</v>
      </c>
      <c r="W22" s="30">
        <f t="shared" si="10"/>
        <v>27864</v>
      </c>
      <c r="X22" s="30">
        <f t="shared" si="10"/>
        <v>27864</v>
      </c>
      <c r="Y22" s="18">
        <f>SUM(M22:X22)</f>
        <v>334368</v>
      </c>
      <c r="Z22" s="5"/>
      <c r="AA22" s="25">
        <v>334368</v>
      </c>
    </row>
    <row r="23" spans="1:35" ht="15" x14ac:dyDescent="0.25">
      <c r="A23" s="33" t="s">
        <v>17</v>
      </c>
      <c r="B23" s="31">
        <v>53288.28</v>
      </c>
      <c r="C23" s="31"/>
      <c r="D23" s="31">
        <f>SUM(B23:C23)</f>
        <v>53288.28</v>
      </c>
      <c r="E23" s="32">
        <f>($K$23-$D$23)/3</f>
        <v>7637.2400000000007</v>
      </c>
      <c r="F23" s="32">
        <f>($K$23-$D$23)/3</f>
        <v>7637.2400000000007</v>
      </c>
      <c r="G23" s="32">
        <f>($K$23-$D$23)/3</f>
        <v>7637.2400000000007</v>
      </c>
      <c r="H23" s="17">
        <f>SUM(D23:G23)</f>
        <v>76200</v>
      </c>
      <c r="I23" s="17">
        <v>13935</v>
      </c>
      <c r="J23" s="17">
        <v>64500</v>
      </c>
      <c r="K23" s="17">
        <v>76200</v>
      </c>
      <c r="M23" s="30">
        <f t="shared" ref="M23:X23" si="11">+$AA$23/12</f>
        <v>1250</v>
      </c>
      <c r="N23" s="30">
        <f t="shared" si="11"/>
        <v>1250</v>
      </c>
      <c r="O23" s="30">
        <f t="shared" si="11"/>
        <v>1250</v>
      </c>
      <c r="P23" s="30">
        <f t="shared" si="11"/>
        <v>1250</v>
      </c>
      <c r="Q23" s="30">
        <f t="shared" si="11"/>
        <v>1250</v>
      </c>
      <c r="R23" s="30">
        <f t="shared" si="11"/>
        <v>1250</v>
      </c>
      <c r="S23" s="30">
        <f t="shared" si="11"/>
        <v>1250</v>
      </c>
      <c r="T23" s="30">
        <f t="shared" si="11"/>
        <v>1250</v>
      </c>
      <c r="U23" s="30">
        <f t="shared" si="11"/>
        <v>1250</v>
      </c>
      <c r="V23" s="30">
        <f t="shared" si="11"/>
        <v>1250</v>
      </c>
      <c r="W23" s="30">
        <f t="shared" si="11"/>
        <v>1250</v>
      </c>
      <c r="X23" s="30">
        <f t="shared" si="11"/>
        <v>1250</v>
      </c>
      <c r="Y23" s="18">
        <f>SUM(M23:X23)</f>
        <v>15000</v>
      </c>
      <c r="Z23" s="29"/>
      <c r="AA23" s="25">
        <v>15000</v>
      </c>
    </row>
    <row r="24" spans="1:35" ht="15" x14ac:dyDescent="0.25">
      <c r="B24" s="31"/>
      <c r="C24" s="31"/>
      <c r="D24" s="31"/>
      <c r="E24" s="7"/>
      <c r="F24" s="7"/>
      <c r="G24" s="7"/>
      <c r="H24" s="12"/>
      <c r="I24" s="12"/>
      <c r="J24" s="12"/>
      <c r="K24" s="1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5"/>
      <c r="Z24" s="29"/>
      <c r="AA24" s="25"/>
      <c r="AB24" s="25"/>
    </row>
    <row r="25" spans="1:35" x14ac:dyDescent="0.2">
      <c r="A25" s="28" t="s">
        <v>16</v>
      </c>
      <c r="B25" s="27">
        <f t="shared" ref="B25:K25" si="12">+B11+B17+SUM(B19:B24)</f>
        <v>34177706.329999998</v>
      </c>
      <c r="C25" s="27">
        <f t="shared" si="12"/>
        <v>6276537.8999999994</v>
      </c>
      <c r="D25" s="27">
        <f t="shared" si="12"/>
        <v>40454244.229999997</v>
      </c>
      <c r="E25" s="27">
        <f t="shared" si="12"/>
        <v>3697857.1633333331</v>
      </c>
      <c r="F25" s="27">
        <f t="shared" si="12"/>
        <v>3808457.1633333331</v>
      </c>
      <c r="G25" s="27">
        <f t="shared" si="12"/>
        <v>3808499.1633333331</v>
      </c>
      <c r="H25" s="27">
        <f t="shared" si="12"/>
        <v>51769057.719999999</v>
      </c>
      <c r="I25" s="27">
        <f t="shared" si="12"/>
        <v>61348572.329999998</v>
      </c>
      <c r="J25" s="27">
        <f t="shared" si="12"/>
        <v>58126470</v>
      </c>
      <c r="K25" s="27">
        <f t="shared" si="12"/>
        <v>51769057.859999999</v>
      </c>
      <c r="L25" s="27"/>
      <c r="M25" s="27">
        <f t="shared" ref="M25:Y25" si="13">+M11+M17+SUM(M19:M24)</f>
        <v>3108884.2573333331</v>
      </c>
      <c r="N25" s="27">
        <f t="shared" si="13"/>
        <v>4902452.4693333339</v>
      </c>
      <c r="O25" s="27">
        <f t="shared" si="13"/>
        <v>4526327.8673333339</v>
      </c>
      <c r="P25" s="27">
        <f t="shared" si="13"/>
        <v>5568800.4873333341</v>
      </c>
      <c r="Q25" s="27">
        <f t="shared" si="13"/>
        <v>3935286.3933333331</v>
      </c>
      <c r="R25" s="27">
        <f t="shared" si="13"/>
        <v>4901727.1343333339</v>
      </c>
      <c r="S25" s="27">
        <f t="shared" si="13"/>
        <v>4200704.9853333337</v>
      </c>
      <c r="T25" s="27">
        <f t="shared" si="13"/>
        <v>4960660.0453333333</v>
      </c>
      <c r="U25" s="27">
        <f t="shared" si="13"/>
        <v>3768481.3063333333</v>
      </c>
      <c r="V25" s="27">
        <f t="shared" si="13"/>
        <v>5215056.026333333</v>
      </c>
      <c r="W25" s="27">
        <f t="shared" si="13"/>
        <v>8231311.7383333342</v>
      </c>
      <c r="X25" s="27">
        <f t="shared" si="13"/>
        <v>11300869.289333332</v>
      </c>
      <c r="Y25" s="26">
        <f t="shared" si="13"/>
        <v>64620562</v>
      </c>
      <c r="Z25" s="26"/>
      <c r="AA25" s="26">
        <f>+AA11+AA17+SUM(AA19:AA24)</f>
        <v>64620562</v>
      </c>
      <c r="AB25" s="25"/>
    </row>
    <row r="26" spans="1:35" s="11" customFormat="1" x14ac:dyDescent="0.2">
      <c r="B26" s="19"/>
      <c r="C26" s="19"/>
      <c r="D26" s="19"/>
      <c r="E26" s="24"/>
      <c r="F26" s="24"/>
      <c r="G26" s="24"/>
      <c r="H26" s="24"/>
      <c r="I26" s="24"/>
      <c r="J26" s="24"/>
      <c r="K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3"/>
      <c r="Z26" s="22"/>
      <c r="AA26" s="12"/>
    </row>
    <row r="27" spans="1:35" x14ac:dyDescent="0.2">
      <c r="A27" s="21"/>
      <c r="B27" s="20"/>
      <c r="C27" s="19"/>
      <c r="D27" s="19"/>
      <c r="E27" s="12"/>
      <c r="H27" s="18">
        <f>+'[2]Balancing Acct-Proposed Rate'!B69</f>
        <v>45492519.82</v>
      </c>
      <c r="I27" s="14" t="s">
        <v>15</v>
      </c>
      <c r="K27" s="1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6"/>
      <c r="AA27" s="12"/>
    </row>
    <row r="28" spans="1:35" x14ac:dyDescent="0.2">
      <c r="E28" s="12"/>
      <c r="H28" s="15">
        <f>+H25-H27</f>
        <v>6276537.8999999985</v>
      </c>
      <c r="I28" s="14" t="s">
        <v>14</v>
      </c>
      <c r="K28" s="13"/>
      <c r="M28" s="12"/>
      <c r="N28" s="12"/>
      <c r="O28" s="12"/>
      <c r="P28" s="12"/>
      <c r="Q28" s="12"/>
      <c r="R28" s="12"/>
      <c r="S28" s="12"/>
      <c r="T28" s="12"/>
      <c r="U28" s="12"/>
    </row>
    <row r="29" spans="1:35" x14ac:dyDescent="0.2">
      <c r="A29" s="11" t="s">
        <v>13</v>
      </c>
      <c r="H29" s="5">
        <f>SUM(H27:H28)</f>
        <v>51769057.719999999</v>
      </c>
      <c r="M29" s="1" t="s">
        <v>12</v>
      </c>
    </row>
    <row r="30" spans="1:35" x14ac:dyDescent="0.2">
      <c r="A30" s="1" t="s">
        <v>11</v>
      </c>
      <c r="M30" s="1">
        <v>2.1999999999999999E-2</v>
      </c>
      <c r="N30" s="1">
        <v>6.2E-2</v>
      </c>
      <c r="O30" s="1">
        <v>7.5999999999999998E-2</v>
      </c>
      <c r="P30" s="1">
        <v>8.1000000000000003E-2</v>
      </c>
      <c r="Q30" s="1">
        <v>0.09</v>
      </c>
      <c r="R30" s="1">
        <v>8.1000000000000003E-2</v>
      </c>
      <c r="S30" s="1">
        <v>0.06</v>
      </c>
      <c r="T30" s="1">
        <v>7.6999999999999999E-2</v>
      </c>
      <c r="U30" s="1">
        <v>9.1999999999999998E-2</v>
      </c>
      <c r="V30" s="1">
        <v>0.113</v>
      </c>
      <c r="W30" s="1">
        <v>6.6000000000000003E-2</v>
      </c>
      <c r="X30" s="1">
        <v>0.18</v>
      </c>
      <c r="Y30" s="1">
        <f>SUM(M30:X30)</f>
        <v>0.99999999999999978</v>
      </c>
      <c r="Z30" s="1" t="s">
        <v>46</v>
      </c>
      <c r="AD30" s="1" t="s">
        <v>10</v>
      </c>
      <c r="AE30" s="1" t="s">
        <v>9</v>
      </c>
      <c r="AF30" s="1" t="s">
        <v>8</v>
      </c>
      <c r="AG30" s="1" t="s">
        <v>8</v>
      </c>
      <c r="AH30" s="1" t="s">
        <v>7</v>
      </c>
    </row>
    <row r="31" spans="1:35" x14ac:dyDescent="0.2">
      <c r="A31" s="1" t="s">
        <v>6</v>
      </c>
      <c r="M31" s="1">
        <v>5.3999999999999999E-2</v>
      </c>
      <c r="N31" s="1">
        <v>8.2000000000000003E-2</v>
      </c>
      <c r="O31" s="1">
        <v>7.0000000000000007E-2</v>
      </c>
      <c r="P31" s="1">
        <v>9.5000000000000001E-2</v>
      </c>
      <c r="Q31" s="1">
        <v>0.05</v>
      </c>
      <c r="R31" s="1">
        <v>7.8E-2</v>
      </c>
      <c r="S31" s="1">
        <v>6.8000000000000005E-2</v>
      </c>
      <c r="T31" s="1">
        <v>8.1000000000000003E-2</v>
      </c>
      <c r="U31" s="1">
        <v>4.4999999999999998E-2</v>
      </c>
      <c r="V31" s="1">
        <v>7.3999999999999996E-2</v>
      </c>
      <c r="W31" s="1">
        <v>9.9000000000000005E-2</v>
      </c>
      <c r="X31" s="1">
        <v>0.20399999999999999</v>
      </c>
      <c r="Y31" s="1">
        <f>SUM(M31:X31)</f>
        <v>1</v>
      </c>
      <c r="Z31" s="1" t="s">
        <v>5</v>
      </c>
      <c r="AD31" s="1" t="s">
        <v>4</v>
      </c>
      <c r="AE31" s="1" t="s">
        <v>4</v>
      </c>
      <c r="AF31" s="1" t="s">
        <v>3</v>
      </c>
      <c r="AG31" s="1" t="s">
        <v>2</v>
      </c>
      <c r="AH31" s="1" t="s">
        <v>1</v>
      </c>
    </row>
    <row r="32" spans="1:35" ht="25.5" x14ac:dyDescent="0.2">
      <c r="A32" s="54" t="s">
        <v>0</v>
      </c>
      <c r="K32" s="5"/>
      <c r="M32" s="10"/>
      <c r="AA32" s="5"/>
      <c r="AD32" s="1">
        <v>170</v>
      </c>
      <c r="AE32" s="1">
        <v>300</v>
      </c>
      <c r="AF32" s="7">
        <v>5453049</v>
      </c>
      <c r="AG32" s="7">
        <v>28700257</v>
      </c>
      <c r="AH32" s="6">
        <f t="shared" ref="AH32:AH38" si="14">+AF32/(AG32/1000)</f>
        <v>190.00000592329189</v>
      </c>
      <c r="AI32" s="6"/>
    </row>
    <row r="33" spans="5:35" x14ac:dyDescent="0.2">
      <c r="K33" s="5"/>
      <c r="AA33" s="5"/>
      <c r="AD33" s="1">
        <v>70</v>
      </c>
      <c r="AE33" s="1">
        <v>150</v>
      </c>
      <c r="AF33" s="7">
        <v>266290</v>
      </c>
      <c r="AG33" s="7">
        <v>8876324</v>
      </c>
      <c r="AH33" s="6">
        <f t="shared" si="14"/>
        <v>30.000031544589852</v>
      </c>
      <c r="AI33" s="6"/>
    </row>
    <row r="34" spans="5:35" x14ac:dyDescent="0.2">
      <c r="K34" s="5"/>
      <c r="AA34" s="5"/>
      <c r="AD34" s="1">
        <v>200</v>
      </c>
      <c r="AE34" s="1">
        <v>80</v>
      </c>
      <c r="AF34" s="7">
        <v>13468877</v>
      </c>
      <c r="AG34" s="7">
        <v>55302270</v>
      </c>
      <c r="AH34" s="6">
        <f t="shared" si="14"/>
        <v>243.55016530062872</v>
      </c>
      <c r="AI34" s="6"/>
    </row>
    <row r="35" spans="5:35" x14ac:dyDescent="0.2">
      <c r="K35" s="5"/>
      <c r="AA35" s="5"/>
      <c r="AD35" s="1">
        <v>240</v>
      </c>
      <c r="AE35" s="1">
        <v>200</v>
      </c>
      <c r="AF35" s="7">
        <v>1148373</v>
      </c>
      <c r="AG35" s="7">
        <v>4500000</v>
      </c>
      <c r="AH35" s="6">
        <f t="shared" si="14"/>
        <v>255.19399999999999</v>
      </c>
      <c r="AI35" s="6"/>
    </row>
    <row r="36" spans="5:35" x14ac:dyDescent="0.2">
      <c r="E36" s="2"/>
      <c r="F36" s="2"/>
      <c r="G36" s="2"/>
      <c r="K36" s="5"/>
      <c r="AA36" s="5"/>
      <c r="AD36" s="1">
        <v>180</v>
      </c>
      <c r="AE36" s="1">
        <v>200</v>
      </c>
      <c r="AF36" s="7">
        <v>3006497</v>
      </c>
      <c r="AG36" s="7">
        <v>15400286</v>
      </c>
      <c r="AH36" s="6">
        <f t="shared" si="14"/>
        <v>195.22345234367725</v>
      </c>
      <c r="AI36" s="6"/>
    </row>
    <row r="37" spans="5:35" x14ac:dyDescent="0.2">
      <c r="E37" s="7"/>
      <c r="F37" s="7"/>
      <c r="G37" s="2"/>
      <c r="K37" s="5"/>
      <c r="AA37" s="5"/>
      <c r="AD37" s="1">
        <v>360</v>
      </c>
      <c r="AE37" s="1">
        <v>170</v>
      </c>
      <c r="AF37" s="7">
        <v>3870616</v>
      </c>
      <c r="AG37" s="7">
        <v>12549999</v>
      </c>
      <c r="AH37" s="6">
        <f t="shared" si="14"/>
        <v>308.41564210483205</v>
      </c>
      <c r="AI37" s="6"/>
    </row>
    <row r="38" spans="5:35" x14ac:dyDescent="0.2">
      <c r="E38" s="9"/>
      <c r="F38" s="9"/>
      <c r="G38" s="9"/>
      <c r="K38" s="8"/>
      <c r="AA38" s="8"/>
      <c r="AD38" s="1">
        <v>210</v>
      </c>
      <c r="AE38" s="1">
        <v>350</v>
      </c>
      <c r="AF38" s="7">
        <v>896048</v>
      </c>
      <c r="AG38" s="7">
        <v>7701879</v>
      </c>
      <c r="AH38" s="6">
        <f t="shared" si="14"/>
        <v>116.3414797869455</v>
      </c>
      <c r="AI38" s="6"/>
    </row>
    <row r="39" spans="5:35" x14ac:dyDescent="0.2">
      <c r="E39" s="3"/>
      <c r="K39" s="5"/>
      <c r="AA39" s="5"/>
      <c r="AF39" s="4">
        <f>SUM(AF32:AF38)</f>
        <v>28109750</v>
      </c>
    </row>
    <row r="40" spans="5:35" x14ac:dyDescent="0.2">
      <c r="G40" s="3"/>
    </row>
  </sheetData>
  <mergeCells count="4">
    <mergeCell ref="H14:H15"/>
    <mergeCell ref="K14:K15"/>
    <mergeCell ref="I14:I15"/>
    <mergeCell ref="H2:K2"/>
  </mergeCells>
  <pageMargins left="0.45" right="0.45" top="0.75" bottom="0.75" header="0.3" footer="0.3"/>
  <pageSetup scale="59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Projected DSM Expenditures</vt:lpstr>
      <vt:lpstr>'Projected DSM Expenditures'!Print_Area</vt:lpstr>
      <vt:lpstr>'Projected DSM Expenditures'!Print_Titles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2018-11-07T19:16:21Z</dcterms:created>
  <dcterms:modified xsi:type="dcterms:W3CDTF">2018-11-09T16:56:02Z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