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/>
  </bookViews>
  <sheets>
    <sheet name="Balancing Acct-Current Rate" sheetId="1" r:id="rId1"/>
  </sheets>
  <externalReferences>
    <externalReference r:id="rId2"/>
    <externalReference r:id="rId3"/>
    <externalReference r:id="rId4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DUDE" hidden="1">#REF!</definedName>
    <definedName name="limcount" hidden="1">1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#REF!</definedName>
    <definedName name="z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E13" i="1"/>
  <c r="F13" i="1" s="1"/>
  <c r="B25" i="1"/>
  <c r="C25" i="1"/>
  <c r="D25" i="1"/>
  <c r="E29" i="1"/>
  <c r="B41" i="1"/>
  <c r="C41" i="1"/>
  <c r="D41" i="1"/>
  <c r="B55" i="1"/>
  <c r="C55" i="1"/>
  <c r="D55" i="1"/>
  <c r="B66" i="1"/>
  <c r="D66" i="1"/>
  <c r="D69" i="1" s="1"/>
  <c r="B67" i="1"/>
  <c r="D67" i="1"/>
  <c r="B68" i="1"/>
  <c r="D68" i="1"/>
  <c r="C69" i="1"/>
  <c r="B71" i="1"/>
  <c r="D71" i="1"/>
  <c r="B72" i="1"/>
  <c r="D72" i="1"/>
  <c r="B73" i="1"/>
  <c r="D73" i="1"/>
  <c r="B74" i="1"/>
  <c r="D74" i="1"/>
  <c r="B75" i="1"/>
  <c r="D75" i="1"/>
  <c r="B76" i="1"/>
  <c r="D76" i="1"/>
  <c r="B77" i="1"/>
  <c r="D77" i="1"/>
  <c r="B78" i="1"/>
  <c r="D78" i="1"/>
  <c r="B79" i="1"/>
  <c r="D79" i="1"/>
  <c r="B80" i="1"/>
  <c r="D80" i="1"/>
  <c r="B81" i="1"/>
  <c r="D81" i="1"/>
  <c r="B82" i="1"/>
  <c r="D82" i="1"/>
  <c r="C83" i="1"/>
  <c r="D83" i="1"/>
  <c r="J13" i="1" l="1"/>
  <c r="G94" i="1"/>
  <c r="B69" i="1"/>
  <c r="B83" i="1"/>
  <c r="E14" i="1"/>
  <c r="F14" i="1" s="1"/>
  <c r="G14" i="1" s="1"/>
  <c r="G90" i="1"/>
  <c r="F29" i="1"/>
  <c r="G29" i="1" s="1"/>
  <c r="J29" i="1"/>
  <c r="C85" i="1"/>
  <c r="G13" i="1"/>
  <c r="E15" i="1" l="1"/>
  <c r="F15" i="1" s="1"/>
  <c r="J14" i="1"/>
  <c r="E30" i="1"/>
  <c r="J30" i="1" s="1"/>
  <c r="J15" i="1" l="1"/>
  <c r="E16" i="1"/>
  <c r="J16" i="1" s="1"/>
  <c r="F16" i="1"/>
  <c r="G15" i="1"/>
  <c r="F30" i="1"/>
  <c r="E31" i="1" l="1"/>
  <c r="G30" i="1"/>
  <c r="E17" i="1"/>
  <c r="F17" i="1" s="1"/>
  <c r="G16" i="1"/>
  <c r="J17" i="1" l="1"/>
  <c r="J31" i="1"/>
  <c r="F31" i="1"/>
  <c r="E18" i="1"/>
  <c r="F18" i="1" s="1"/>
  <c r="G17" i="1"/>
  <c r="E19" i="1" l="1"/>
  <c r="F19" i="1" s="1"/>
  <c r="G18" i="1"/>
  <c r="J18" i="1"/>
  <c r="E32" i="1"/>
  <c r="J32" i="1" s="1"/>
  <c r="G31" i="1"/>
  <c r="J19" i="1" l="1"/>
  <c r="E20" i="1"/>
  <c r="J20" i="1" s="1"/>
  <c r="F20" i="1"/>
  <c r="G19" i="1"/>
  <c r="F32" i="1"/>
  <c r="E33" i="1" l="1"/>
  <c r="J33" i="1" s="1"/>
  <c r="G32" i="1"/>
  <c r="E21" i="1"/>
  <c r="J21" i="1" s="1"/>
  <c r="G20" i="1"/>
  <c r="F21" i="1" l="1"/>
  <c r="F33" i="1"/>
  <c r="E34" i="1" l="1"/>
  <c r="J34" i="1" s="1"/>
  <c r="G33" i="1"/>
  <c r="E22" i="1"/>
  <c r="J22" i="1" s="1"/>
  <c r="G21" i="1"/>
  <c r="F22" i="1" l="1"/>
  <c r="F34" i="1"/>
  <c r="E35" i="1" l="1"/>
  <c r="J35" i="1" s="1"/>
  <c r="G34" i="1"/>
  <c r="E23" i="1"/>
  <c r="G22" i="1"/>
  <c r="E25" i="1" l="1"/>
  <c r="J23" i="1"/>
  <c r="J24" i="1" s="1"/>
  <c r="F23" i="1"/>
  <c r="F35" i="1"/>
  <c r="F24" i="1" l="1"/>
  <c r="G24" i="1" s="1"/>
  <c r="G23" i="1"/>
  <c r="E36" i="1"/>
  <c r="J36" i="1" s="1"/>
  <c r="G35" i="1"/>
  <c r="F36" i="1" l="1"/>
  <c r="E37" i="1" l="1"/>
  <c r="J37" i="1" s="1"/>
  <c r="G36" i="1"/>
  <c r="F37" i="1" l="1"/>
  <c r="E38" i="1" l="1"/>
  <c r="J38" i="1" s="1"/>
  <c r="G37" i="1"/>
  <c r="F38" i="1" l="1"/>
  <c r="E39" i="1" l="1"/>
  <c r="J39" i="1" s="1"/>
  <c r="G38" i="1"/>
  <c r="F39" i="1" l="1"/>
  <c r="E40" i="1" l="1"/>
  <c r="G39" i="1"/>
  <c r="E41" i="1" l="1"/>
  <c r="J40" i="1"/>
  <c r="F40" i="1"/>
  <c r="E43" i="1" l="1"/>
  <c r="G40" i="1"/>
  <c r="F43" i="1" l="1"/>
  <c r="J43" i="1"/>
  <c r="E44" i="1" l="1"/>
  <c r="G43" i="1"/>
  <c r="F44" i="1" l="1"/>
  <c r="J44" i="1"/>
  <c r="E45" i="1" l="1"/>
  <c r="G44" i="1"/>
  <c r="F45" i="1" l="1"/>
  <c r="J45" i="1"/>
  <c r="E46" i="1" l="1"/>
  <c r="J46" i="1" s="1"/>
  <c r="G45" i="1"/>
  <c r="F46" i="1" l="1"/>
  <c r="E47" i="1" l="1"/>
  <c r="J47" i="1" s="1"/>
  <c r="G46" i="1"/>
  <c r="F47" i="1" l="1"/>
  <c r="E48" i="1" l="1"/>
  <c r="J48" i="1" s="1"/>
  <c r="G47" i="1"/>
  <c r="F48" i="1" l="1"/>
  <c r="E49" i="1" l="1"/>
  <c r="J49" i="1" s="1"/>
  <c r="G48" i="1"/>
  <c r="F49" i="1" l="1"/>
  <c r="E50" i="1" l="1"/>
  <c r="J50" i="1" s="1"/>
  <c r="G49" i="1"/>
  <c r="F50" i="1" l="1"/>
  <c r="E51" i="1" l="1"/>
  <c r="J51" i="1" s="1"/>
  <c r="G50" i="1"/>
  <c r="F51" i="1" l="1"/>
  <c r="E52" i="1" l="1"/>
  <c r="J52" i="1" s="1"/>
  <c r="G51" i="1"/>
  <c r="F52" i="1" l="1"/>
  <c r="E53" i="1" l="1"/>
  <c r="J53" i="1" s="1"/>
  <c r="G52" i="1"/>
  <c r="F53" i="1" l="1"/>
  <c r="E54" i="1" l="1"/>
  <c r="G53" i="1"/>
  <c r="E55" i="1" l="1"/>
  <c r="J54" i="1"/>
  <c r="F54" i="1"/>
  <c r="E57" i="1" l="1"/>
  <c r="G54" i="1"/>
  <c r="F57" i="1" l="1"/>
  <c r="J57" i="1"/>
  <c r="E58" i="1" l="1"/>
  <c r="G57" i="1"/>
  <c r="F58" i="1" l="1"/>
  <c r="J58" i="1"/>
  <c r="E59" i="1" l="1"/>
  <c r="J59" i="1" s="1"/>
  <c r="G58" i="1"/>
  <c r="F59" i="1" l="1"/>
  <c r="E60" i="1" l="1"/>
  <c r="J60" i="1" s="1"/>
  <c r="G59" i="1"/>
  <c r="F60" i="1" l="1"/>
  <c r="E61" i="1" l="1"/>
  <c r="J61" i="1" s="1"/>
  <c r="G60" i="1"/>
  <c r="F61" i="1" l="1"/>
  <c r="E62" i="1" l="1"/>
  <c r="J62" i="1" s="1"/>
  <c r="G61" i="1"/>
  <c r="F62" i="1" l="1"/>
  <c r="E63" i="1" l="1"/>
  <c r="J63" i="1" s="1"/>
  <c r="G62" i="1"/>
  <c r="F63" i="1" l="1"/>
  <c r="E64" i="1" l="1"/>
  <c r="J64" i="1" s="1"/>
  <c r="G63" i="1"/>
  <c r="F64" i="1" l="1"/>
  <c r="E65" i="1" l="1"/>
  <c r="J65" i="1" s="1"/>
  <c r="G64" i="1"/>
  <c r="F65" i="1" l="1"/>
  <c r="E66" i="1" l="1"/>
  <c r="F66" i="1" s="1"/>
  <c r="G65" i="1"/>
  <c r="G88" i="1" s="1"/>
  <c r="G66" i="1" l="1"/>
  <c r="E67" i="1"/>
  <c r="F67" i="1" s="1"/>
  <c r="J66" i="1"/>
  <c r="E68" i="1" l="1"/>
  <c r="E69" i="1" s="1"/>
  <c r="G67" i="1"/>
  <c r="J67" i="1"/>
  <c r="J68" i="1" s="1"/>
  <c r="F68" i="1" l="1"/>
  <c r="G68" i="1" l="1"/>
  <c r="E71" i="1"/>
  <c r="F71" i="1" s="1"/>
  <c r="J71" i="1" l="1"/>
  <c r="E72" i="1"/>
  <c r="F72" i="1" s="1"/>
  <c r="G71" i="1"/>
  <c r="G72" i="1" l="1"/>
  <c r="E73" i="1"/>
  <c r="F73" i="1" s="1"/>
  <c r="J72" i="1"/>
  <c r="J73" i="1" l="1"/>
  <c r="G73" i="1"/>
  <c r="E74" i="1"/>
  <c r="J74" i="1" s="1"/>
  <c r="F74" i="1" l="1"/>
  <c r="F75" i="1" s="1"/>
  <c r="G74" i="1"/>
  <c r="E75" i="1"/>
  <c r="J75" i="1" s="1"/>
  <c r="E76" i="1" l="1"/>
  <c r="F76" i="1" s="1"/>
  <c r="G75" i="1"/>
  <c r="J76" i="1"/>
  <c r="G76" i="1" l="1"/>
  <c r="E77" i="1"/>
  <c r="F77" i="1" s="1"/>
  <c r="J77" i="1" l="1"/>
  <c r="E78" i="1"/>
  <c r="F78" i="1" s="1"/>
  <c r="G77" i="1"/>
  <c r="J78" i="1"/>
  <c r="G78" i="1" l="1"/>
  <c r="E79" i="1"/>
  <c r="F79" i="1" s="1"/>
  <c r="E80" i="1" l="1"/>
  <c r="F80" i="1" s="1"/>
  <c r="G79" i="1"/>
  <c r="J79" i="1"/>
  <c r="J80" i="1" s="1"/>
  <c r="G80" i="1" l="1"/>
  <c r="E81" i="1"/>
  <c r="F81" i="1" s="1"/>
  <c r="J81" i="1" l="1"/>
  <c r="G81" i="1"/>
  <c r="E82" i="1"/>
  <c r="J82" i="1"/>
  <c r="G91" i="1" l="1"/>
  <c r="G92" i="1" s="1"/>
  <c r="G96" i="1" s="1"/>
  <c r="E83" i="1"/>
  <c r="F82" i="1"/>
  <c r="G82" i="1" s="1"/>
</calcChain>
</file>

<file path=xl/sharedStrings.xml><?xml version="1.0" encoding="utf-8"?>
<sst xmlns="http://schemas.openxmlformats.org/spreadsheetml/2006/main" count="92" uniqueCount="44">
  <si>
    <t xml:space="preserve">   Supported with data from November 1, 2018 filing</t>
  </si>
  <si>
    <t xml:space="preserve">   Rate Recovery estimates for 2019 calc from June 2018 forecast from Regulation</t>
  </si>
  <si>
    <t xml:space="preserve">   Figures provided through Sept 2018 are actuals.</t>
  </si>
  <si>
    <t>Notes:</t>
  </si>
  <si>
    <t>Forecast DSM balancing account as of December 31, 2019</t>
  </si>
  <si>
    <t>Total DSM surcharge collections through December 2019</t>
  </si>
  <si>
    <t>Total expenses through December 2019</t>
  </si>
  <si>
    <t>Forecast carrying charges through December 2019</t>
  </si>
  <si>
    <t>Forecast DSM expenses through December 2019</t>
  </si>
  <si>
    <t>DSM balancing account as of Sept 30, 2018</t>
  </si>
  <si>
    <t>Total Accurals</t>
  </si>
  <si>
    <t>2019 totals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</si>
  <si>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</si>
  <si>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</si>
  <si>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</si>
  <si>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</si>
  <si>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</si>
  <si>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</si>
  <si>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</si>
  <si>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</si>
  <si>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</si>
  <si>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</si>
  <si>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</si>
  <si>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</si>
  <si>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2018 totals</t>
  </si>
  <si>
    <t>2017 totals</t>
  </si>
  <si>
    <t>2016 totals</t>
  </si>
  <si>
    <t>2015 totals</t>
  </si>
  <si>
    <t>2014 totals</t>
  </si>
  <si>
    <t>2013 totals</t>
  </si>
  <si>
    <t>2012 totals</t>
  </si>
  <si>
    <t>2011 totals</t>
  </si>
  <si>
    <t xml:space="preserve">Accumulated Balance Total Carrying Costs  </t>
  </si>
  <si>
    <t>Carrying Charge Rate</t>
  </si>
  <si>
    <t xml:space="preserve">Accrual Based Accumulated Balance </t>
  </si>
  <si>
    <t>Cash Basis Accumulated Balance</t>
  </si>
  <si>
    <t xml:space="preserve">Carrying Charge </t>
  </si>
  <si>
    <t>Rate Recovery</t>
  </si>
  <si>
    <t>Accrued Program Costs</t>
  </si>
  <si>
    <t>Monthly Program Costs - Fixed Assets</t>
  </si>
  <si>
    <t/>
  </si>
  <si>
    <t>Using current rate of 3.66%</t>
  </si>
  <si>
    <t>Utah Demand-Side Management Balance Account Analysis</t>
  </si>
  <si>
    <t>Exhibit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</si>
</sst>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2" fillId="0" borderId="0" xfId="1" applyFont="1" applyFill="1" applyAlignment="1">
      <alignment horizontal="left" indent="1"/>
    </xf>
    <xf numFmtId="164" fontId="1" fillId="0" borderId="0" xfId="0" applyNumberFormat="1" applyFont="1"/>
    <xf numFmtId="164" fontId="1" fillId="0" borderId="0" xfId="0" applyNumberFormat="1" applyFont="1" applyFill="1"/>
    <xf numFmtId="0" fontId="3" fillId="0" borderId="0" xfId="1" applyFont="1" applyFill="1" applyAlignment="1">
      <alignment horizontal="left" indent="1"/>
    </xf>
    <xf numFmtId="0" fontId="2" fillId="0" borderId="0" xfId="1" applyFill="1"/>
    <xf numFmtId="0" fontId="1" fillId="0" borderId="0" xfId="0" applyFont="1" applyFill="1"/>
    <xf numFmtId="164" fontId="2" fillId="0" borderId="1" xfId="0" applyNumberFormat="1" applyFont="1" applyFill="1" applyBorder="1"/>
    <xf numFmtId="0" fontId="2" fillId="0" borderId="0" xfId="1" applyFont="1" applyFill="1"/>
    <xf numFmtId="164" fontId="2" fillId="0" borderId="0" xfId="0" applyNumberFormat="1" applyFont="1" applyFill="1"/>
    <xf numFmtId="0" fontId="2" fillId="0" borderId="0" xfId="1" applyFont="1" applyFill="1" applyBorder="1" applyAlignment="1" applyProtection="1">
      <protection locked="0"/>
    </xf>
    <xf numFmtId="164" fontId="2" fillId="0" borderId="2" xfId="0" applyNumberFormat="1" applyFont="1" applyFill="1" applyBorder="1"/>
    <xf numFmtId="164" fontId="2" fillId="0" borderId="0" xfId="2" applyNumberFormat="1" applyFont="1" applyBorder="1" applyAlignment="1" applyProtection="1">
      <protection locked="0"/>
    </xf>
    <xf numFmtId="0" fontId="2" fillId="0" borderId="0" xfId="3" applyFont="1" applyAlignment="1" applyProtection="1">
      <protection locked="0"/>
    </xf>
    <xf numFmtId="164" fontId="2" fillId="0" borderId="0" xfId="3" applyNumberFormat="1" applyFont="1" applyFill="1" applyBorder="1" applyAlignment="1" applyProtection="1">
      <protection locked="0"/>
    </xf>
    <xf numFmtId="0" fontId="2" fillId="0" borderId="0" xfId="3" applyFont="1" applyFill="1"/>
    <xf numFmtId="44" fontId="2" fillId="0" borderId="0" xfId="2" applyFont="1" applyFill="1" applyAlignment="1" applyProtection="1">
      <alignment horizontal="center"/>
      <protection locked="0"/>
    </xf>
    <xf numFmtId="164" fontId="2" fillId="0" borderId="0" xfId="2" applyNumberFormat="1" applyFont="1" applyFill="1" applyAlignment="1" applyProtection="1">
      <protection locked="0"/>
    </xf>
    <xf numFmtId="164" fontId="2" fillId="0" borderId="0" xfId="2" applyNumberFormat="1" applyFont="1" applyFill="1" applyBorder="1" applyAlignment="1" applyProtection="1">
      <protection locked="0"/>
    </xf>
    <xf numFmtId="44" fontId="3" fillId="0" borderId="0" xfId="2" quotePrefix="1" applyFont="1" applyAlignment="1" applyProtection="1">
      <alignment horizontal="center"/>
      <protection locked="0"/>
    </xf>
    <xf numFmtId="164" fontId="2" fillId="0" borderId="2" xfId="2" applyNumberFormat="1" applyFont="1" applyFill="1" applyBorder="1" applyAlignment="1" applyProtection="1">
      <protection locked="0"/>
    </xf>
    <xf numFmtId="164" fontId="2" fillId="0" borderId="2" xfId="2" applyNumberFormat="1" applyFont="1" applyBorder="1" applyAlignment="1" applyProtection="1">
      <protection locked="0"/>
    </xf>
    <xf numFmtId="164" fontId="2" fillId="0" borderId="0" xfId="3" applyNumberFormat="1" applyFont="1" applyFill="1" applyAlignment="1" applyProtection="1">
      <protection locked="0"/>
    </xf>
    <xf numFmtId="10" fontId="2" fillId="0" borderId="0" xfId="3" applyNumberFormat="1" applyFont="1" applyFill="1" applyAlignment="1" applyProtection="1">
      <protection locked="0"/>
    </xf>
    <xf numFmtId="164" fontId="2" fillId="2" borderId="0" xfId="3" applyNumberFormat="1" applyFont="1" applyFill="1" applyAlignment="1" applyProtection="1">
      <protection locked="0"/>
    </xf>
    <xf numFmtId="0" fontId="2" fillId="0" borderId="0" xfId="3" applyFont="1" applyFill="1" applyAlignment="1" applyProtection="1">
      <protection locked="0"/>
    </xf>
    <xf numFmtId="0" fontId="2" fillId="0" borderId="0" xfId="3" applyFont="1" applyBorder="1" applyAlignment="1" applyProtection="1">
      <protection locked="0"/>
    </xf>
    <xf numFmtId="164" fontId="2" fillId="3" borderId="0" xfId="3" applyNumberFormat="1" applyFont="1" applyFill="1" applyAlignment="1" applyProtection="1">
      <protection locked="0"/>
    </xf>
    <xf numFmtId="10" fontId="2" fillId="0" borderId="0" xfId="3" applyNumberFormat="1" applyFont="1" applyAlignment="1" applyProtection="1">
      <protection locked="0"/>
    </xf>
    <xf numFmtId="43" fontId="2" fillId="0" borderId="0" xfId="2" applyNumberFormat="1" applyFont="1" applyFill="1" applyAlignment="1" applyProtection="1">
      <protection locked="0"/>
    </xf>
    <xf numFmtId="43" fontId="2" fillId="0" borderId="0" xfId="3" applyNumberFormat="1" applyFont="1" applyFill="1" applyAlignment="1" applyProtection="1">
      <protection locked="0"/>
    </xf>
    <xf numFmtId="10" fontId="2" fillId="0" borderId="0" xfId="2" applyNumberFormat="1" applyFont="1" applyAlignment="1" applyProtection="1">
      <alignment horizontal="right"/>
      <protection locked="0"/>
    </xf>
    <xf numFmtId="0" fontId="2" fillId="0" borderId="0" xfId="3" applyFont="1" applyFill="1" applyBorder="1" applyAlignment="1" applyProtection="1">
      <protection locked="0"/>
    </xf>
    <xf numFmtId="0" fontId="2" fillId="0" borderId="0" xfId="3" applyFont="1"/>
    <xf numFmtId="44" fontId="2" fillId="0" borderId="0" xfId="2" applyFont="1" applyAlignment="1" applyProtection="1">
      <alignment horizontal="center"/>
      <protection locked="0"/>
    </xf>
    <xf numFmtId="164" fontId="2" fillId="0" borderId="0" xfId="2" applyNumberFormat="1" applyFont="1" applyAlignment="1" applyProtection="1">
      <protection locked="0"/>
    </xf>
    <xf numFmtId="164" fontId="2" fillId="0" borderId="0" xfId="3" applyNumberFormat="1" applyFont="1" applyAlignment="1" applyProtection="1">
      <protection locked="0"/>
    </xf>
    <xf numFmtId="0" fontId="4" fillId="0" borderId="0" xfId="3" applyFont="1" applyAlignment="1" applyProtection="1">
      <protection locked="0"/>
    </xf>
    <xf numFmtId="44" fontId="2" fillId="0" borderId="0" xfId="3" applyNumberFormat="1" applyFont="1" applyFill="1" applyAlignment="1" applyProtection="1">
      <protection locked="0"/>
    </xf>
    <xf numFmtId="10" fontId="2" fillId="0" borderId="0" xfId="4" applyNumberFormat="1" applyFont="1" applyAlignment="1" applyProtection="1">
      <alignment horizontal="center"/>
      <protection locked="0"/>
    </xf>
    <xf numFmtId="44" fontId="2" fillId="0" borderId="0" xfId="3" applyNumberFormat="1" applyFont="1" applyFill="1" applyBorder="1" applyAlignment="1" applyProtection="1">
      <protection locked="0"/>
    </xf>
    <xf numFmtId="0" fontId="3" fillId="0" borderId="0" xfId="3" applyFont="1" applyFill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10" fontId="5" fillId="0" borderId="0" xfId="0" quotePrefix="1" applyNumberFormat="1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protection locked="0"/>
    </xf>
    <xf numFmtId="40" fontId="5" fillId="0" borderId="0" xfId="0" quotePrefix="1" applyNumberFormat="1" applyFont="1" applyFill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3" quotePrefix="1" applyFont="1" applyFill="1" applyAlignment="1" applyProtection="1">
      <alignment horizontal="center"/>
      <protection locked="0"/>
    </xf>
    <xf numFmtId="0" fontId="4" fillId="0" borderId="0" xfId="3" applyFont="1"/>
    <xf numFmtId="0" fontId="4" fillId="0" borderId="0" xfId="3" quotePrefix="1" applyFont="1" applyAlignment="1" applyProtection="1">
      <alignment horizontal="center"/>
      <protection locked="0"/>
    </xf>
    <xf numFmtId="0" fontId="7" fillId="0" borderId="0" xfId="3" quotePrefix="1" applyFont="1" applyFill="1" applyAlignment="1" applyProtection="1">
      <alignment horizontal="center"/>
      <protection locked="0"/>
    </xf>
    <xf numFmtId="0" fontId="4" fillId="0" borderId="0" xfId="3" applyFont="1" applyAlignment="1" applyProtection="1">
      <alignment horizontal="center"/>
      <protection locked="0"/>
    </xf>
    <xf numFmtId="0" fontId="8" fillId="0" borderId="0" xfId="3" applyFont="1" applyAlignment="1" applyProtection="1">
      <alignment horizontal="centerContinuous"/>
      <protection locked="0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 vertical="center"/>
      <protection locked="0"/>
    </xf>
    <xf numFmtId="0" fontId="9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</cellXfs>
  <cellStyles count="5">
    <cellStyle name="Currency 4" xfId="2"/>
    <cellStyle name="Normal" xfId="0" builtinId="0"/>
    <cellStyle name="Normal 3 2" xfId="1"/>
    <cellStyle name="Normal 33" xfId="3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sc.state.ut.us/SHR02/ACCTNG/GENERAL/JAN%20LEWIS/DSM/Recovery%20Files/RECOV03-May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30409\AppData\Local\Microsoft\Windows\Temporary%20Internet%20Files\Content.Outlook\0CSAZL8L\UT%20Nov%202018%20Workbook%20for%20propoxed%20changes%20final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Mgmt\UT\Filings\0.collections\Semi-Annual%20Analysis\2018%20June%20balancing%20acct%20analysis\Revenue%20supporting%20files\Revenue%20calc%20-%20updated%20thru%202019%20from%206-2018%20Base%20Revenue%20Projec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Codes"/>
      <sheetName val="SCRInput2"/>
      <sheetName val="Inputs"/>
      <sheetName val="DSM Output"/>
      <sheetName val="DSM Dollars"/>
      <sheetName val="Centralia Credit"/>
      <sheetName val="Y2K"/>
      <sheetName val="Deferred Acct."/>
      <sheetName val="PCA"/>
      <sheetName val="Hermiston"/>
      <sheetName val="Trail Mtn."/>
      <sheetName val="WA SBC"/>
      <sheetName val="0103 Proration (191)"/>
      <sheetName val="WA Centralia"/>
      <sheetName val="WA SBC - Class 48T"/>
      <sheetName val="Module2"/>
    </sheetNames>
    <sheetDataSet>
      <sheetData sheetId="0"/>
      <sheetData sheetId="1"/>
      <sheetData sheetId="2"/>
      <sheetData sheetId="3"/>
      <sheetData sheetId="4"/>
      <sheetData sheetId="5">
        <row r="1">
          <cell r="AL1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ing Acct-Proposed changes"/>
      <sheetName val="Projected Expenses"/>
    </sheetNames>
    <sheetDataSet>
      <sheetData sheetId="0"/>
      <sheetData sheetId="1">
        <row r="25">
          <cell r="E25">
            <v>3697857.1633333331</v>
          </cell>
          <cell r="F25">
            <v>3808457.1633333331</v>
          </cell>
          <cell r="G25">
            <v>3808499.1633333331</v>
          </cell>
          <cell r="M25">
            <v>3108884.2573333331</v>
          </cell>
          <cell r="N25">
            <v>4902452.4693333339</v>
          </cell>
          <cell r="O25">
            <v>4526327.8673333339</v>
          </cell>
          <cell r="P25">
            <v>5568800.4873333341</v>
          </cell>
          <cell r="Q25">
            <v>3935286.3933333331</v>
          </cell>
          <cell r="R25">
            <v>4901727.1343333339</v>
          </cell>
          <cell r="S25">
            <v>4200704.9853333337</v>
          </cell>
          <cell r="T25">
            <v>4960660.0453333333</v>
          </cell>
          <cell r="U25">
            <v>3768481.3063333333</v>
          </cell>
          <cell r="V25">
            <v>5215056.026333333</v>
          </cell>
          <cell r="W25">
            <v>8231311.7383333342</v>
          </cell>
          <cell r="X25">
            <v>11300869.289333332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9">
          <cell r="M19">
            <v>-4921241.2091231644</v>
          </cell>
          <cell r="N19">
            <v>-4966249.1450784011</v>
          </cell>
          <cell r="O19">
            <v>-5472882.297055006</v>
          </cell>
          <cell r="S19">
            <v>-5144948.6540091177</v>
          </cell>
          <cell r="T19">
            <v>-4479206.9638480367</v>
          </cell>
          <cell r="U19">
            <v>-4732867.3723819871</v>
          </cell>
          <cell r="V19">
            <v>-4383223.0749065429</v>
          </cell>
          <cell r="W19">
            <v>-5260705.7510619303</v>
          </cell>
          <cell r="X19">
            <v>-6149674.036463079</v>
          </cell>
          <cell r="Y19">
            <v>-7574591.8595942799</v>
          </cell>
          <cell r="Z19">
            <v>-7200264.771010207</v>
          </cell>
          <cell r="AA19">
            <v>-5739214.3475815952</v>
          </cell>
          <cell r="AB19">
            <v>-4592833.1471043536</v>
          </cell>
          <cell r="AC19">
            <v>-4635995.3468258418</v>
          </cell>
          <cell r="AD19">
            <v>-5208638.7127708793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01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88" sqref="J88"/>
    </sheetView>
  </sheetViews>
  <sheetFormatPr defaultColWidth="9.140625" defaultRowHeight="14.25" x14ac:dyDescent="0.2"/>
  <cols>
    <col min="1" max="1" width="17.5703125" style="1" customWidth="1"/>
    <col min="2" max="2" width="17.28515625" style="1" customWidth="1"/>
    <col min="3" max="3" width="15.28515625" style="1" customWidth="1"/>
    <col min="4" max="4" width="17" style="1" customWidth="1"/>
    <col min="5" max="5" width="15.7109375" style="1" bestFit="1" customWidth="1"/>
    <col min="6" max="6" width="17" style="1" bestFit="1" customWidth="1"/>
    <col min="7" max="7" width="16.85546875" style="1" customWidth="1"/>
    <col min="8" max="8" width="9.28515625" style="1" customWidth="1"/>
    <col min="9" max="9" width="1.42578125" style="1" customWidth="1"/>
    <col min="10" max="10" width="16.42578125" style="1" customWidth="1"/>
    <col min="11" max="11" width="2.7109375" style="1" customWidth="1"/>
    <col min="12" max="16384" width="9.140625" style="1"/>
  </cols>
  <sheetData>
    <row r="1" spans="1:134" s="43" customFormat="1" ht="12.75" customHeight="1" x14ac:dyDescent="0.2">
      <c r="A1" s="57"/>
      <c r="B1" s="57"/>
      <c r="C1" s="57"/>
      <c r="D1" s="59" t="s">
        <v>43</v>
      </c>
      <c r="E1" s="59"/>
      <c r="F1" s="59"/>
      <c r="G1" s="57"/>
      <c r="H1" s="56"/>
      <c r="I1" s="55"/>
      <c r="J1" s="55"/>
    </row>
    <row r="2" spans="1:134" s="54" customFormat="1" ht="12.75" customHeight="1" x14ac:dyDescent="0.2">
      <c r="A2" s="57" t="s">
        <v>42</v>
      </c>
      <c r="B2" s="57"/>
      <c r="C2" s="57"/>
      <c r="D2" s="58"/>
      <c r="E2" s="57"/>
      <c r="F2" s="57"/>
      <c r="G2" s="57"/>
      <c r="H2" s="56"/>
      <c r="I2" s="55"/>
      <c r="J2" s="55"/>
    </row>
    <row r="3" spans="1:134" s="54" customFormat="1" ht="12.75" customHeight="1" x14ac:dyDescent="0.2">
      <c r="A3" s="59" t="s">
        <v>41</v>
      </c>
      <c r="B3" s="59"/>
      <c r="C3" s="59"/>
      <c r="D3" s="59"/>
      <c r="E3" s="59"/>
      <c r="F3" s="59"/>
      <c r="G3" s="59"/>
      <c r="H3" s="59"/>
      <c r="I3" s="59"/>
      <c r="J3" s="59"/>
    </row>
    <row r="4" spans="1:134" x14ac:dyDescent="0.2">
      <c r="A4" s="53"/>
      <c r="B4" s="52"/>
      <c r="C4" s="52"/>
      <c r="D4" s="52"/>
      <c r="E4" s="51"/>
      <c r="F4" s="50" t="s">
        <v>40</v>
      </c>
      <c r="G4" s="50"/>
      <c r="H4" s="49"/>
      <c r="I4" s="34"/>
      <c r="J4" s="48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</row>
    <row r="5" spans="1:134" s="43" customFormat="1" ht="51" customHeight="1" x14ac:dyDescent="0.35">
      <c r="A5" s="47"/>
      <c r="B5" s="46" t="s">
        <v>39</v>
      </c>
      <c r="C5" s="46" t="s">
        <v>38</v>
      </c>
      <c r="D5" s="46" t="s">
        <v>37</v>
      </c>
      <c r="E5" s="46" t="s">
        <v>36</v>
      </c>
      <c r="F5" s="46" t="s">
        <v>35</v>
      </c>
      <c r="G5" s="46" t="s">
        <v>34</v>
      </c>
      <c r="H5" s="44" t="s">
        <v>33</v>
      </c>
      <c r="I5" s="45"/>
      <c r="J5" s="44" t="s">
        <v>32</v>
      </c>
    </row>
    <row r="6" spans="1:134" ht="6.75" customHeight="1" x14ac:dyDescent="0.2">
      <c r="A6" s="42"/>
      <c r="B6" s="41"/>
      <c r="C6" s="41"/>
      <c r="D6" s="41"/>
      <c r="E6" s="41"/>
      <c r="F6" s="41"/>
      <c r="G6" s="41"/>
      <c r="H6" s="40"/>
      <c r="I6" s="34"/>
      <c r="J6" s="39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8"/>
      <c r="EA6" s="38"/>
      <c r="EB6" s="38"/>
      <c r="EC6" s="34"/>
      <c r="ED6" s="34"/>
    </row>
    <row r="7" spans="1:134" x14ac:dyDescent="0.2">
      <c r="A7" s="20" t="s">
        <v>31</v>
      </c>
      <c r="B7" s="22">
        <v>43638929.749999993</v>
      </c>
      <c r="C7" s="22">
        <v>3865060.19</v>
      </c>
      <c r="D7" s="22">
        <v>-54147493.57</v>
      </c>
      <c r="E7" s="22">
        <v>-428385</v>
      </c>
      <c r="F7" s="37">
        <v>-8770676.345999999</v>
      </c>
      <c r="G7" s="37">
        <v>-4905616.1559999995</v>
      </c>
      <c r="H7" s="35"/>
      <c r="I7" s="34"/>
      <c r="J7" s="15"/>
    </row>
    <row r="8" spans="1:134" ht="7.5" customHeight="1" x14ac:dyDescent="0.2">
      <c r="A8" s="20"/>
      <c r="B8" s="13"/>
      <c r="C8" s="13"/>
      <c r="D8" s="13"/>
      <c r="E8" s="13"/>
      <c r="F8" s="36"/>
      <c r="G8" s="36"/>
      <c r="H8" s="35"/>
      <c r="I8" s="34"/>
      <c r="J8" s="15"/>
    </row>
    <row r="9" spans="1:134" x14ac:dyDescent="0.2">
      <c r="A9" s="20" t="s">
        <v>30</v>
      </c>
      <c r="B9" s="22">
        <v>44887095</v>
      </c>
      <c r="C9" s="22">
        <v>781573.44000000018</v>
      </c>
      <c r="D9" s="22">
        <v>-47901079.229999989</v>
      </c>
      <c r="E9" s="22">
        <v>-1154860</v>
      </c>
      <c r="F9" s="36">
        <v>-12939520.576000005</v>
      </c>
      <c r="G9" s="36">
        <v>-8292886.9460000051</v>
      </c>
      <c r="H9" s="32">
        <v>7.8299999999999995E-2</v>
      </c>
      <c r="I9" s="34"/>
      <c r="J9" s="15">
        <v>3416696</v>
      </c>
    </row>
    <row r="10" spans="1:134" ht="6" customHeight="1" x14ac:dyDescent="0.2">
      <c r="A10" s="20"/>
      <c r="B10" s="13"/>
      <c r="C10" s="13"/>
      <c r="D10" s="13"/>
      <c r="E10" s="13"/>
      <c r="F10" s="36"/>
      <c r="G10" s="36"/>
      <c r="H10" s="35"/>
      <c r="I10" s="34"/>
      <c r="J10" s="15"/>
    </row>
    <row r="11" spans="1:134" x14ac:dyDescent="0.2">
      <c r="A11" s="20" t="s">
        <v>29</v>
      </c>
      <c r="B11" s="21">
        <v>51076863.060000002</v>
      </c>
      <c r="C11" s="21">
        <f>-1985771.98-1</f>
        <v>-1985772.98</v>
      </c>
      <c r="D11" s="21">
        <v>-45941420.799999997</v>
      </c>
      <c r="E11" s="21">
        <v>-1128853</v>
      </c>
      <c r="F11" s="18">
        <v>-8932931.3160000034</v>
      </c>
      <c r="G11" s="18">
        <v>-6272069.6660000021</v>
      </c>
      <c r="H11" s="32">
        <v>7.7700000000000005E-2</v>
      </c>
      <c r="I11" s="16"/>
      <c r="J11" s="15">
        <v>2287843</v>
      </c>
    </row>
    <row r="12" spans="1:134" ht="6.75" customHeight="1" x14ac:dyDescent="0.2">
      <c r="A12" s="20"/>
      <c r="B12" s="19"/>
      <c r="C12" s="19"/>
      <c r="D12" s="19"/>
      <c r="E12" s="19"/>
      <c r="F12" s="18"/>
      <c r="G12" s="18"/>
      <c r="H12" s="17"/>
      <c r="I12" s="16"/>
      <c r="J12" s="15"/>
    </row>
    <row r="13" spans="1:134" hidden="1" x14ac:dyDescent="0.2">
      <c r="A13" s="14" t="s">
        <v>23</v>
      </c>
      <c r="B13" s="23">
        <v>4196557.4000000004</v>
      </c>
      <c r="C13" s="23">
        <v>1838939.81</v>
      </c>
      <c r="D13" s="23">
        <v>-4530672.1500000004</v>
      </c>
      <c r="E13" s="23">
        <f>ROUND((((B13+D13)/2)+F11)*(7.77%/12),0)</f>
        <v>-58922</v>
      </c>
      <c r="F13" s="23">
        <f>+F11+B13+D13+E13</f>
        <v>-9325968.0660000034</v>
      </c>
      <c r="G13" s="23">
        <f>SUM(C13)+$C$7+$C$9+$C$11+F13</f>
        <v>-4826167.6060000025</v>
      </c>
      <c r="H13" s="29">
        <v>7.7600000000000002E-2</v>
      </c>
      <c r="I13" s="16"/>
      <c r="J13" s="23">
        <f>+J11+E13</f>
        <v>2228921</v>
      </c>
    </row>
    <row r="14" spans="1:134" hidden="1" x14ac:dyDescent="0.2">
      <c r="A14" s="26" t="s">
        <v>22</v>
      </c>
      <c r="B14" s="23">
        <v>7301899.2400000002</v>
      </c>
      <c r="C14" s="23">
        <v>-719294.72</v>
      </c>
      <c r="D14" s="23">
        <v>-3936377.67</v>
      </c>
      <c r="E14" s="23">
        <f t="shared" ref="E14:E23" si="0">ROUND((((B14+D14)/2)+F13)*(7.77%/12),0)</f>
        <v>-49490</v>
      </c>
      <c r="F14" s="23">
        <f t="shared" ref="F14:F24" si="1">+F13+B14+D14+E14</f>
        <v>-6009936.4960000031</v>
      </c>
      <c r="G14" s="23">
        <f>SUM(C13:C14)+$C$7+$C$9+$C$11+F14</f>
        <v>-2229430.7560000024</v>
      </c>
      <c r="H14" s="29">
        <v>7.7600000000000002E-2</v>
      </c>
      <c r="I14" s="16"/>
      <c r="J14" s="23">
        <f t="shared" ref="J14:J24" si="2">+J13+E14</f>
        <v>2179431</v>
      </c>
    </row>
    <row r="15" spans="1:134" hidden="1" x14ac:dyDescent="0.2">
      <c r="A15" s="27" t="s">
        <v>21</v>
      </c>
      <c r="B15" s="23">
        <v>9513000.9499999993</v>
      </c>
      <c r="C15" s="23">
        <v>107508.32</v>
      </c>
      <c r="D15" s="23">
        <v>-4826683.72</v>
      </c>
      <c r="E15" s="23">
        <f t="shared" si="0"/>
        <v>-23742</v>
      </c>
      <c r="F15" s="23">
        <f t="shared" si="1"/>
        <v>-1347361.2660000036</v>
      </c>
      <c r="G15" s="23">
        <f>SUM(C13:C15)+$C$7+$C$9+$C$11+F15</f>
        <v>2540652.7939999965</v>
      </c>
      <c r="H15" s="29">
        <v>7.7600000000000002E-2</v>
      </c>
      <c r="I15" s="33"/>
      <c r="J15" s="23">
        <f t="shared" si="2"/>
        <v>2155689</v>
      </c>
    </row>
    <row r="16" spans="1:134" hidden="1" x14ac:dyDescent="0.2">
      <c r="A16" s="14" t="s">
        <v>20</v>
      </c>
      <c r="B16" s="23">
        <v>8332524.4299999997</v>
      </c>
      <c r="C16" s="23">
        <v>-364021.59</v>
      </c>
      <c r="D16" s="23">
        <v>-4024107.75</v>
      </c>
      <c r="E16" s="23">
        <f t="shared" si="0"/>
        <v>5224</v>
      </c>
      <c r="F16" s="23">
        <f t="shared" si="1"/>
        <v>2966279.4139999961</v>
      </c>
      <c r="G16" s="23">
        <f>SUM(C13:C16)+$C$7+$C$9+$C$11+F16</f>
        <v>6490271.8839999959</v>
      </c>
      <c r="H16" s="29">
        <v>7.7600000000000002E-2</v>
      </c>
      <c r="I16" s="16"/>
      <c r="J16" s="23">
        <f t="shared" si="2"/>
        <v>2160913</v>
      </c>
    </row>
    <row r="17" spans="1:10" hidden="1" x14ac:dyDescent="0.2">
      <c r="A17" s="26" t="s">
        <v>19</v>
      </c>
      <c r="B17" s="23">
        <v>5867664.04</v>
      </c>
      <c r="C17" s="23">
        <v>86444.05</v>
      </c>
      <c r="D17" s="23">
        <v>-4206797.6900000004</v>
      </c>
      <c r="E17" s="23">
        <f t="shared" si="0"/>
        <v>24584</v>
      </c>
      <c r="F17" s="23">
        <f t="shared" si="1"/>
        <v>4651729.7639999958</v>
      </c>
      <c r="G17" s="23">
        <f>SUM(C13:C17)+$C$7+$C$9+$C$11+F17</f>
        <v>8262166.2839999963</v>
      </c>
      <c r="H17" s="29">
        <v>7.7600000000000002E-2</v>
      </c>
      <c r="I17" s="16"/>
      <c r="J17" s="23">
        <f t="shared" si="2"/>
        <v>2185497</v>
      </c>
    </row>
    <row r="18" spans="1:10" hidden="1" x14ac:dyDescent="0.2">
      <c r="A18" s="26" t="s">
        <v>18</v>
      </c>
      <c r="B18" s="23">
        <v>9395350.6799999997</v>
      </c>
      <c r="C18" s="23">
        <v>-224949.94</v>
      </c>
      <c r="D18" s="23">
        <v>-5230146.9000000004</v>
      </c>
      <c r="E18" s="23">
        <f t="shared" si="0"/>
        <v>43605</v>
      </c>
      <c r="F18" s="23">
        <f t="shared" si="1"/>
        <v>8860538.5439999942</v>
      </c>
      <c r="G18" s="23">
        <f>SUM(C13:C18)+$C$7+$C$9+$C$11+F18</f>
        <v>12246025.123999994</v>
      </c>
      <c r="H18" s="29">
        <v>7.7600000000000002E-2</v>
      </c>
      <c r="I18" s="16"/>
      <c r="J18" s="23">
        <f t="shared" si="2"/>
        <v>2229102</v>
      </c>
    </row>
    <row r="19" spans="1:10" hidden="1" x14ac:dyDescent="0.2">
      <c r="A19" s="14" t="s">
        <v>17</v>
      </c>
      <c r="B19" s="23">
        <v>6005272.6799999997</v>
      </c>
      <c r="C19" s="23">
        <v>707312.72</v>
      </c>
      <c r="D19" s="23">
        <v>-6293445.3200000003</v>
      </c>
      <c r="E19" s="23">
        <f t="shared" si="0"/>
        <v>56439</v>
      </c>
      <c r="F19" s="23">
        <f t="shared" si="1"/>
        <v>8628804.9039999936</v>
      </c>
      <c r="G19" s="23">
        <f>SUM(C13:C19)+$C$7+$C$9+$C$11+F19</f>
        <v>12721604.203999994</v>
      </c>
      <c r="H19" s="29">
        <v>7.7600000000000002E-2</v>
      </c>
      <c r="I19" s="16"/>
      <c r="J19" s="23">
        <f t="shared" si="2"/>
        <v>2285541</v>
      </c>
    </row>
    <row r="20" spans="1:10" hidden="1" x14ac:dyDescent="0.2">
      <c r="A20" s="14" t="s">
        <v>16</v>
      </c>
      <c r="B20" s="23">
        <v>5839647.3200000003</v>
      </c>
      <c r="C20" s="23">
        <v>1966034.46</v>
      </c>
      <c r="D20" s="23">
        <v>-6733047.1699999999</v>
      </c>
      <c r="E20" s="23">
        <f t="shared" si="0"/>
        <v>52979</v>
      </c>
      <c r="F20" s="23">
        <f t="shared" si="1"/>
        <v>7788384.053999994</v>
      </c>
      <c r="G20" s="23">
        <f>SUM(C13:C20)+$C$7+$C$9+$C$11+F20</f>
        <v>13847217.813999996</v>
      </c>
      <c r="H20" s="29">
        <v>7.7600000000000002E-2</v>
      </c>
      <c r="I20" s="16"/>
      <c r="J20" s="23">
        <f t="shared" si="2"/>
        <v>2338520</v>
      </c>
    </row>
    <row r="21" spans="1:10" hidden="1" x14ac:dyDescent="0.2">
      <c r="A21" s="14" t="s">
        <v>15</v>
      </c>
      <c r="B21" s="23">
        <v>4767034.04</v>
      </c>
      <c r="C21" s="23">
        <v>334494.95</v>
      </c>
      <c r="D21" s="23">
        <v>-5742216.3899999997</v>
      </c>
      <c r="E21" s="23">
        <f t="shared" si="0"/>
        <v>47273</v>
      </c>
      <c r="F21" s="23">
        <f t="shared" si="1"/>
        <v>6860474.7039999934</v>
      </c>
      <c r="G21" s="23">
        <f>SUM(C13:C21)+$C$7+$C$9+$C$11+F21</f>
        <v>13253803.413999993</v>
      </c>
      <c r="H21" s="29">
        <v>7.7600000000000002E-2</v>
      </c>
      <c r="I21" s="16"/>
      <c r="J21" s="23">
        <f t="shared" si="2"/>
        <v>2385793</v>
      </c>
    </row>
    <row r="22" spans="1:10" hidden="1" x14ac:dyDescent="0.2">
      <c r="A22" s="14" t="s">
        <v>14</v>
      </c>
      <c r="B22" s="23">
        <v>5954205.6799999997</v>
      </c>
      <c r="C22" s="23">
        <v>-1449084.99</v>
      </c>
      <c r="D22" s="23">
        <v>-4844019.55</v>
      </c>
      <c r="E22" s="23">
        <f t="shared" si="0"/>
        <v>48016</v>
      </c>
      <c r="F22" s="23">
        <f t="shared" si="1"/>
        <v>8018676.8339999923</v>
      </c>
      <c r="G22" s="23">
        <f>SUM(C13:C22)+$C$7+$C$9+$C$11+F22</f>
        <v>12962920.553999994</v>
      </c>
      <c r="H22" s="29">
        <v>7.7600000000000002E-2</v>
      </c>
      <c r="I22" s="16"/>
      <c r="J22" s="23">
        <f t="shared" si="2"/>
        <v>2433809</v>
      </c>
    </row>
    <row r="23" spans="1:10" hidden="1" x14ac:dyDescent="0.2">
      <c r="A23" s="14" t="s">
        <v>13</v>
      </c>
      <c r="B23" s="23">
        <v>8026170.0499999998</v>
      </c>
      <c r="C23" s="23">
        <v>-832510.46</v>
      </c>
      <c r="D23" s="23">
        <v>-4253145.43</v>
      </c>
      <c r="E23" s="23">
        <f t="shared" si="0"/>
        <v>64136</v>
      </c>
      <c r="F23" s="23">
        <f t="shared" si="1"/>
        <v>11855837.453999992</v>
      </c>
      <c r="G23" s="23">
        <f>SUM(C13:C23)+$C$7+$C$9+$C$11+F23</f>
        <v>15967570.713999994</v>
      </c>
      <c r="H23" s="29">
        <v>7.7600000000000002E-2</v>
      </c>
      <c r="I23" s="16"/>
      <c r="J23" s="23">
        <f t="shared" si="2"/>
        <v>2497945</v>
      </c>
    </row>
    <row r="24" spans="1:10" hidden="1" x14ac:dyDescent="0.2">
      <c r="A24" s="14" t="s">
        <v>12</v>
      </c>
      <c r="B24" s="23">
        <v>6528307.1600000001</v>
      </c>
      <c r="C24" s="23">
        <v>572303.66</v>
      </c>
      <c r="D24" s="23">
        <v>-4736239.2699999996</v>
      </c>
      <c r="E24" s="23">
        <v>82192</v>
      </c>
      <c r="F24" s="23">
        <f t="shared" si="1"/>
        <v>13730097.343999993</v>
      </c>
      <c r="G24" s="23">
        <f>SUM(C13:C24)+$C$7+$C$9+$C$11+F24</f>
        <v>18414134.263999995</v>
      </c>
      <c r="H24" s="29">
        <v>7.7600000000000002E-2</v>
      </c>
      <c r="I24" s="16"/>
      <c r="J24" s="23">
        <f t="shared" si="2"/>
        <v>2580137</v>
      </c>
    </row>
    <row r="25" spans="1:10" x14ac:dyDescent="0.2">
      <c r="A25" s="20" t="s">
        <v>28</v>
      </c>
      <c r="B25" s="22">
        <f>SUM(B13:B24)</f>
        <v>81727633.670000002</v>
      </c>
      <c r="C25" s="22">
        <f>SUM(C13:C24)</f>
        <v>2023176.2700000005</v>
      </c>
      <c r="D25" s="22">
        <f>SUM(D13:D24)</f>
        <v>-59356899.010000005</v>
      </c>
      <c r="E25" s="21">
        <f>SUM(E13:E24)</f>
        <v>292294</v>
      </c>
      <c r="F25" s="18">
        <v>13730097.343999993</v>
      </c>
      <c r="G25" s="18">
        <v>18414135.263999995</v>
      </c>
      <c r="H25" s="32">
        <v>7.7600000000000002E-2</v>
      </c>
      <c r="I25" s="16"/>
      <c r="J25" s="15">
        <v>2580137</v>
      </c>
    </row>
    <row r="26" spans="1:10" ht="5.25" customHeight="1" x14ac:dyDescent="0.2">
      <c r="B26" s="3"/>
      <c r="C26" s="3"/>
      <c r="D26" s="3"/>
      <c r="E26" s="4"/>
      <c r="F26" s="4"/>
      <c r="G26" s="4"/>
      <c r="H26" s="7"/>
      <c r="I26" s="7"/>
      <c r="J26" s="4"/>
    </row>
    <row r="27" spans="1:10" x14ac:dyDescent="0.2">
      <c r="A27" s="20" t="s">
        <v>27</v>
      </c>
      <c r="B27" s="22">
        <v>62241103.639999993</v>
      </c>
      <c r="C27" s="22">
        <v>822220.69999999984</v>
      </c>
      <c r="D27" s="22">
        <v>-68050713.420000002</v>
      </c>
      <c r="E27" s="21">
        <v>843168</v>
      </c>
      <c r="F27" s="18">
        <v>8763655.5639999919</v>
      </c>
      <c r="G27" s="18">
        <v>14269914.183999993</v>
      </c>
      <c r="H27" s="29">
        <v>7.3200000000000001E-2</v>
      </c>
      <c r="I27" s="16"/>
      <c r="J27" s="15">
        <v>3423305</v>
      </c>
    </row>
    <row r="28" spans="1:10" ht="7.5" customHeight="1" x14ac:dyDescent="0.2">
      <c r="B28" s="3"/>
      <c r="C28" s="3"/>
      <c r="D28" s="3"/>
      <c r="E28" s="4"/>
      <c r="F28" s="4"/>
      <c r="G28" s="4"/>
      <c r="H28" s="7"/>
      <c r="I28" s="7"/>
      <c r="J28" s="4"/>
    </row>
    <row r="29" spans="1:10" hidden="1" x14ac:dyDescent="0.2">
      <c r="A29" s="14" t="s">
        <v>23</v>
      </c>
      <c r="B29" s="23">
        <v>3957447.2</v>
      </c>
      <c r="C29" s="23">
        <v>-640324.02</v>
      </c>
      <c r="D29" s="23">
        <v>-6219136.7800000003</v>
      </c>
      <c r="E29" s="23">
        <f>ROUND((((B29+D29)/2)+F27)*(7.74%/12),0)</f>
        <v>49232</v>
      </c>
      <c r="F29" s="23">
        <f>+F27+B29+D29+E29</f>
        <v>6551197.9839999909</v>
      </c>
      <c r="G29" s="23">
        <f>SUM(C29)+$C$7+$C$9+$C$11+F29+C27+C25</f>
        <v>11417131.583999991</v>
      </c>
      <c r="H29" s="29">
        <v>7.7399999999999997E-2</v>
      </c>
      <c r="I29" s="29">
        <v>7.7600000000000002E-2</v>
      </c>
      <c r="J29" s="23">
        <f>+J27+E29</f>
        <v>3472537</v>
      </c>
    </row>
    <row r="30" spans="1:10" hidden="1" x14ac:dyDescent="0.2">
      <c r="A30" s="26" t="s">
        <v>22</v>
      </c>
      <c r="B30" s="23">
        <v>5502164.0700000003</v>
      </c>
      <c r="C30" s="23">
        <v>-97140.5</v>
      </c>
      <c r="D30" s="23">
        <v>-5812722.0199999996</v>
      </c>
      <c r="E30" s="23">
        <f>ROUND((((B30+D30)/2)+F29)*(7.74%/12),0)</f>
        <v>41254</v>
      </c>
      <c r="F30" s="23">
        <f t="shared" ref="F30:F40" si="3">+F29+B30+D30+E30</f>
        <v>6281894.0339999907</v>
      </c>
      <c r="G30" s="23">
        <f>SUM(C29:C30)+$C$7+$C$9+$C$11+F30+C27+C25</f>
        <v>11050687.133999992</v>
      </c>
      <c r="H30" s="29">
        <v>7.7399999999999997E-2</v>
      </c>
      <c r="I30" s="29">
        <v>7.7600000000000002E-2</v>
      </c>
      <c r="J30" s="23">
        <f t="shared" ref="J30:J40" si="4">+J29+E30</f>
        <v>3513791</v>
      </c>
    </row>
    <row r="31" spans="1:10" hidden="1" x14ac:dyDescent="0.2">
      <c r="A31" s="27" t="s">
        <v>21</v>
      </c>
      <c r="B31" s="23">
        <v>4010642.76</v>
      </c>
      <c r="C31" s="23">
        <v>-101375.81</v>
      </c>
      <c r="D31" s="23">
        <v>-5114181.01</v>
      </c>
      <c r="E31" s="23">
        <f>ROUND((((B31+D31)/2)+F30)*(4.45%/12),0)+25</f>
        <v>21274</v>
      </c>
      <c r="F31" s="23">
        <f t="shared" si="3"/>
        <v>5199629.7839999907</v>
      </c>
      <c r="G31" s="23">
        <f>SUM(C29:C31)+$C$7+$C$9+$C$11+F31+C27+C25</f>
        <v>9867047.0739999916</v>
      </c>
      <c r="H31" s="29">
        <v>4.4499999999999998E-2</v>
      </c>
      <c r="I31" s="29">
        <v>7.7600000000000002E-2</v>
      </c>
      <c r="J31" s="23">
        <f t="shared" si="4"/>
        <v>3535065</v>
      </c>
    </row>
    <row r="32" spans="1:10" hidden="1" x14ac:dyDescent="0.2">
      <c r="A32" s="14" t="s">
        <v>20</v>
      </c>
      <c r="B32" s="23">
        <v>3649184.13</v>
      </c>
      <c r="C32" s="23">
        <v>1887278.57</v>
      </c>
      <c r="D32" s="23">
        <v>-5036556.5999999996</v>
      </c>
      <c r="E32" s="23">
        <f t="shared" ref="E32:E40" si="5">ROUND((((B32+D32)/2)+F31)*(4.45%/12),0)</f>
        <v>16710</v>
      </c>
      <c r="F32" s="23">
        <f t="shared" si="3"/>
        <v>3828967.31399999</v>
      </c>
      <c r="G32" s="23">
        <f>SUM(C29:C32)+$C$7+$C$9+$C$11+F32+C27+C25</f>
        <v>10383663.173999991</v>
      </c>
      <c r="H32" s="29">
        <v>4.4499999999999998E-2</v>
      </c>
      <c r="I32" s="29">
        <v>7.7600000000000002E-2</v>
      </c>
      <c r="J32" s="23">
        <f t="shared" si="4"/>
        <v>3551775</v>
      </c>
    </row>
    <row r="33" spans="1:10" hidden="1" x14ac:dyDescent="0.2">
      <c r="A33" s="26" t="s">
        <v>19</v>
      </c>
      <c r="B33" s="23">
        <v>4189551.42</v>
      </c>
      <c r="C33" s="23">
        <v>-1727121.6</v>
      </c>
      <c r="D33" s="23">
        <v>-5313045.41</v>
      </c>
      <c r="E33" s="23">
        <f t="shared" si="5"/>
        <v>12116</v>
      </c>
      <c r="F33" s="23">
        <f t="shared" si="3"/>
        <v>2717589.3239999898</v>
      </c>
      <c r="G33" s="23">
        <f>SUM(C29:C33)+$C$7+$C$9+$C$11+F33+C27+C25</f>
        <v>7545163.5839999914</v>
      </c>
      <c r="H33" s="29">
        <v>4.4499999999999998E-2</v>
      </c>
      <c r="I33" s="29">
        <v>7.7600000000000002E-2</v>
      </c>
      <c r="J33" s="23">
        <f t="shared" si="4"/>
        <v>3563891</v>
      </c>
    </row>
    <row r="34" spans="1:10" hidden="1" x14ac:dyDescent="0.2">
      <c r="A34" s="26" t="s">
        <v>18</v>
      </c>
      <c r="B34" s="23">
        <v>7211523.1900000004</v>
      </c>
      <c r="C34" s="23">
        <v>-962707.25</v>
      </c>
      <c r="D34" s="23">
        <v>-6686874.79</v>
      </c>
      <c r="E34" s="23">
        <f t="shared" si="5"/>
        <v>11051</v>
      </c>
      <c r="F34" s="23">
        <f t="shared" si="3"/>
        <v>3253288.7239999911</v>
      </c>
      <c r="G34" s="23">
        <f>SUM(C29:C34)+$C$7+$C$9+$C$11+F34+C27+C25</f>
        <v>7118155.7339999918</v>
      </c>
      <c r="H34" s="29">
        <v>4.4499999999999998E-2</v>
      </c>
      <c r="I34" s="29">
        <v>7.7600000000000002E-2</v>
      </c>
      <c r="J34" s="23">
        <f t="shared" si="4"/>
        <v>3574942</v>
      </c>
    </row>
    <row r="35" spans="1:10" hidden="1" x14ac:dyDescent="0.2">
      <c r="A35" s="14" t="s">
        <v>17</v>
      </c>
      <c r="B35" s="23">
        <v>3541877.75</v>
      </c>
      <c r="C35" s="23">
        <v>1301932.5900000001</v>
      </c>
      <c r="D35" s="23">
        <v>-8541981.0299999993</v>
      </c>
      <c r="E35" s="23">
        <f t="shared" si="5"/>
        <v>2793</v>
      </c>
      <c r="F35" s="23">
        <f t="shared" si="3"/>
        <v>-1744021.5560000082</v>
      </c>
      <c r="G35" s="23">
        <f>SUM(C29:C35)+$C$7+$C$9+$C$11+F35+C27+C25</f>
        <v>3422778.0439999923</v>
      </c>
      <c r="H35" s="29">
        <v>4.4499999999999998E-2</v>
      </c>
      <c r="I35" s="29">
        <v>7.7600000000000002E-2</v>
      </c>
      <c r="J35" s="23">
        <f t="shared" si="4"/>
        <v>3577735</v>
      </c>
    </row>
    <row r="36" spans="1:10" hidden="1" x14ac:dyDescent="0.2">
      <c r="A36" s="14" t="s">
        <v>16</v>
      </c>
      <c r="B36" s="23">
        <v>5719255.9699999997</v>
      </c>
      <c r="C36" s="23">
        <v>-1630704.05</v>
      </c>
      <c r="D36" s="23">
        <v>-8970590.6500000004</v>
      </c>
      <c r="E36" s="23">
        <f t="shared" si="5"/>
        <v>-12496</v>
      </c>
      <c r="F36" s="23">
        <f t="shared" si="3"/>
        <v>-5007852.2360000089</v>
      </c>
      <c r="G36" s="23">
        <f>SUM(C29:C36)+$C$7+$C$9+$C$11+F36+C27+C25</f>
        <v>-1471756.6860000086</v>
      </c>
      <c r="H36" s="29">
        <v>4.4499999999999998E-2</v>
      </c>
      <c r="I36" s="29">
        <v>7.7600000000000002E-2</v>
      </c>
      <c r="J36" s="23">
        <f t="shared" si="4"/>
        <v>3565239</v>
      </c>
    </row>
    <row r="37" spans="1:10" hidden="1" x14ac:dyDescent="0.2">
      <c r="A37" s="14" t="s">
        <v>15</v>
      </c>
      <c r="B37" s="23">
        <v>4877905.8099999996</v>
      </c>
      <c r="C37" s="23">
        <v>1748387.19</v>
      </c>
      <c r="D37" s="23">
        <v>-7603915.2000000002</v>
      </c>
      <c r="E37" s="23">
        <f t="shared" si="5"/>
        <v>-23625</v>
      </c>
      <c r="F37" s="23">
        <f t="shared" si="3"/>
        <v>-7757486.6260000095</v>
      </c>
      <c r="G37" s="23">
        <f>SUM(C29:C37)+$C$7+$C$9+$C$11+F37+C27+C25</f>
        <v>-2473003.8860000093</v>
      </c>
      <c r="H37" s="29">
        <v>4.4499999999999998E-2</v>
      </c>
      <c r="I37" s="29">
        <v>7.7600000000000002E-2</v>
      </c>
      <c r="J37" s="23">
        <f t="shared" si="4"/>
        <v>3541614</v>
      </c>
    </row>
    <row r="38" spans="1:10" hidden="1" x14ac:dyDescent="0.2">
      <c r="A38" s="14" t="s">
        <v>14</v>
      </c>
      <c r="B38" s="23">
        <v>5085219.01</v>
      </c>
      <c r="C38" s="23">
        <v>-1078842.01</v>
      </c>
      <c r="D38" s="23">
        <v>-5966674.4800000004</v>
      </c>
      <c r="E38" s="23">
        <f t="shared" si="5"/>
        <v>-30402</v>
      </c>
      <c r="F38" s="23">
        <f t="shared" si="3"/>
        <v>-8669344.0960000101</v>
      </c>
      <c r="G38" s="23">
        <f>SUM(C29:C38)+$C$7+$C$9+$C$11+F38+C27+C25</f>
        <v>-4463703.3660000097</v>
      </c>
      <c r="H38" s="29">
        <v>4.4499999999999998E-2</v>
      </c>
      <c r="I38" s="29">
        <v>7.7600000000000002E-2</v>
      </c>
      <c r="J38" s="23">
        <f t="shared" si="4"/>
        <v>3511212</v>
      </c>
    </row>
    <row r="39" spans="1:10" hidden="1" x14ac:dyDescent="0.2">
      <c r="A39" s="14" t="s">
        <v>13</v>
      </c>
      <c r="B39" s="23">
        <v>7231444.2699999996</v>
      </c>
      <c r="C39" s="23">
        <v>-769695.04</v>
      </c>
      <c r="D39" s="23">
        <v>-5240777.22</v>
      </c>
      <c r="E39" s="23">
        <f t="shared" si="5"/>
        <v>-28458</v>
      </c>
      <c r="F39" s="23">
        <f t="shared" si="3"/>
        <v>-6707135.0460000103</v>
      </c>
      <c r="G39" s="23">
        <f>SUM(C29:C39)+$C$7+$C$9+$C$11+F39+C27+C25</f>
        <v>-3271189.3560000099</v>
      </c>
      <c r="H39" s="29">
        <v>4.4499999999999998E-2</v>
      </c>
      <c r="I39" s="29">
        <v>7.7600000000000002E-2</v>
      </c>
      <c r="J39" s="23">
        <f t="shared" si="4"/>
        <v>3482754</v>
      </c>
    </row>
    <row r="40" spans="1:10" hidden="1" x14ac:dyDescent="0.2">
      <c r="A40" s="14" t="s">
        <v>12</v>
      </c>
      <c r="B40" s="23">
        <v>5685830.6699999999</v>
      </c>
      <c r="C40" s="23">
        <v>-742557.7</v>
      </c>
      <c r="D40" s="23">
        <v>-6051035.9400000004</v>
      </c>
      <c r="E40" s="23">
        <f t="shared" si="5"/>
        <v>-25549</v>
      </c>
      <c r="F40" s="31">
        <f t="shared" si="3"/>
        <v>-7097889.3160000108</v>
      </c>
      <c r="G40" s="23">
        <f>SUM(C29:C40)+$C$7+$C$9+$C$11+F40+C27+C25</f>
        <v>-4404501.3260000097</v>
      </c>
      <c r="H40" s="29">
        <v>4.4499999999999998E-2</v>
      </c>
      <c r="I40" s="29">
        <v>7.7600000000000002E-2</v>
      </c>
      <c r="J40" s="23">
        <f t="shared" si="4"/>
        <v>3457205</v>
      </c>
    </row>
    <row r="41" spans="1:10" x14ac:dyDescent="0.2">
      <c r="A41" s="20" t="s">
        <v>26</v>
      </c>
      <c r="B41" s="22">
        <f>SUM(B29:B40)</f>
        <v>60662046.25</v>
      </c>
      <c r="C41" s="22">
        <f>SUM(C29:C40)</f>
        <v>-2812869.63</v>
      </c>
      <c r="D41" s="22">
        <f>SUM(D29:D40)</f>
        <v>-76557491.13000001</v>
      </c>
      <c r="E41" s="21">
        <f>SUM(E29:E40)</f>
        <v>33900</v>
      </c>
      <c r="F41" s="30">
        <v>-7097889.3160000108</v>
      </c>
      <c r="G41" s="30">
        <v>-4404501.3260000097</v>
      </c>
      <c r="H41" s="29">
        <v>4.4499999999999998E-2</v>
      </c>
      <c r="I41" s="16">
        <v>7.7600000000000002E-2</v>
      </c>
      <c r="J41" s="15">
        <v>3457205</v>
      </c>
    </row>
    <row r="42" spans="1:10" ht="8.25" customHeight="1" x14ac:dyDescent="0.2">
      <c r="A42" s="20"/>
      <c r="B42" s="13"/>
      <c r="C42" s="13"/>
      <c r="D42" s="13"/>
      <c r="E42" s="19"/>
      <c r="F42" s="18"/>
      <c r="G42" s="18"/>
      <c r="H42" s="17"/>
      <c r="I42" s="16"/>
      <c r="J42" s="15"/>
    </row>
    <row r="43" spans="1:10" x14ac:dyDescent="0.2">
      <c r="A43" s="14" t="s">
        <v>23</v>
      </c>
      <c r="B43" s="23">
        <v>2648142.14</v>
      </c>
      <c r="C43" s="23">
        <v>262689.32</v>
      </c>
      <c r="D43" s="23">
        <v>-6073074.8499999996</v>
      </c>
      <c r="E43" s="23">
        <f>ROUND((((B43+D43)/2)+F40)*(10.65%/12),0)</f>
        <v>-78192</v>
      </c>
      <c r="F43" s="23">
        <f>+F40+B43+D43+E43</f>
        <v>-10601014.02600001</v>
      </c>
      <c r="G43" s="23">
        <f>SUM(C43)+$C$7+$C$9+$C$11+F43+$C$41+$C$27+$C$25</f>
        <v>-7644936.7160000084</v>
      </c>
      <c r="H43" s="29">
        <v>0.1065</v>
      </c>
      <c r="I43" s="29">
        <v>7.7600000000000002E-2</v>
      </c>
      <c r="J43" s="23">
        <f>+J40+E43</f>
        <v>3379013</v>
      </c>
    </row>
    <row r="44" spans="1:10" x14ac:dyDescent="0.2">
      <c r="A44" s="26" t="s">
        <v>22</v>
      </c>
      <c r="B44" s="23">
        <v>3754612.25</v>
      </c>
      <c r="C44" s="23">
        <v>348092.95</v>
      </c>
      <c r="D44" s="23">
        <v>-5423643.7199999997</v>
      </c>
      <c r="E44" s="23">
        <f>ROUND((((B44+D44)/2)+F43)*(10.65%/12),0)</f>
        <v>-101490</v>
      </c>
      <c r="F44" s="23">
        <f t="shared" ref="F44:F54" si="6">+F43+B44+D44+E44</f>
        <v>-12371535.496000011</v>
      </c>
      <c r="G44" s="23">
        <f>SUM(C43:C44)+$C$7+$C$9+$C$11+F44+$C$41+$C$27+$C$25</f>
        <v>-9067365.2360000126</v>
      </c>
      <c r="H44" s="29">
        <v>0.1065</v>
      </c>
      <c r="I44" s="29">
        <v>7.7600000000000002E-2</v>
      </c>
      <c r="J44" s="23">
        <f t="shared" ref="J44:J54" si="7">+J43+E44</f>
        <v>3277523</v>
      </c>
    </row>
    <row r="45" spans="1:10" x14ac:dyDescent="0.2">
      <c r="A45" s="27" t="s">
        <v>21</v>
      </c>
      <c r="B45" s="23">
        <v>3478015.21</v>
      </c>
      <c r="C45" s="23">
        <v>-117206.13</v>
      </c>
      <c r="D45" s="23">
        <v>-4738882.53</v>
      </c>
      <c r="E45" s="23">
        <f>ROUND((((B45+D45)/2)+F44)*(10.65%/12),0)-66</f>
        <v>-115458</v>
      </c>
      <c r="F45" s="23">
        <f t="shared" si="6"/>
        <v>-13747860.816000011</v>
      </c>
      <c r="G45" s="23">
        <f>SUM(C43:C45)+$C$7+$C$9+$C$11+F45+$C$41+$C$27+$C$25</f>
        <v>-10560896.686000012</v>
      </c>
      <c r="H45" s="29">
        <v>0.1065</v>
      </c>
      <c r="I45" s="29">
        <v>7.7600000000000002E-2</v>
      </c>
      <c r="J45" s="23">
        <f t="shared" si="7"/>
        <v>3162065</v>
      </c>
    </row>
    <row r="46" spans="1:10" x14ac:dyDescent="0.2">
      <c r="A46" s="14" t="s">
        <v>20</v>
      </c>
      <c r="B46" s="23">
        <v>4355254.13</v>
      </c>
      <c r="C46" s="23">
        <v>586847.75</v>
      </c>
      <c r="D46" s="23">
        <v>-4768815.47</v>
      </c>
      <c r="E46" s="23">
        <f t="shared" ref="E46:E51" si="8">ROUND((((B46+D46)/2)+F45)*(10.65%/12),0)</f>
        <v>-123847</v>
      </c>
      <c r="F46" s="23">
        <f t="shared" si="6"/>
        <v>-14285269.156000011</v>
      </c>
      <c r="G46" s="23">
        <f>SUM(C43:C46)+$C$7+$C$9+$C$11+F46+$C$41+$C$27+$C$25</f>
        <v>-10511457.276000012</v>
      </c>
      <c r="H46" s="29">
        <v>0.1065</v>
      </c>
      <c r="I46" s="29">
        <v>7.7600000000000002E-2</v>
      </c>
      <c r="J46" s="23">
        <f t="shared" si="7"/>
        <v>3038218</v>
      </c>
    </row>
    <row r="47" spans="1:10" x14ac:dyDescent="0.2">
      <c r="A47" s="26" t="s">
        <v>19</v>
      </c>
      <c r="B47" s="23">
        <v>3686016.71</v>
      </c>
      <c r="C47" s="23">
        <v>-291172.46000000002</v>
      </c>
      <c r="D47" s="23">
        <v>-4697674.28</v>
      </c>
      <c r="E47" s="23">
        <f t="shared" si="8"/>
        <v>-131271</v>
      </c>
      <c r="F47" s="23">
        <f t="shared" si="6"/>
        <v>-15428197.726000011</v>
      </c>
      <c r="G47" s="23">
        <f>SUM(C43:C47)+$C$7+$C$9+$C$11+F47+$C$41+$C$27+$C$25</f>
        <v>-11945558.306000013</v>
      </c>
      <c r="H47" s="29">
        <v>0.1065</v>
      </c>
      <c r="I47" s="29">
        <v>7.7600000000000002E-2</v>
      </c>
      <c r="J47" s="23">
        <f t="shared" si="7"/>
        <v>2906947</v>
      </c>
    </row>
    <row r="48" spans="1:10" x14ac:dyDescent="0.2">
      <c r="A48" s="26" t="s">
        <v>18</v>
      </c>
      <c r="B48" s="23">
        <v>3848077.12</v>
      </c>
      <c r="C48" s="23">
        <v>669594.25</v>
      </c>
      <c r="D48" s="23">
        <v>-6153679.0999999996</v>
      </c>
      <c r="E48" s="23">
        <f t="shared" si="8"/>
        <v>-147156</v>
      </c>
      <c r="F48" s="23">
        <f t="shared" si="6"/>
        <v>-17880955.706000008</v>
      </c>
      <c r="G48" s="23">
        <f>SUM(C43:C48)+$C$7+$C$9+$C$11+F48+$C$41+$C$27+$C$25</f>
        <v>-13728722.03600001</v>
      </c>
      <c r="H48" s="29">
        <v>0.1065</v>
      </c>
      <c r="I48" s="29">
        <v>7.7600000000000002E-2</v>
      </c>
      <c r="J48" s="23">
        <f t="shared" si="7"/>
        <v>2759791</v>
      </c>
    </row>
    <row r="49" spans="1:10" x14ac:dyDescent="0.2">
      <c r="A49" s="14" t="s">
        <v>17</v>
      </c>
      <c r="B49" s="23">
        <v>3924228.51</v>
      </c>
      <c r="C49" s="23">
        <v>1047010.21</v>
      </c>
      <c r="D49" s="23">
        <v>-7926360.2999999998</v>
      </c>
      <c r="E49" s="23">
        <f t="shared" si="8"/>
        <v>-176453</v>
      </c>
      <c r="F49" s="23">
        <f t="shared" si="6"/>
        <v>-22059540.496000007</v>
      </c>
      <c r="G49" s="23">
        <f>SUM(C43:C49)+$C$7+$C$9+$C$11+F49+$C$41+$C$27+$C$25</f>
        <v>-16860296.616000008</v>
      </c>
      <c r="H49" s="29">
        <v>0.1065</v>
      </c>
      <c r="I49" s="29">
        <v>7.7600000000000002E-2</v>
      </c>
      <c r="J49" s="23">
        <f t="shared" si="7"/>
        <v>2583338</v>
      </c>
    </row>
    <row r="50" spans="1:10" x14ac:dyDescent="0.2">
      <c r="A50" s="14" t="s">
        <v>16</v>
      </c>
      <c r="B50" s="23">
        <v>4036552.51</v>
      </c>
      <c r="C50" s="23">
        <v>-195748.57</v>
      </c>
      <c r="D50" s="23">
        <v>-4808276.18</v>
      </c>
      <c r="E50" s="23">
        <f t="shared" si="8"/>
        <v>-199203</v>
      </c>
      <c r="F50" s="23">
        <f t="shared" si="6"/>
        <v>-23030467.166000009</v>
      </c>
      <c r="G50" s="23">
        <f>SUM(C43:C50)+$C$7+$C$9+$C$11+F50+$C$41+$C$27+$C$25</f>
        <v>-18026971.85600001</v>
      </c>
      <c r="H50" s="29">
        <v>0.1065</v>
      </c>
      <c r="I50" s="29">
        <v>7.7600000000000002E-2</v>
      </c>
      <c r="J50" s="23">
        <f t="shared" si="7"/>
        <v>2384135</v>
      </c>
    </row>
    <row r="51" spans="1:10" x14ac:dyDescent="0.2">
      <c r="A51" s="14" t="s">
        <v>15</v>
      </c>
      <c r="B51" s="23">
        <v>2972860.29</v>
      </c>
      <c r="C51" s="23">
        <v>924940.05</v>
      </c>
      <c r="D51" s="23">
        <v>9655.39</v>
      </c>
      <c r="E51" s="23">
        <f t="shared" si="8"/>
        <v>-191160</v>
      </c>
      <c r="F51" s="23">
        <f t="shared" si="6"/>
        <v>-20239111.486000009</v>
      </c>
      <c r="G51" s="23">
        <f>SUM(C43:C51)+$C$7+$C$9+$C$11+F51+$C$41+$C$27+$C$25</f>
        <v>-14310676.126000009</v>
      </c>
      <c r="H51" s="29">
        <v>0.1065</v>
      </c>
      <c r="I51" s="29">
        <v>7.7600000000000002E-2</v>
      </c>
      <c r="J51" s="23">
        <f t="shared" si="7"/>
        <v>2192975</v>
      </c>
    </row>
    <row r="52" spans="1:10" x14ac:dyDescent="0.2">
      <c r="A52" s="14" t="s">
        <v>14</v>
      </c>
      <c r="B52" s="23">
        <v>4678937.97</v>
      </c>
      <c r="C52" s="23">
        <v>39551.51</v>
      </c>
      <c r="D52" s="23">
        <v>-22877.3</v>
      </c>
      <c r="E52" s="23">
        <f>ROUND((((B52+D52)/2)+F51)*(10.65%/12),0)+64</f>
        <v>-158897</v>
      </c>
      <c r="F52" s="23">
        <f t="shared" si="6"/>
        <v>-15741947.816000011</v>
      </c>
      <c r="G52" s="23">
        <f>SUM(C43:C52)+$C$7+$C$9+$C$11+F52+$C$41+$C$27+$C$25</f>
        <v>-9773960.9460000098</v>
      </c>
      <c r="H52" s="29">
        <v>0.1065</v>
      </c>
      <c r="I52" s="29">
        <v>7.7600000000000002E-2</v>
      </c>
      <c r="J52" s="23">
        <f t="shared" si="7"/>
        <v>2034078</v>
      </c>
    </row>
    <row r="53" spans="1:10" x14ac:dyDescent="0.2">
      <c r="A53" s="14" t="s">
        <v>13</v>
      </c>
      <c r="B53" s="23">
        <v>6803166.4800000004</v>
      </c>
      <c r="C53" s="23">
        <v>-694191.4</v>
      </c>
      <c r="D53" s="23">
        <v>15742.04</v>
      </c>
      <c r="E53" s="23">
        <f>ROUND((((B53+D53)/2)+F52)*(10.65%/12),0)</f>
        <v>-109451</v>
      </c>
      <c r="F53" s="23">
        <f t="shared" si="6"/>
        <v>-9032490.2960000113</v>
      </c>
      <c r="G53" s="23">
        <f>SUM(C43:C53)+$C$7+$C$9+$C$11+F53+$C$41+$C$27+$C$25</f>
        <v>-3758694.8260000097</v>
      </c>
      <c r="H53" s="29">
        <v>0.1065</v>
      </c>
      <c r="I53" s="29">
        <v>7.7600000000000002E-2</v>
      </c>
      <c r="J53" s="23">
        <f t="shared" si="7"/>
        <v>1924627</v>
      </c>
    </row>
    <row r="54" spans="1:10" x14ac:dyDescent="0.2">
      <c r="A54" s="14" t="s">
        <v>12</v>
      </c>
      <c r="B54" s="23">
        <v>9380581.2799999993</v>
      </c>
      <c r="C54" s="23">
        <v>-1204039.6399999999</v>
      </c>
      <c r="D54" s="23">
        <v>10140.34</v>
      </c>
      <c r="E54" s="23">
        <f>ROUND((((B54+D54)/2)+F53)*(10.65%/12),0)</f>
        <v>-38492</v>
      </c>
      <c r="F54" s="23">
        <f t="shared" si="6"/>
        <v>319739.32399998809</v>
      </c>
      <c r="G54" s="23">
        <f>SUM(C43:C54)+$C$7+$C$9+$C$11+F54+$C$41+$C$27+$C$25</f>
        <v>4389495.1539999899</v>
      </c>
      <c r="H54" s="29">
        <v>0.1065</v>
      </c>
      <c r="I54" s="29">
        <v>7.7600000000000002E-2</v>
      </c>
      <c r="J54" s="23">
        <f t="shared" si="7"/>
        <v>1886135</v>
      </c>
    </row>
    <row r="55" spans="1:10" x14ac:dyDescent="0.2">
      <c r="A55" s="20" t="s">
        <v>25</v>
      </c>
      <c r="B55" s="22">
        <f>SUM(B43:B54)</f>
        <v>53566444.599999994</v>
      </c>
      <c r="C55" s="22">
        <f>SUM(C43:C54)</f>
        <v>1376367.84</v>
      </c>
      <c r="D55" s="22">
        <f>SUM(D43:D54)</f>
        <v>-44577745.959999993</v>
      </c>
      <c r="E55" s="21">
        <f>SUM(E43:E54)</f>
        <v>-1571070</v>
      </c>
      <c r="F55" s="18">
        <v>319739.32399998809</v>
      </c>
      <c r="G55" s="18">
        <v>4389495.1539999899</v>
      </c>
      <c r="H55" s="29">
        <v>0.1065</v>
      </c>
      <c r="I55" s="16">
        <v>7.7600000000000002E-2</v>
      </c>
      <c r="J55" s="15">
        <v>1886135</v>
      </c>
    </row>
    <row r="56" spans="1:10" ht="8.25" customHeight="1" x14ac:dyDescent="0.2">
      <c r="A56" s="20"/>
      <c r="B56" s="13"/>
      <c r="C56" s="13"/>
      <c r="D56" s="13"/>
      <c r="E56" s="19"/>
      <c r="F56" s="18"/>
      <c r="G56" s="18"/>
      <c r="H56" s="17"/>
      <c r="I56" s="16"/>
      <c r="J56" s="15"/>
    </row>
    <row r="57" spans="1:10" x14ac:dyDescent="0.2">
      <c r="A57" s="14" t="s">
        <v>23</v>
      </c>
      <c r="B57" s="23">
        <v>3568394.81</v>
      </c>
      <c r="C57" s="23">
        <v>522545.97</v>
      </c>
      <c r="D57" s="23">
        <v>-2527091.69</v>
      </c>
      <c r="E57" s="23">
        <f>ROUND((((B57+D57)/2)+F54)*(9.21%/12),0)</f>
        <v>6450</v>
      </c>
      <c r="F57" s="23">
        <f>+F54+B57+D57+E57</f>
        <v>1367492.443999988</v>
      </c>
      <c r="G57" s="23">
        <f>SUM(C57)+$C$7+$C$9+$C$11+F57+$C$41+$C$27+$C$25+C55</f>
        <v>5959794.2439999878</v>
      </c>
      <c r="H57" s="24">
        <v>9.2100000000000001E-2</v>
      </c>
      <c r="I57" s="24">
        <v>7.7600000000000002E-2</v>
      </c>
      <c r="J57" s="23">
        <f>+J54+E57</f>
        <v>1892585</v>
      </c>
    </row>
    <row r="58" spans="1:10" x14ac:dyDescent="0.2">
      <c r="A58" s="26" t="s">
        <v>22</v>
      </c>
      <c r="B58" s="23">
        <v>3374756.23</v>
      </c>
      <c r="C58" s="23">
        <v>-255982.68</v>
      </c>
      <c r="D58" s="23">
        <v>-4648748.13</v>
      </c>
      <c r="E58" s="23">
        <f t="shared" ref="E58:E64" si="9">ROUND((((B58+D58)/2)+F57)*(9.21%/12),0)</f>
        <v>5607</v>
      </c>
      <c r="F58" s="23">
        <f t="shared" ref="F58:F68" si="10">+F57+B58+D58+E58</f>
        <v>99107.543999987654</v>
      </c>
      <c r="G58" s="23">
        <f>SUM(C57:C58)+$C$7+$C$9+$C$11+F58+$C$41+$C$27+$C$25+C55</f>
        <v>4435426.6639999878</v>
      </c>
      <c r="H58" s="24">
        <v>9.2100000000000001E-2</v>
      </c>
      <c r="I58" s="24">
        <v>7.7600000000000002E-2</v>
      </c>
      <c r="J58" s="23">
        <f t="shared" ref="J58:J68" si="11">+J57+E58</f>
        <v>1898192</v>
      </c>
    </row>
    <row r="59" spans="1:10" x14ac:dyDescent="0.2">
      <c r="A59" s="27" t="s">
        <v>21</v>
      </c>
      <c r="B59" s="23">
        <v>4020585.46</v>
      </c>
      <c r="C59" s="23">
        <v>-809314.18</v>
      </c>
      <c r="D59" s="23">
        <v>-4833973.84</v>
      </c>
      <c r="E59" s="23">
        <f t="shared" si="9"/>
        <v>-2361</v>
      </c>
      <c r="F59" s="23">
        <f t="shared" si="10"/>
        <v>-716641.83600001223</v>
      </c>
      <c r="G59" s="23">
        <f>SUM(C57:C59)+$C$7+$C$9+$C$11+F59+$C$41+$C$27+$C$25+C55</f>
        <v>2810363.1039999882</v>
      </c>
      <c r="H59" s="24">
        <v>9.2100000000000001E-2</v>
      </c>
      <c r="I59" s="24">
        <v>7.7600000000000002E-2</v>
      </c>
      <c r="J59" s="23">
        <f t="shared" si="11"/>
        <v>1895831</v>
      </c>
    </row>
    <row r="60" spans="1:10" x14ac:dyDescent="0.2">
      <c r="A60" s="14" t="s">
        <v>20</v>
      </c>
      <c r="B60" s="23">
        <v>3506710.37</v>
      </c>
      <c r="C60" s="23">
        <v>-239127.86</v>
      </c>
      <c r="D60" s="23">
        <v>-4946238.6399999997</v>
      </c>
      <c r="E60" s="23">
        <f t="shared" si="9"/>
        <v>-11024</v>
      </c>
      <c r="F60" s="23">
        <f t="shared" si="10"/>
        <v>-2167194.1060000118</v>
      </c>
      <c r="G60" s="23">
        <f>SUM(C57:C60)+$C$7+$C$9+$C$11+F60+$C$41+$C$27+$C$25+C55</f>
        <v>1120682.9739999885</v>
      </c>
      <c r="H60" s="24">
        <v>9.2100000000000001E-2</v>
      </c>
      <c r="I60" s="24">
        <v>7.7600000000000002E-2</v>
      </c>
      <c r="J60" s="23">
        <f t="shared" si="11"/>
        <v>1884807</v>
      </c>
    </row>
    <row r="61" spans="1:10" x14ac:dyDescent="0.2">
      <c r="A61" s="26" t="s">
        <v>19</v>
      </c>
      <c r="B61" s="23">
        <v>3627311.16</v>
      </c>
      <c r="C61" s="23">
        <v>581877.64</v>
      </c>
      <c r="D61" s="23">
        <v>-4830193.3499999996</v>
      </c>
      <c r="E61" s="23">
        <f t="shared" si="9"/>
        <v>-21249</v>
      </c>
      <c r="F61" s="23">
        <f t="shared" si="10"/>
        <v>-3391325.2960000113</v>
      </c>
      <c r="G61" s="23">
        <f>SUM(C57:C61)+$C$7+$C$9+$C$11+F61+$C$41+$C$27+$C$25+C55</f>
        <v>478429.42399998964</v>
      </c>
      <c r="H61" s="24">
        <v>9.2100000000000001E-2</v>
      </c>
      <c r="I61" s="24">
        <v>7.7600000000000002E-2</v>
      </c>
      <c r="J61" s="23">
        <f t="shared" si="11"/>
        <v>1863558</v>
      </c>
    </row>
    <row r="62" spans="1:10" x14ac:dyDescent="0.2">
      <c r="A62" s="26" t="s">
        <v>18</v>
      </c>
      <c r="B62" s="23">
        <v>4220628.59</v>
      </c>
      <c r="C62" s="23">
        <v>699578.25</v>
      </c>
      <c r="D62" s="23">
        <v>-6141276.1500000004</v>
      </c>
      <c r="E62" s="23">
        <f t="shared" si="9"/>
        <v>-33399</v>
      </c>
      <c r="F62" s="23">
        <f t="shared" si="10"/>
        <v>-5345371.8560000118</v>
      </c>
      <c r="G62" s="23">
        <f>SUM(C57:C62)+$C$7+$C$9+$C$11+F62+$C$41+$C$27+$C$25+C55</f>
        <v>-776038.88600001135</v>
      </c>
      <c r="H62" s="24">
        <v>9.2100000000000001E-2</v>
      </c>
      <c r="I62" s="24">
        <v>7.7600000000000002E-2</v>
      </c>
      <c r="J62" s="23">
        <f t="shared" si="11"/>
        <v>1830159</v>
      </c>
    </row>
    <row r="63" spans="1:10" x14ac:dyDescent="0.2">
      <c r="A63" s="14" t="s">
        <v>17</v>
      </c>
      <c r="B63" s="23">
        <v>5022884.8600000003</v>
      </c>
      <c r="C63" s="23">
        <v>384296.86</v>
      </c>
      <c r="D63" s="23">
        <v>-7999386.8399999999</v>
      </c>
      <c r="E63" s="23">
        <f t="shared" si="9"/>
        <v>-52448</v>
      </c>
      <c r="F63" s="23">
        <f t="shared" si="10"/>
        <v>-8374321.8360000113</v>
      </c>
      <c r="G63" s="23">
        <f>SUM(C57:C63)+$C$7+$C$9+$C$11+F63+$C$41+$C$27+$C$25+C55</f>
        <v>-3420692.0060000112</v>
      </c>
      <c r="H63" s="24">
        <v>9.2100000000000001E-2</v>
      </c>
      <c r="I63" s="24">
        <v>7.7600000000000002E-2</v>
      </c>
      <c r="J63" s="23">
        <f t="shared" si="11"/>
        <v>1777711</v>
      </c>
    </row>
    <row r="64" spans="1:10" x14ac:dyDescent="0.2">
      <c r="A64" s="14" t="s">
        <v>16</v>
      </c>
      <c r="B64" s="23">
        <v>4164509.71</v>
      </c>
      <c r="C64" s="23">
        <v>868008.08</v>
      </c>
      <c r="D64" s="23">
        <v>-8327453.8099999996</v>
      </c>
      <c r="E64" s="23">
        <f t="shared" si="9"/>
        <v>-80248</v>
      </c>
      <c r="F64" s="23">
        <f t="shared" si="10"/>
        <v>-12617513.936000012</v>
      </c>
      <c r="G64" s="23">
        <f>SUM(C57:C64)+$C$7+$C$9+$C$11+F64+$C$41+$C$27+$C$25+C55</f>
        <v>-6795876.0260000108</v>
      </c>
      <c r="H64" s="24">
        <v>9.2100000000000001E-2</v>
      </c>
      <c r="I64" s="24">
        <v>7.7600000000000002E-2</v>
      </c>
      <c r="J64" s="23">
        <f t="shared" si="11"/>
        <v>1697463</v>
      </c>
    </row>
    <row r="65" spans="1:10" x14ac:dyDescent="0.2">
      <c r="A65" s="14" t="s">
        <v>15</v>
      </c>
      <c r="B65" s="23">
        <v>2671925.14</v>
      </c>
      <c r="C65" s="23">
        <v>454899.97</v>
      </c>
      <c r="D65" s="23">
        <v>-7382830.54</v>
      </c>
      <c r="E65" s="23">
        <f>ROUND((((B65+D65)/2)+F64)*(9.21%/12),0)-13</f>
        <v>-114931</v>
      </c>
      <c r="F65" s="23">
        <f t="shared" si="10"/>
        <v>-17443350.33600001</v>
      </c>
      <c r="G65" s="28">
        <f>SUM(C57:C65)+$C$7+$C$9+$C$11+F65+$C$41+$C$27+$C$25+C55</f>
        <v>-11166812.456000011</v>
      </c>
      <c r="H65" s="24">
        <v>9.2100000000000001E-2</v>
      </c>
      <c r="I65" s="24">
        <v>7.7600000000000002E-2</v>
      </c>
      <c r="J65" s="23">
        <f t="shared" si="11"/>
        <v>1582532</v>
      </c>
    </row>
    <row r="66" spans="1:10" x14ac:dyDescent="0.2">
      <c r="A66" s="14" t="s">
        <v>14</v>
      </c>
      <c r="B66" s="25">
        <f>+'[2]Projected Expenses'!E25</f>
        <v>3697857.1633333331</v>
      </c>
      <c r="C66" s="25"/>
      <c r="D66" s="25">
        <f>+[3]Sheet1!$M$19</f>
        <v>-4921241.2091231644</v>
      </c>
      <c r="E66" s="25">
        <f>ROUND((((B66+D66)/2)+F65)*(9.21%/12),0)</f>
        <v>-138572</v>
      </c>
      <c r="F66" s="23">
        <f t="shared" si="10"/>
        <v>-18805306.381789841</v>
      </c>
      <c r="G66" s="23">
        <f>SUM(C57:C66)+$C$7+$C$9+$C$11+F66+$C$41+$C$27+$C$25+C55</f>
        <v>-12528768.501789842</v>
      </c>
      <c r="H66" s="24">
        <v>9.2100000000000001E-2</v>
      </c>
      <c r="I66" s="24">
        <v>7.7600000000000002E-2</v>
      </c>
      <c r="J66" s="23">
        <f t="shared" si="11"/>
        <v>1443960</v>
      </c>
    </row>
    <row r="67" spans="1:10" x14ac:dyDescent="0.2">
      <c r="A67" s="14" t="s">
        <v>13</v>
      </c>
      <c r="B67" s="25">
        <f>+'[2]Projected Expenses'!F25</f>
        <v>3808457.1633333331</v>
      </c>
      <c r="C67" s="25"/>
      <c r="D67" s="25">
        <f>+[3]Sheet1!$N$19</f>
        <v>-4966249.1450784011</v>
      </c>
      <c r="E67" s="25">
        <f>ROUND((((B67+D67)/2)+F66)*(9.21%/12),0)</f>
        <v>-148774</v>
      </c>
      <c r="F67" s="23">
        <f t="shared" si="10"/>
        <v>-20111872.363534909</v>
      </c>
      <c r="G67" s="23">
        <f>SUM(C57:C67)+$C$7+$C$9+$C$11+F67+$C$41+$C$27+$C$25+C55</f>
        <v>-13835334.48353491</v>
      </c>
      <c r="H67" s="24">
        <v>9.2100000000000001E-2</v>
      </c>
      <c r="I67" s="24">
        <v>7.7600000000000002E-2</v>
      </c>
      <c r="J67" s="23">
        <f t="shared" si="11"/>
        <v>1295186</v>
      </c>
    </row>
    <row r="68" spans="1:10" x14ac:dyDescent="0.2">
      <c r="A68" s="14" t="s">
        <v>12</v>
      </c>
      <c r="B68" s="25">
        <f>+'[2]Projected Expenses'!G25</f>
        <v>3808499.1633333331</v>
      </c>
      <c r="C68" s="25"/>
      <c r="D68" s="25">
        <f>+[3]Sheet1!$O$19</f>
        <v>-5472882.297055006</v>
      </c>
      <c r="E68" s="25">
        <f>ROUND((((B68+D68)/2)+F67)*(9.21%/12),0)</f>
        <v>-160746</v>
      </c>
      <c r="F68" s="23">
        <f t="shared" si="10"/>
        <v>-21937001.497256581</v>
      </c>
      <c r="G68" s="23">
        <f>SUM(C57:C68)+$C$7+$C$9+$C$11+F68+$C$41+$C$27+$C$25+C55</f>
        <v>-15660463.617256582</v>
      </c>
      <c r="H68" s="24">
        <v>9.2100000000000001E-2</v>
      </c>
      <c r="I68" s="24">
        <v>7.7600000000000002E-2</v>
      </c>
      <c r="J68" s="23">
        <f t="shared" si="11"/>
        <v>1134440</v>
      </c>
    </row>
    <row r="69" spans="1:10" x14ac:dyDescent="0.2">
      <c r="A69" s="20" t="s">
        <v>24</v>
      </c>
      <c r="B69" s="22">
        <f>SUM(B57:B68)</f>
        <v>45492519.82</v>
      </c>
      <c r="C69" s="22">
        <f>SUM(C57:C68)</f>
        <v>2206782.0499999998</v>
      </c>
      <c r="D69" s="22">
        <f>SUM(D57:D68)</f>
        <v>-66997565.641256571</v>
      </c>
      <c r="E69" s="21">
        <f>SUM(E57:E68)</f>
        <v>-751695</v>
      </c>
      <c r="F69" s="18"/>
      <c r="G69" s="18"/>
      <c r="H69" s="17"/>
      <c r="I69" s="16"/>
      <c r="J69" s="15"/>
    </row>
    <row r="70" spans="1:10" x14ac:dyDescent="0.2">
      <c r="A70" s="20"/>
      <c r="B70" s="13"/>
      <c r="C70" s="13"/>
      <c r="D70" s="13"/>
      <c r="E70" s="19"/>
      <c r="F70" s="18"/>
      <c r="G70" s="18"/>
      <c r="H70" s="17"/>
      <c r="I70" s="16"/>
      <c r="J70" s="15"/>
    </row>
    <row r="71" spans="1:10" x14ac:dyDescent="0.2">
      <c r="A71" s="14" t="s">
        <v>23</v>
      </c>
      <c r="B71" s="25">
        <f>+'[2]Projected Expenses'!M25</f>
        <v>3108884.2573333331</v>
      </c>
      <c r="C71" s="25"/>
      <c r="D71" s="25">
        <f>+[3]Sheet1!$S$19</f>
        <v>-5144948.6540091177</v>
      </c>
      <c r="E71" s="25">
        <f>ROUND((((B71+D71)/2)+F68)*(9.21%/12),0)</f>
        <v>-176180</v>
      </c>
      <c r="F71" s="23">
        <f>+F68+B71+D71+E71</f>
        <v>-24149245.893932365</v>
      </c>
      <c r="G71" s="23">
        <f>SUM(C71)+$C$7+$C$9+$C$11+F71+$C$41+$C$27+$C$25+C69+C55</f>
        <v>-17872708.013932366</v>
      </c>
      <c r="H71" s="24">
        <v>9.2100000000000001E-2</v>
      </c>
      <c r="I71" s="24">
        <v>7.7600000000000002E-2</v>
      </c>
      <c r="J71" s="23">
        <f>+J68+E71</f>
        <v>958260</v>
      </c>
    </row>
    <row r="72" spans="1:10" x14ac:dyDescent="0.2">
      <c r="A72" s="26" t="s">
        <v>22</v>
      </c>
      <c r="B72" s="25">
        <f>+'[2]Projected Expenses'!N25</f>
        <v>4902452.4693333339</v>
      </c>
      <c r="C72" s="25"/>
      <c r="D72" s="25">
        <f>+[3]Sheet1!$T$19</f>
        <v>-4479206.9638480367</v>
      </c>
      <c r="E72" s="25">
        <f t="shared" ref="E72:E82" si="12">ROUND((((B72+D72)/2)+F71)*(9.21%/12),0)</f>
        <v>-183721</v>
      </c>
      <c r="F72" s="23">
        <f t="shared" ref="F72:F82" si="13">+F71+B72+D72+E72</f>
        <v>-23909721.388447065</v>
      </c>
      <c r="G72" s="23">
        <f>SUM(C71:C72)+$C$7+$C$9+$C$11+F72+$C$41+$C$27+$C$25+C69+C55</f>
        <v>-17633183.508447066</v>
      </c>
      <c r="H72" s="24">
        <v>9.2100000000000001E-2</v>
      </c>
      <c r="I72" s="24">
        <v>7.7600000000000002E-2</v>
      </c>
      <c r="J72" s="23">
        <f t="shared" ref="J72:J82" si="14">+J71+E72</f>
        <v>774539</v>
      </c>
    </row>
    <row r="73" spans="1:10" x14ac:dyDescent="0.2">
      <c r="A73" s="27" t="s">
        <v>21</v>
      </c>
      <c r="B73" s="25">
        <f>+'[2]Projected Expenses'!O25</f>
        <v>4526327.8673333339</v>
      </c>
      <c r="C73" s="25"/>
      <c r="D73" s="25">
        <f>+[3]Sheet1!$U$19</f>
        <v>-4732867.3723819871</v>
      </c>
      <c r="E73" s="25">
        <f t="shared" si="12"/>
        <v>-184300</v>
      </c>
      <c r="F73" s="23">
        <f t="shared" si="13"/>
        <v>-24300560.893495716</v>
      </c>
      <c r="G73" s="23">
        <f>SUM(C71:C73)+$C$7+$C$9+$C$11+F73+$C$41+$C$27+$C$25+C69+C55</f>
        <v>-18024023.013495717</v>
      </c>
      <c r="H73" s="24">
        <v>9.2100000000000001E-2</v>
      </c>
      <c r="I73" s="24">
        <v>7.7600000000000002E-2</v>
      </c>
      <c r="J73" s="23">
        <f t="shared" si="14"/>
        <v>590239</v>
      </c>
    </row>
    <row r="74" spans="1:10" x14ac:dyDescent="0.2">
      <c r="A74" s="14" t="s">
        <v>20</v>
      </c>
      <c r="B74" s="25">
        <f>+'[2]Projected Expenses'!P25</f>
        <v>5568800.4873333341</v>
      </c>
      <c r="C74" s="25"/>
      <c r="D74" s="25">
        <f>+[3]Sheet1!$V$19</f>
        <v>-4383223.0749065429</v>
      </c>
      <c r="E74" s="25">
        <f t="shared" si="12"/>
        <v>-181957</v>
      </c>
      <c r="F74" s="23">
        <f t="shared" si="13"/>
        <v>-23296940.481068924</v>
      </c>
      <c r="G74" s="23">
        <f>SUM(C71:C74)+$C$7+$C$9+$C$11+F74+$C$41+$C$27+$C$25+C69+C55</f>
        <v>-17020402.601068925</v>
      </c>
      <c r="H74" s="24">
        <v>9.2100000000000001E-2</v>
      </c>
      <c r="I74" s="24">
        <v>7.7600000000000002E-2</v>
      </c>
      <c r="J74" s="23">
        <f t="shared" si="14"/>
        <v>408282</v>
      </c>
    </row>
    <row r="75" spans="1:10" x14ac:dyDescent="0.2">
      <c r="A75" s="26" t="s">
        <v>19</v>
      </c>
      <c r="B75" s="25">
        <f>+'[2]Projected Expenses'!Q25</f>
        <v>3935286.3933333331</v>
      </c>
      <c r="C75" s="25"/>
      <c r="D75" s="25">
        <f>+[3]Sheet1!$W$19</f>
        <v>-5260705.7510619303</v>
      </c>
      <c r="E75" s="25">
        <f t="shared" si="12"/>
        <v>-183890</v>
      </c>
      <c r="F75" s="23">
        <f t="shared" si="13"/>
        <v>-24806249.838797521</v>
      </c>
      <c r="G75" s="23">
        <f>SUM(C71:C75)+$C$7+$C$9+$C$11+F75+$C$41+$C$27+$C$25+C69+C55</f>
        <v>-18529711.958797522</v>
      </c>
      <c r="H75" s="24">
        <v>9.2100000000000001E-2</v>
      </c>
      <c r="I75" s="24">
        <v>7.7600000000000002E-2</v>
      </c>
      <c r="J75" s="23">
        <f t="shared" si="14"/>
        <v>224392</v>
      </c>
    </row>
    <row r="76" spans="1:10" x14ac:dyDescent="0.2">
      <c r="A76" s="26" t="s">
        <v>18</v>
      </c>
      <c r="B76" s="25">
        <f>+'[2]Projected Expenses'!R25</f>
        <v>4901727.1343333339</v>
      </c>
      <c r="C76" s="25"/>
      <c r="D76" s="25">
        <f>+[3]Sheet1!$X$19</f>
        <v>-6149674.036463079</v>
      </c>
      <c r="E76" s="25">
        <f t="shared" si="12"/>
        <v>-195177</v>
      </c>
      <c r="F76" s="23">
        <f t="shared" si="13"/>
        <v>-26249373.740927264</v>
      </c>
      <c r="G76" s="23">
        <f>SUM(C71:C76)+$C$7+$C$9+$C$11+F76+$C$41+$C$27+$C$25+C69+C55</f>
        <v>-19972835.860927265</v>
      </c>
      <c r="H76" s="24">
        <v>9.2100000000000001E-2</v>
      </c>
      <c r="I76" s="24">
        <v>7.7600000000000002E-2</v>
      </c>
      <c r="J76" s="23">
        <f t="shared" si="14"/>
        <v>29215</v>
      </c>
    </row>
    <row r="77" spans="1:10" x14ac:dyDescent="0.2">
      <c r="A77" s="14" t="s">
        <v>17</v>
      </c>
      <c r="B77" s="25">
        <f>+'[2]Projected Expenses'!S25</f>
        <v>4200704.9853333337</v>
      </c>
      <c r="C77" s="25"/>
      <c r="D77" s="25">
        <f>+[3]Sheet1!$Y$19</f>
        <v>-7574591.8595942799</v>
      </c>
      <c r="E77" s="25">
        <f t="shared" si="12"/>
        <v>-214411</v>
      </c>
      <c r="F77" s="23">
        <f t="shared" si="13"/>
        <v>-29837671.615188211</v>
      </c>
      <c r="G77" s="23">
        <f>SUM(C71:C77)+$C$7+$C$9+$C$11+F77+$C$41+$C$27+$C$25+C69+C55</f>
        <v>-23561133.735188212</v>
      </c>
      <c r="H77" s="24">
        <v>9.2100000000000001E-2</v>
      </c>
      <c r="I77" s="24">
        <v>7.7600000000000002E-2</v>
      </c>
      <c r="J77" s="23">
        <f t="shared" si="14"/>
        <v>-185196</v>
      </c>
    </row>
    <row r="78" spans="1:10" x14ac:dyDescent="0.2">
      <c r="A78" s="14" t="s">
        <v>16</v>
      </c>
      <c r="B78" s="25">
        <f>+'[2]Projected Expenses'!T25</f>
        <v>4960660.0453333333</v>
      </c>
      <c r="C78" s="25"/>
      <c r="D78" s="25">
        <f>+[3]Sheet1!$Z$19</f>
        <v>-7200264.771010207</v>
      </c>
      <c r="E78" s="25">
        <f t="shared" si="12"/>
        <v>-237599</v>
      </c>
      <c r="F78" s="23">
        <f t="shared" si="13"/>
        <v>-32314875.340865083</v>
      </c>
      <c r="G78" s="23">
        <f>SUM(C71:C78)+$C$7+$C$9+$C$11+F78+$C$41+$C$27+$C$25+C69+C55</f>
        <v>-26038337.460865084</v>
      </c>
      <c r="H78" s="24">
        <v>9.2100000000000001E-2</v>
      </c>
      <c r="I78" s="24">
        <v>7.7600000000000002E-2</v>
      </c>
      <c r="J78" s="23">
        <f t="shared" si="14"/>
        <v>-422795</v>
      </c>
    </row>
    <row r="79" spans="1:10" x14ac:dyDescent="0.2">
      <c r="A79" s="14" t="s">
        <v>15</v>
      </c>
      <c r="B79" s="25">
        <f>+'[2]Projected Expenses'!U25</f>
        <v>3768481.3063333333</v>
      </c>
      <c r="C79" s="25"/>
      <c r="D79" s="25">
        <f>+[3]Sheet1!$AA$19</f>
        <v>-5739214.3475815952</v>
      </c>
      <c r="E79" s="25">
        <f t="shared" si="12"/>
        <v>-255579</v>
      </c>
      <c r="F79" s="23">
        <f t="shared" si="13"/>
        <v>-34541187.382113345</v>
      </c>
      <c r="G79" s="23">
        <f>SUM(C71:C79)+$C$7+$C$9+$C$11+F79+$C$41+$C$27+$C$25+C69+C55</f>
        <v>-28264649.502113346</v>
      </c>
      <c r="H79" s="24">
        <v>9.2100000000000001E-2</v>
      </c>
      <c r="I79" s="24">
        <v>7.7600000000000002E-2</v>
      </c>
      <c r="J79" s="23">
        <f t="shared" si="14"/>
        <v>-678374</v>
      </c>
    </row>
    <row r="80" spans="1:10" x14ac:dyDescent="0.2">
      <c r="A80" s="14" t="s">
        <v>14</v>
      </c>
      <c r="B80" s="25">
        <f>+'[2]Projected Expenses'!V25</f>
        <v>5215056.026333333</v>
      </c>
      <c r="C80" s="25"/>
      <c r="D80" s="25">
        <f>+[3]Sheet1!$AB$19</f>
        <v>-4592833.1471043536</v>
      </c>
      <c r="E80" s="25">
        <f t="shared" si="12"/>
        <v>-262716</v>
      </c>
      <c r="F80" s="23">
        <f t="shared" si="13"/>
        <v>-34181680.502884366</v>
      </c>
      <c r="G80" s="23">
        <f>SUM(C71:C80)+$C$7+$C$9+$C$11+F80+$C$41+$C$27+$C$25+C69+C55</f>
        <v>-27905142.62288437</v>
      </c>
      <c r="H80" s="24">
        <v>9.2100000000000001E-2</v>
      </c>
      <c r="I80" s="24">
        <v>7.7600000000000002E-2</v>
      </c>
      <c r="J80" s="23">
        <f t="shared" si="14"/>
        <v>-941090</v>
      </c>
    </row>
    <row r="81" spans="1:10" x14ac:dyDescent="0.2">
      <c r="A81" s="14" t="s">
        <v>13</v>
      </c>
      <c r="B81" s="25">
        <f>+'[2]Projected Expenses'!W25</f>
        <v>8231311.7383333342</v>
      </c>
      <c r="C81" s="25"/>
      <c r="D81" s="25">
        <f>+[3]Sheet1!$AC$19</f>
        <v>-4635995.3468258418</v>
      </c>
      <c r="E81" s="25">
        <f t="shared" si="12"/>
        <v>-248547</v>
      </c>
      <c r="F81" s="23">
        <f t="shared" si="13"/>
        <v>-30834911.111376874</v>
      </c>
      <c r="G81" s="23">
        <f>SUM(C71:C81)+$C$7+$C$9+$C$11+F81+$C$41+$C$27+$C$25+C69+C55</f>
        <v>-24558373.231376875</v>
      </c>
      <c r="H81" s="24">
        <v>9.2100000000000001E-2</v>
      </c>
      <c r="I81" s="24">
        <v>7.7600000000000002E-2</v>
      </c>
      <c r="J81" s="23">
        <f t="shared" si="14"/>
        <v>-1189637</v>
      </c>
    </row>
    <row r="82" spans="1:10" x14ac:dyDescent="0.2">
      <c r="A82" s="14" t="s">
        <v>12</v>
      </c>
      <c r="B82" s="25">
        <f>+'[2]Projected Expenses'!X25</f>
        <v>11300869.289333332</v>
      </c>
      <c r="C82" s="25"/>
      <c r="D82" s="25">
        <f>+[3]Sheet1!$AD$19</f>
        <v>-5208638.7127708793</v>
      </c>
      <c r="E82" s="25">
        <f t="shared" si="12"/>
        <v>-213279</v>
      </c>
      <c r="F82" s="23">
        <f t="shared" si="13"/>
        <v>-24955959.534814421</v>
      </c>
      <c r="G82" s="23">
        <f>SUM(C71:C82)+$C$7+$C$9+$C$11+F82+$C$41+$C$27+$C$25+C69+C55</f>
        <v>-18679421.654814422</v>
      </c>
      <c r="H82" s="24">
        <v>9.2100000000000001E-2</v>
      </c>
      <c r="I82" s="24">
        <v>7.7600000000000002E-2</v>
      </c>
      <c r="J82" s="23">
        <f t="shared" si="14"/>
        <v>-1402916</v>
      </c>
    </row>
    <row r="83" spans="1:10" x14ac:dyDescent="0.2">
      <c r="A83" s="20" t="s">
        <v>11</v>
      </c>
      <c r="B83" s="22">
        <f>SUM(B71:B82)</f>
        <v>64620562.000000015</v>
      </c>
      <c r="C83" s="22">
        <f>SUM(C71:C82)</f>
        <v>0</v>
      </c>
      <c r="D83" s="22">
        <f>SUM(D71:D82)</f>
        <v>-65102164.037557855</v>
      </c>
      <c r="E83" s="21">
        <f>SUM(E71:E82)</f>
        <v>-2537356</v>
      </c>
      <c r="F83" s="18"/>
      <c r="G83" s="18"/>
      <c r="H83" s="17"/>
      <c r="I83" s="16"/>
      <c r="J83" s="15"/>
    </row>
    <row r="84" spans="1:10" x14ac:dyDescent="0.2">
      <c r="A84" s="20"/>
      <c r="B84" s="13"/>
      <c r="C84" s="13"/>
      <c r="D84" s="13"/>
      <c r="E84" s="19"/>
      <c r="F84" s="18"/>
      <c r="G84" s="18"/>
      <c r="H84" s="17"/>
      <c r="I84" s="16"/>
      <c r="J84" s="15"/>
    </row>
    <row r="85" spans="1:10" x14ac:dyDescent="0.2">
      <c r="A85" s="14" t="s">
        <v>10</v>
      </c>
      <c r="B85" s="3"/>
      <c r="C85" s="13">
        <f>+C27+C25+C11+C9+C7+C41+C55+C69+C83</f>
        <v>6276537.8799999999</v>
      </c>
      <c r="D85" s="3"/>
      <c r="E85" s="4"/>
      <c r="F85" s="4"/>
      <c r="G85" s="4"/>
      <c r="H85" s="7"/>
      <c r="I85" s="7"/>
      <c r="J85" s="4"/>
    </row>
    <row r="86" spans="1:10" x14ac:dyDescent="0.2">
      <c r="A86" s="14"/>
      <c r="B86" s="3"/>
      <c r="C86" s="13"/>
      <c r="D86" s="3"/>
      <c r="E86" s="4"/>
      <c r="F86" s="4"/>
      <c r="G86" s="4"/>
      <c r="H86" s="7"/>
      <c r="I86" s="7"/>
      <c r="J86" s="4"/>
    </row>
    <row r="87" spans="1:10" ht="12.75" customHeight="1" x14ac:dyDescent="0.2">
      <c r="A87" s="14"/>
      <c r="B87" s="3"/>
      <c r="C87" s="13"/>
      <c r="D87" s="3"/>
      <c r="E87" s="4"/>
      <c r="F87" s="4"/>
      <c r="G87" s="4"/>
      <c r="H87" s="7"/>
      <c r="I87" s="7"/>
      <c r="J87" s="4"/>
    </row>
    <row r="88" spans="1:10" s="7" customFormat="1" x14ac:dyDescent="0.2">
      <c r="A88" s="9" t="s">
        <v>9</v>
      </c>
      <c r="B88" s="4"/>
      <c r="C88" s="4"/>
      <c r="D88" s="4"/>
      <c r="E88" s="4"/>
      <c r="F88" s="4"/>
      <c r="G88" s="10">
        <f>+G65</f>
        <v>-11166812.456000011</v>
      </c>
      <c r="J88" s="4"/>
    </row>
    <row r="89" spans="1:10" s="7" customFormat="1" ht="8.25" customHeight="1" x14ac:dyDescent="0.2">
      <c r="A89" s="6"/>
      <c r="B89" s="4"/>
      <c r="C89" s="4"/>
      <c r="D89" s="4"/>
      <c r="E89" s="4"/>
      <c r="F89" s="4"/>
      <c r="G89" s="10"/>
      <c r="J89" s="4"/>
    </row>
    <row r="90" spans="1:10" x14ac:dyDescent="0.2">
      <c r="A90" s="9" t="s">
        <v>8</v>
      </c>
      <c r="B90" s="4"/>
      <c r="C90" s="4"/>
      <c r="D90" s="3"/>
      <c r="E90" s="3"/>
      <c r="F90" s="3"/>
      <c r="G90" s="10">
        <f>+SUM(B66:B68)+SUM(B71:B82)</f>
        <v>75935375.49000001</v>
      </c>
      <c r="J90" s="3"/>
    </row>
    <row r="91" spans="1:10" x14ac:dyDescent="0.2">
      <c r="A91" s="9" t="s">
        <v>7</v>
      </c>
      <c r="B91" s="4"/>
      <c r="C91" s="4"/>
      <c r="D91" s="3"/>
      <c r="E91" s="3"/>
      <c r="F91" s="3"/>
      <c r="G91" s="10">
        <f>+SUM(E66:E68)+SUM(E71:E82)</f>
        <v>-2985448</v>
      </c>
    </row>
    <row r="92" spans="1:10" x14ac:dyDescent="0.2">
      <c r="A92" s="9" t="s">
        <v>6</v>
      </c>
      <c r="B92" s="4"/>
      <c r="C92" s="4"/>
      <c r="D92" s="3"/>
      <c r="E92" s="3"/>
      <c r="F92" s="3"/>
      <c r="G92" s="12">
        <f>SUM(G90:G91)</f>
        <v>72949927.49000001</v>
      </c>
    </row>
    <row r="93" spans="1:10" ht="9" customHeight="1" x14ac:dyDescent="0.2">
      <c r="A93" s="6"/>
      <c r="B93" s="4"/>
      <c r="C93" s="4"/>
      <c r="D93" s="3"/>
      <c r="E93" s="3"/>
      <c r="F93" s="3"/>
      <c r="G93" s="10"/>
    </row>
    <row r="94" spans="1:10" x14ac:dyDescent="0.2">
      <c r="A94" s="9" t="s">
        <v>5</v>
      </c>
      <c r="B94" s="4"/>
      <c r="C94" s="4"/>
      <c r="D94" s="3"/>
      <c r="E94" s="3"/>
      <c r="F94" s="3"/>
      <c r="G94" s="10">
        <f>SUM(D66:D68)+SUM(D71:D82)</f>
        <v>-80462536.688814431</v>
      </c>
    </row>
    <row r="95" spans="1:10" ht="9" customHeight="1" x14ac:dyDescent="0.2">
      <c r="A95" s="11"/>
      <c r="B95" s="4"/>
      <c r="C95" s="4"/>
      <c r="D95" s="3"/>
      <c r="E95" s="3"/>
      <c r="F95" s="3"/>
      <c r="G95" s="10"/>
    </row>
    <row r="96" spans="1:10" s="7" customFormat="1" ht="15" thickBot="1" x14ac:dyDescent="0.25">
      <c r="A96" s="9" t="s">
        <v>4</v>
      </c>
      <c r="B96" s="4"/>
      <c r="C96" s="4"/>
      <c r="D96" s="4"/>
      <c r="E96" s="4"/>
      <c r="F96" s="4"/>
      <c r="G96" s="8">
        <f>+G88+G92+G94</f>
        <v>-18679421.654814437</v>
      </c>
    </row>
    <row r="97" spans="1:7" ht="15" thickTop="1" x14ac:dyDescent="0.2">
      <c r="A97" s="6"/>
      <c r="B97" s="3"/>
      <c r="C97" s="3"/>
      <c r="D97" s="3"/>
      <c r="E97" s="3"/>
      <c r="F97" s="3"/>
      <c r="G97" s="3"/>
    </row>
    <row r="98" spans="1:7" x14ac:dyDescent="0.2">
      <c r="A98" s="5" t="s">
        <v>3</v>
      </c>
      <c r="B98" s="3"/>
      <c r="C98" s="3"/>
      <c r="D98" s="3"/>
      <c r="E98" s="3"/>
      <c r="F98" s="3"/>
      <c r="G98" s="3"/>
    </row>
    <row r="99" spans="1:7" x14ac:dyDescent="0.2">
      <c r="A99" s="2" t="s">
        <v>2</v>
      </c>
      <c r="B99" s="4"/>
      <c r="C99" s="4"/>
      <c r="D99" s="4"/>
      <c r="E99" s="4"/>
      <c r="F99" s="3"/>
      <c r="G99" s="3"/>
    </row>
    <row r="100" spans="1:7" ht="14.25" customHeight="1" x14ac:dyDescent="0.2">
      <c r="A100" s="2" t="s">
        <v>1</v>
      </c>
      <c r="B100" s="4"/>
      <c r="C100" s="4"/>
      <c r="D100" s="4"/>
      <c r="E100" s="4"/>
      <c r="F100" s="4"/>
      <c r="G100" s="3"/>
    </row>
    <row r="101" spans="1:7" x14ac:dyDescent="0.2">
      <c r="A101" s="2" t="s">
        <v>0</v>
      </c>
    </row>
  </sheetData>
  <mergeCells count="2">
    <mergeCell ref="A3:J3"/>
    <mergeCell ref="D1:F1"/>
  </mergeCells>
  <pageMargins left="0.7" right="0.7" top="0.75" bottom="0.75" header="0.3" footer="0.3"/>
  <pageSetup scale="62" orientation="portrait" r:id="rId1"/>
  <ignoredErrors>
    <ignoredError sqref="A1:J9 A68:A82 F68:J82 B68:E82 B83:E83 A66:J67 A10:C64 H10:J64 A65:D65 F65:J65 C85" unlockedFormula="1"/>
    <ignoredError sqref="D10:G44 D53:G64 D52 F52:G52 D46:G51 D45 F45:G45" formulaRange="1" unlockedFormula="1"/>
    <ignoredError sqref="E52 E45" formula="1" formulaRange="1" unlockedFormula="1"/>
    <ignoredError sqref="E65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Balancing Acct-Current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2018-11-07T18:38:21Z</dcterms:created>
  <dcterms:modified xsi:type="dcterms:W3CDTF">2018-11-09T16:56:57Z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