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45" windowHeight="11505"/>
  </bookViews>
  <sheets>
    <sheet name="Index" sheetId="1" r:id="rId1"/>
    <sheet name="RMP_(THS-1)" sheetId="2" r:id="rId2"/>
    <sheet name="RMP_(THS-2)" sheetId="3" r:id="rId3"/>
    <sheet name="Page 2.1" sheetId="4" r:id="rId4"/>
    <sheet name="Page 2.2" sheetId="5" r:id="rId5"/>
  </sheets>
  <externalReferences>
    <externalReference r:id="rId6"/>
    <externalReference r:id="rId7"/>
    <externalReference r:id="rId8"/>
    <externalReference r:id="rId9"/>
    <externalReference r:id="rId10"/>
    <externalReference r:id="rId11"/>
    <externalReference r:id="rId12"/>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localSheetId="0" hidden="1">{"PRINT",#N/A,TRUE,"APPA";"PRINT",#N/A,TRUE,"APS";"PRINT",#N/A,TRUE,"BHPL";"PRINT",#N/A,TRUE,"BHPL2";"PRINT",#N/A,TRUE,"CDWR";"PRINT",#N/A,TRUE,"EWEB";"PRINT",#N/A,TRUE,"LADWP";"PRINT",#N/A,TRUE,"NEVBASE"}</definedName>
    <definedName name="___j1" localSheetId="3"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0"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0"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0"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0"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0" hidden="1">{#N/A,#N/A,FALSE,"Summary";#N/A,#N/A,FALSE,"SmPlants";#N/A,#N/A,FALSE,"Utah";#N/A,#N/A,FALSE,"Idaho";#N/A,#N/A,FALSE,"Lewis River";#N/A,#N/A,FALSE,"NrthUmpq";#N/A,#N/A,FALSE,"KlamRog"}</definedName>
    <definedName name="___OM1" localSheetId="3"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0" hidden="1">[1]Inputs!#REF!</definedName>
    <definedName name="__123Graph_A" localSheetId="3" hidden="1">[2]Inputs!#REF!</definedName>
    <definedName name="__123Graph_A" localSheetId="1" hidden="1">[2]Inputs!#REF!</definedName>
    <definedName name="__123Graph_A" localSheetId="2" hidden="1">[2]Inputs!#REF!</definedName>
    <definedName name="__123Graph_A" hidden="1">[2]Inputs!#REF!</definedName>
    <definedName name="__123Graph_B" localSheetId="0" hidden="1">[1]Inputs!#REF!</definedName>
    <definedName name="__123Graph_B" localSheetId="3" hidden="1">[2]Inputs!#REF!</definedName>
    <definedName name="__123Graph_B" localSheetId="1" hidden="1">[2]Inputs!#REF!</definedName>
    <definedName name="__123Graph_B" localSheetId="2" hidden="1">[2]Inputs!#REF!</definedName>
    <definedName name="__123Graph_B" hidden="1">[2]Inputs!#REF!</definedName>
    <definedName name="__123Graph_D" localSheetId="0" hidden="1">[1]Inputs!#REF!</definedName>
    <definedName name="__123Graph_D" localSheetId="3" hidden="1">[2]Inputs!#REF!</definedName>
    <definedName name="__123Graph_D" localSheetId="1" hidden="1">[2]Inputs!#REF!</definedName>
    <definedName name="__123Graph_D" localSheetId="2" hidden="1">[2]Inputs!#REF!</definedName>
    <definedName name="__123Graph_D" hidden="1">[2]Inputs!#REF!</definedName>
    <definedName name="__123Graph_E" localSheetId="0" hidden="1">[3]Input!$E$22:$E$37</definedName>
    <definedName name="__123Graph_E" hidden="1">[4]Input!$E$22:$E$37</definedName>
    <definedName name="__123Graph_F" localSheetId="0" hidden="1">[3]Input!$D$22:$D$37</definedName>
    <definedName name="__123Graph_F" hidden="1">[4]Input!$D$22:$D$37</definedName>
    <definedName name="__j1" localSheetId="0" hidden="1">{"PRINT",#N/A,TRUE,"APPA";"PRINT",#N/A,TRUE,"APS";"PRINT",#N/A,TRUE,"BHPL";"PRINT",#N/A,TRUE,"BHPL2";"PRINT",#N/A,TRUE,"CDWR";"PRINT",#N/A,TRUE,"EWEB";"PRINT",#N/A,TRUE,"LADWP";"PRINT",#N/A,TRUE,"NEVBASE"}</definedName>
    <definedName name="__j1" localSheetId="3"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0"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0"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0"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0"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localSheetId="0" hidden="1">#REF!</definedName>
    <definedName name="_Fill" localSheetId="3" hidden="1">#REF!</definedName>
    <definedName name="_Fill" localSheetId="1" hidden="1">#REF!</definedName>
    <definedName name="_Fill" localSheetId="2" hidden="1">#REF!</definedName>
    <definedName name="_Fill" hidden="1">#REF!</definedName>
    <definedName name="_xlnm._FilterDatabase" localSheetId="0" hidden="1">#REF!</definedName>
    <definedName name="_xlnm._FilterDatabase" localSheetId="3" hidden="1">#REF!</definedName>
    <definedName name="_xlnm._FilterDatabase" localSheetId="1" hidden="1">#REF!</definedName>
    <definedName name="_xlnm._FilterDatabase" localSheetId="2" hidden="1">#REF!</definedName>
    <definedName name="_xlnm._FilterDatabase" hidden="1">#REF!</definedName>
    <definedName name="_j1" localSheetId="0" hidden="1">{"PRINT",#N/A,TRUE,"APPA";"PRINT",#N/A,TRUE,"APS";"PRINT",#N/A,TRUE,"BHPL";"PRINT",#N/A,TRUE,"BHPL2";"PRINT",#N/A,TRUE,"CDWR";"PRINT",#N/A,TRUE,"EWEB";"PRINT",#N/A,TRUE,"LADWP";"PRINT",#N/A,TRUE,"NEVBASE"}</definedName>
    <definedName name="_j1" localSheetId="3"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localSheetId="3" hidden="1">#REF!</definedName>
    <definedName name="_Key1" localSheetId="1" hidden="1">#REF!</definedName>
    <definedName name="_Key1" localSheetId="2" hidden="1">#REF!</definedName>
    <definedName name="_Key1" hidden="1">#REF!</definedName>
    <definedName name="_Key2" localSheetId="0" hidden="1">#REF!</definedName>
    <definedName name="_Key2" localSheetId="3" hidden="1">#REF!</definedName>
    <definedName name="_Key2" localSheetId="1" hidden="1">#REF!</definedName>
    <definedName name="_Key2" localSheetId="2" hidden="1">#REF!</definedName>
    <definedName name="_Key2" hidden="1">#REF!</definedName>
    <definedName name="_OM1" localSheetId="0" hidden="1">{#N/A,#N/A,FALSE,"Summary";#N/A,#N/A,FALSE,"SmPlants";#N/A,#N/A,FALSE,"Utah";#N/A,#N/A,FALSE,"Idaho";#N/A,#N/A,FALSE,"Lewis River";#N/A,#N/A,FALSE,"NrthUmpq";#N/A,#N/A,FALSE,"KlamRog"}</definedName>
    <definedName name="_OM1" localSheetId="3"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localSheetId="0" hidden="1">0</definedName>
    <definedName name="_Order2" hidden="1">0</definedName>
    <definedName name="_Sort" localSheetId="0" hidden="1">#REF!</definedName>
    <definedName name="_Sort" localSheetId="3" hidden="1">#REF!</definedName>
    <definedName name="_Sort" localSheetId="1" hidden="1">#REF!</definedName>
    <definedName name="_Sort" localSheetId="2" hidden="1">#REF!</definedName>
    <definedName name="_Sort" hidden="1">#REF!</definedName>
    <definedName name="a" localSheetId="0" hidden="1">#REF!</definedName>
    <definedName name="Access_Button1" hidden="1">"Headcount_Workbook_Schedules_List"</definedName>
    <definedName name="AccessDatabase" hidden="1">"P:\HR\SharonPlummer\Headcount Workbook.mdb"</definedName>
    <definedName name="asa" localSheetId="0" hidden="1">{"Factors Pages 1-2",#N/A,FALSE,"Factors";"Factors Page 3",#N/A,FALSE,"Factors";"Factors Page 4",#N/A,FALSE,"Factors";"Factors Page 5",#N/A,FALSE,"Factors";"Factors Pages 8-27",#N/A,FALSE,"Factors"}</definedName>
    <definedName name="asa" localSheetId="3"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3"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hidden="1">{#N/A,#N/A,FALSE,"Summary";#N/A,#N/A,FALSE,"SmPlants";#N/A,#N/A,FALSE,"Utah";#N/A,#N/A,FALSE,"Idaho";#N/A,#N/A,FALSE,"Lewis River";#N/A,#N/A,FALSE,"NrthUmpq";#N/A,#N/A,FALSE,"KlamRog"}</definedName>
    <definedName name="cgf" localSheetId="0" hidden="1">{"PRINT",#N/A,TRUE,"APPA";"PRINT",#N/A,TRUE,"APS";"PRINT",#N/A,TRUE,"BHPL";"PRINT",#N/A,TRUE,"BHPL2";"PRINT",#N/A,TRUE,"CDWR";"PRINT",#N/A,TRUE,"EWEB";"PRINT",#N/A,TRUE,"LADWP";"PRINT",#N/A,TRUE,"NEVBASE"}</definedName>
    <definedName name="cgf" localSheetId="3"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0" hidden="1">{"YTD-Total",#N/A,TRUE,"Provision";"YTD-Utility",#N/A,TRUE,"Prov Utility";"YTD-NonUtility",#N/A,TRUE,"Prov NonUtility"}</definedName>
    <definedName name="combined1" localSheetId="3" hidden="1">{"YTD-Total",#N/A,TRUE,"Provision";"YTD-Utility",#N/A,TRUE,"Prov Utility";"YTD-NonUtility",#N/A,TRUE,"Prov NonUtility"}</definedName>
    <definedName name="combined1" hidden="1">{"YTD-Total",#N/A,TRUE,"Provision";"YTD-Utility",#N/A,TRUE,"Prov Utility";"YTD-NonUtility",#N/A,TRUE,"Prov NonUtility"}</definedName>
    <definedName name="DUDE" localSheetId="0" hidden="1">#REF!</definedName>
    <definedName name="DUDE" localSheetId="3" hidden="1">#REF!</definedName>
    <definedName name="DUDE" localSheetId="1" hidden="1">#REF!</definedName>
    <definedName name="DUDE" localSheetId="2" hidden="1">#REF!</definedName>
    <definedName name="DUDE" hidden="1">#REF!</definedName>
    <definedName name="enrgy" localSheetId="0"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3"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3"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3"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3" hidden="1">{#N/A,#N/A,FALSE,"Loans";#N/A,#N/A,FALSE,"Program Costs";#N/A,#N/A,FALSE,"Measures";#N/A,#N/A,FALSE,"Net Lost Rev";#N/A,#N/A,FALSE,"Incentive"}</definedName>
    <definedName name="extra5" hidden="1">{#N/A,#N/A,FALSE,"Loans";#N/A,#N/A,FALSE,"Program Costs";#N/A,#N/A,FALSE,"Measures";#N/A,#N/A,FALSE,"Net Lost Rev";#N/A,#N/A,FALSE,"Incentive"}</definedName>
    <definedName name="foo" localSheetId="0" hidden="1">{#N/A,#N/A,FALSE,"Bgt";#N/A,#N/A,FALSE,"Act";#N/A,#N/A,FALSE,"Chrt Data";#N/A,#N/A,FALSE,"Bus Result";#N/A,#N/A,FALSE,"Main Charts";#N/A,#N/A,FALSE,"P&amp;L Ttl";#N/A,#N/A,FALSE,"P&amp;L C_Ttl";#N/A,#N/A,FALSE,"P&amp;L C_Oct";#N/A,#N/A,FALSE,"P&amp;L C_Sep";#N/A,#N/A,FALSE,"1996";#N/A,#N/A,FALSE,"Data"}</definedName>
    <definedName name="foo" localSheetId="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0" hidden="1">{"PRINT",#N/A,TRUE,"APPA";"PRINT",#N/A,TRUE,"APS";"PRINT",#N/A,TRUE,"BHPL";"PRINT",#N/A,TRUE,"BHPL2";"PRINT",#N/A,TRUE,"CDWR";"PRINT",#N/A,TRUE,"EWEB";"PRINT",#N/A,TRUE,"LADWP";"PRINT",#N/A,TRUE,"NEVBASE"}</definedName>
    <definedName name="friend" localSheetId="3"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0" hidden="1">{#N/A,#N/A,FALSE,"Summary";#N/A,#N/A,FALSE,"SmPlants";#N/A,#N/A,FALSE,"Utah";#N/A,#N/A,FALSE,"Idaho";#N/A,#N/A,FALSE,"Lewis River";#N/A,#N/A,FALSE,"NrthUmpq";#N/A,#N/A,FALSE,"KlamRog"}</definedName>
    <definedName name="HROptim" localSheetId="3"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0"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0" hidden="1">{"PRINT",#N/A,TRUE,"APPA";"PRINT",#N/A,TRUE,"APS";"PRINT",#N/A,TRUE,"BHPL";"PRINT",#N/A,TRUE,"BHPL2";"PRINT",#N/A,TRUE,"CDWR";"PRINT",#N/A,TRUE,"EWEB";"PRINT",#N/A,TRUE,"LADWP";"PRINT",#N/A,TRUE,"NEVBASE"}</definedName>
    <definedName name="junk" localSheetId="3"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0" hidden="1">{#N/A,#N/A,FALSE,"Actual";#N/A,#N/A,FALSE,"Normalized";#N/A,#N/A,FALSE,"Electric Actual";#N/A,#N/A,FALSE,"Electric Normalized"}</definedName>
    <definedName name="Master" localSheetId="3" hidden="1">{#N/A,#N/A,FALSE,"Actual";#N/A,#N/A,FALSE,"Normalized";#N/A,#N/A,FALSE,"Electric Actual";#N/A,#N/A,FALSE,"Electric Normalized"}</definedName>
    <definedName name="Master" hidden="1">{#N/A,#N/A,FALSE,"Actual";#N/A,#N/A,FALSE,"Normalized";#N/A,#N/A,FALSE,"Electric Actual";#N/A,#N/A,FALSE,"Electric Normalized"}</definedName>
    <definedName name="mmm" localSheetId="0" hidden="1">{"PRINT",#N/A,TRUE,"APPA";"PRINT",#N/A,TRUE,"APS";"PRINT",#N/A,TRUE,"BHPL";"PRINT",#N/A,TRUE,"BHPL2";"PRINT",#N/A,TRUE,"CDWR";"PRINT",#N/A,TRUE,"EWEB";"PRINT",#N/A,TRUE,"LADWP";"PRINT",#N/A,TRUE,"NEVBASE"}</definedName>
    <definedName name="mmm" localSheetId="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0" hidden="1">{#N/A,#N/A,TRUE,"Section6";#N/A,#N/A,TRUE,"OHcycles";#N/A,#N/A,TRUE,"OHtiming";#N/A,#N/A,TRUE,"OHcosts";#N/A,#N/A,TRUE,"GTdegradation";#N/A,#N/A,TRUE,"GTperformance";#N/A,#N/A,TRUE,"GraphEquip"}</definedName>
    <definedName name="new" localSheetId="3"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OHSch10YR" localSheetId="0" hidden="1">{#N/A,#N/A,FALSE,"Summary";#N/A,#N/A,FALSE,"SmPlants";#N/A,#N/A,FALSE,"Utah";#N/A,#N/A,FALSE,"Idaho";#N/A,#N/A,FALSE,"Lewis River";#N/A,#N/A,FALSE,"NrthUmpq";#N/A,#N/A,FALSE,"KlamRog"}</definedName>
    <definedName name="OHSch10YR" localSheetId="3"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0"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0" hidden="1">{"Factors Pages 1-2",#N/A,FALSE,"Factors";"Factors Page 3",#N/A,FALSE,"Factors";"Factors Page 4",#N/A,FALSE,"Factors";"Factors Page 5",#N/A,FALSE,"Factors";"Factors Pages 8-27",#N/A,FALSE,"Factors"}</definedName>
    <definedName name="others" localSheetId="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0" hidden="1">{#N/A,#N/A,FALSE,"Bgt";#N/A,#N/A,FALSE,"Act";#N/A,#N/A,FALSE,"Chrt Data";#N/A,#N/A,FALSE,"Bus Result";#N/A,#N/A,FALSE,"Main Charts";#N/A,#N/A,FALSE,"P&amp;L Ttl";#N/A,#N/A,FALSE,"P&amp;L C_Ttl";#N/A,#N/A,FALSE,"P&amp;L C_Oct";#N/A,#N/A,FALSE,"P&amp;L C_Sep";#N/A,#N/A,FALSE,"1996";#N/A,#N/A,FALSE,"Data"}</definedName>
    <definedName name="pete" localSheetId="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[5]Inputs!#REF!</definedName>
    <definedName name="PricingInfo" localSheetId="3" hidden="1">[1]Inputs!#REF!</definedName>
    <definedName name="PricingInfo" localSheetId="1" hidden="1">[1]Inputs!#REF!</definedName>
    <definedName name="PricingInfo" localSheetId="2" hidden="1">[1]Inputs!#REF!</definedName>
    <definedName name="PricingInfo" hidden="1">[1]Inputs!#REF!</definedName>
    <definedName name="_xlnm.Print_Area" localSheetId="3">'Page 2.1'!$A$1:$M$61</definedName>
    <definedName name="_xlnm.Print_Area" localSheetId="4">'Page 2.2'!$A$1:$L$43</definedName>
    <definedName name="_xlnm.Print_Area" localSheetId="1">'RMP_(THS-1)'!$A$1:$G$34</definedName>
    <definedName name="_xlnm.Print_Area" localSheetId="2">'RMP_(THS-2)'!$A$1:$P$75</definedName>
    <definedName name="retail" localSheetId="0"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0" hidden="1">{"PRINT",#N/A,TRUE,"APPA";"PRINT",#N/A,TRUE,"APS";"PRINT",#N/A,TRUE,"BHPL";"PRINT",#N/A,TRUE,"BHPL2";"PRINT",#N/A,TRUE,"CDWR";"PRINT",#N/A,TRUE,"EWEB";"PRINT",#N/A,TRUE,"LADWP";"PRINT",#N/A,TRUE,"NEVBASE"}</definedName>
    <definedName name="rrr" localSheetId="3"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0"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localSheetId="0" hidden="1">{#N/A,#N/A,FALSE,"Actual";#N/A,#N/A,FALSE,"Normalized";#N/A,#N/A,FALSE,"Electric Actual";#N/A,#N/A,FALSE,"Electric Normalized"}</definedName>
    <definedName name="spippw" localSheetId="3" hidden="1">{#N/A,#N/A,FALSE,"Actual";#N/A,#N/A,FALSE,"Normalized";#N/A,#N/A,FALSE,"Electric Actual";#N/A,#N/A,FALSE,"Electric Normalized"}</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localSheetId="0" hidden="1">{"YTD-Total",#N/A,FALSE,"Provision"}</definedName>
    <definedName name="standard1" localSheetId="3"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0" hidden="1">[6]Inputs!#REF!</definedName>
    <definedName name="w" localSheetId="3" hidden="1">[7]Inputs!#REF!</definedName>
    <definedName name="w" localSheetId="1" hidden="1">[7]Inputs!#REF!</definedName>
    <definedName name="w" localSheetId="2" hidden="1">[7]Inputs!#REF!</definedName>
    <definedName name="w" hidden="1">[7]Inputs!#REF!</definedName>
    <definedName name="wrn.1996._.Hydro._.5._.Year._.Forecast._.Budget." localSheetId="0" hidden="1">{#N/A,#N/A,FALSE,"Summary";#N/A,#N/A,FALSE,"SmPlants";#N/A,#N/A,FALSE,"Utah";#N/A,#N/A,FALSE,"Idaho";#N/A,#N/A,FALSE,"Lewis River";#N/A,#N/A,FALSE,"NrthUmpq";#N/A,#N/A,FALSE,"KlamRog"}</definedName>
    <definedName name="wrn.1996._.Hydro._.5._.Year._.Forecast._.Budget." localSheetId="3"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0" hidden="1">{"Page 3.4.1",#N/A,FALSE,"Totals";"Page 3.4.2",#N/A,FALSE,"Totals"}</definedName>
    <definedName name="wrn.Adj._.Back_Up." localSheetId="3"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localSheetId="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localSheetId="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Sheet";#N/A,#N/A,FALSE,"T-Accounts";#N/A,#N/A,FALSE,"Expense Detail 10 01 to 3  02";#N/A,#N/A,FALSE,"Expense Detail 4 01 to 9 01";#N/A,#N/A,FALSE,"Three Factor % 3  2002"}</definedName>
    <definedName name="wrn.All._.Pages." localSheetId="3" hidden="1">{#N/A,#N/A,FALSE,"Cover";#N/A,#N/A,FALSE,"Lead Sheet";#N/A,#N/A,FALSE,"T-Accounts";#N/A,#N/A,FALSE,"Expense Detail 10 01 to 3  02";#N/A,#N/A,FALSE,"Expense Detail 4 01 to 9 01";#N/A,#N/A,FALSE,"Three Factor % 3  2002"}</definedName>
    <definedName name="wrn.All._.Pages." hidden="1">{#N/A,#N/A,FALSE,"Cover";#N/A,#N/A,FALSE,"Lead Sheet";#N/A,#N/A,FALSE,"T-Accounts";#N/A,#N/A,FALSE,"Expense Detail 10 01 to 3  02";#N/A,#N/A,FALSE,"Expense Detail 4 01 to 9 01";#N/A,#N/A,FALSE,"Three Factor % 3  2002"}</definedName>
    <definedName name="wrn.BUS._.RPT." localSheetId="0" hidden="1">{#N/A,#N/A,FALSE,"P&amp;L Ttl";#N/A,#N/A,FALSE,"P&amp;L C_Ttl New";#N/A,#N/A,FALSE,"Bus Res";#N/A,#N/A,FALSE,"Chrts";#N/A,#N/A,FALSE,"pcf";#N/A,#N/A,FALSE,"pcr ";#N/A,#N/A,FALSE,"Exp Stmt ";#N/A,#N/A,FALSE,"Exp Stmt BU";#N/A,#N/A,FALSE,"Cap";#N/A,#N/A,FALSE,"IT Ytd"}</definedName>
    <definedName name="wrn.BUS._.RPT." localSheetId="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localSheetId="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localSheetId="3"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0" hidden="1">{#N/A,#N/A,TRUE,"Cover";#N/A,#N/A,TRUE,"Contents"}</definedName>
    <definedName name="wrn.Cover." localSheetId="3" hidden="1">{#N/A,#N/A,TRUE,"Cover";#N/A,#N/A,TRUE,"Contents"}</definedName>
    <definedName name="wrn.Cover." hidden="1">{#N/A,#N/A,TRUE,"Cover";#N/A,#N/A,TRUE,"Contents"}</definedName>
    <definedName name="wrn.CoverContents." localSheetId="0" hidden="1">{#N/A,#N/A,FALSE,"Cover";#N/A,#N/A,FALSE,"Contents"}</definedName>
    <definedName name="wrn.CoverContents." localSheetId="3" hidden="1">{#N/A,#N/A,FALSE,"Cover";#N/A,#N/A,FALSE,"Contents"}</definedName>
    <definedName name="wrn.CoverContents." hidden="1">{#N/A,#N/A,FALSE,"Cover";#N/A,#N/A,FALSE,"Contents"}</definedName>
    <definedName name="wrn.El._.Paso._.Offshore." localSheetId="0" hidden="1">{#N/A,#N/A,TRUE,"EPEsum";#N/A,#N/A,TRUE,"Approve1";#N/A,#N/A,TRUE,"Approve2";#N/A,#N/A,TRUE,"Approve3";#N/A,#N/A,TRUE,"EPE1";#N/A,#N/A,TRUE,"EPE2";#N/A,#N/A,TRUE,"CashCompare";#N/A,#N/A,TRUE,"XIRR";#N/A,#N/A,TRUE,"EPEloan";#N/A,#N/A,TRUE,"GraphEPE";#N/A,#N/A,TRUE,"OrgChart";#N/A,#N/A,TRUE,"SA08B"}</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0" hidden="1">{"FullView",#N/A,FALSE,"Consltd-For contngcy"}</definedName>
    <definedName name="wrn.Full._.View." localSheetId="3"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0" hidden="1">{"Open issues Only",#N/A,FALSE,"TIMELINE"}</definedName>
    <definedName name="wrn.Open._.Issues._.Only." localSheetId="3"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0" hidden="1">{#N/A,#N/A,FALSE,"Consltd-For contngcy";"PaymentView",#N/A,FALSE,"Consltd-For contngcy"}</definedName>
    <definedName name="wrn.Payment._.View." localSheetId="3"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localSheetId="3" hidden="1">{"PFS recon view",#N/A,FALSE,"Hyperion Proof"}</definedName>
    <definedName name="wrn.PFSreconview." hidden="1">{"PFS recon view",#N/A,FALSE,"Hyperion Proof"}</definedName>
    <definedName name="wrn.PGHCreconview." localSheetId="0" hidden="1">{"PGHC recon view",#N/A,FALSE,"Hyperion Proof"}</definedName>
    <definedName name="wrn.PGHCreconview." localSheetId="3"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localSheetId="3" hidden="1">{#N/A,#N/A,FALSE,"PHI MTD";#N/A,#N/A,FALSE,"PHI YTD"}</definedName>
    <definedName name="wrn.PHI._.all._.other._.months." hidden="1">{#N/A,#N/A,FALSE,"PHI MTD";#N/A,#N/A,FALSE,"PHI YTD"}</definedName>
    <definedName name="wrn.PHI._.only." localSheetId="0" hidden="1">{#N/A,#N/A,FALSE,"PHI"}</definedName>
    <definedName name="wrn.PHI._.only." localSheetId="3" hidden="1">{#N/A,#N/A,FALSE,"PHI"}</definedName>
    <definedName name="wrn.PHI._.only." hidden="1">{#N/A,#N/A,FALSE,"PHI"}</definedName>
    <definedName name="wrn.PHI._.Sept._.Dec._.March." localSheetId="0" hidden="1">{#N/A,#N/A,FALSE,"PHI MTD";#N/A,#N/A,FALSE,"PHI QTD";#N/A,#N/A,FALSE,"PHI YTD"}</definedName>
    <definedName name="wrn.PHI._.Sept._.Dec._.March." localSheetId="3"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localSheetId="3" hidden="1">{"PPM Co Code View",#N/A,FALSE,"Comp Codes"}</definedName>
    <definedName name="wrn.PPMCoCodeView." hidden="1">{"PPM Co Code View",#N/A,FALSE,"Comp Codes"}</definedName>
    <definedName name="wrn.PPMreconview." localSheetId="0" hidden="1">{"PPM Recon View",#N/A,FALSE,"Hyperion Proof"}</definedName>
    <definedName name="wrn.PPMreconview." localSheetId="3" hidden="1">{"PPM Recon View",#N/A,FALSE,"Hyperion Proof"}</definedName>
    <definedName name="wrn.PPMreconview." hidden="1">{"PPM Recon View",#N/A,FALSE,"Hyperion Proof"}</definedName>
    <definedName name="wrn.PRINT._.SOURCE._.DATA." localSheetId="3" hidden="1">{"DATA_SET",#N/A,FALSE,"HOURLY SPREAD"}</definedName>
    <definedName name="wrn.PRINT._.SOURCE._.DATA." hidden="1">{"DATA_SET",#N/A,FALSE,"HOURLY SPREAD"}</definedName>
    <definedName name="wrn.PrintHistory." localSheetId="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0" hidden="1">{#N/A,#N/A,FALSE,"Cover";#N/A,#N/A,FALSE,"ProjectSelector";#N/A,#N/A,FALSE,"ProjectTable";#N/A,#N/A,FALSE,"SanGorgonio";#N/A,#N/A,FALSE,"Tehachapi";#N/A,#N/A,FALSE,"Results";#N/A,#N/A,FALSE,"ReplaceForecast"}</definedName>
    <definedName name="wrn.PrintOther." localSheetId="3"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0" hidden="1">{"Electric Only",#N/A,FALSE,"Hyperion Proof"}</definedName>
    <definedName name="wrn.ProofElectricOnly." localSheetId="3" hidden="1">{"Electric Only",#N/A,FALSE,"Hyperion Proof"}</definedName>
    <definedName name="wrn.ProofElectricOnly." hidden="1">{"Electric Only",#N/A,FALSE,"Hyperion Proof"}</definedName>
    <definedName name="wrn.ProofTotal." localSheetId="0" hidden="1">{"Proof Total",#N/A,FALSE,"Hyperion Proof"}</definedName>
    <definedName name="wrn.ProofTotal." localSheetId="3" hidden="1">{"Proof Total",#N/A,FALSE,"Hyperion Proof"}</definedName>
    <definedName name="wrn.ProofTotal." hidden="1">{"Proof Total",#N/A,FALSE,"Hyperion Proof"}</definedName>
    <definedName name="wrn.Reformat._.only." localSheetId="0" hidden="1">{#N/A,#N/A,FALSE,"Dec 1999 mapping"}</definedName>
    <definedName name="wrn.Reformat._.only." localSheetId="3"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0" hidden="1">{#N/A,#N/A,TRUE,"Section1";"SavingsTop",#N/A,TRUE,"SumSavings";#N/A,#N/A,TRUE,"GraphSum";"SavingsAll",#N/A,TRUE,"SumSavings";#N/A,#N/A,TRUE,"Inputs";#N/A,#N/A,TRUE,"Scenarios";#N/A,#N/A,TRUE,"LineLoss";#N/A,#N/A,TRUE,"Summary";#N/A,#N/A,TRUE,"TermSummary";#N/A,#N/A,TRUE,"NetRates";#N/A,#N/A,TRUE,"PPAtypes"}</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0" hidden="1">{#N/A,#N/A,TRUE,"Section1";#N/A,#N/A,TRUE,"SumF";#N/A,#N/A,TRUE,"FigExchange";#N/A,#N/A,TRUE,"Escalation";#N/A,#N/A,TRUE,"GraphEscalate";#N/A,#N/A,TRUE,"Scenarios"}</definedName>
    <definedName name="wrn.Section1Summaries." localSheetId="3"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0" hidden="1">{#N/A,#N/A,TRUE,"Section2";#N/A,#N/A,TRUE,"OverPymt";#N/A,#N/A,TRUE,"Energy";#N/A,#N/A,TRUE,"EnergyDiff1";#N/A,#N/A,TRUE,"EnergyDiff2";#N/A,#N/A,TRUE,"CapPerformance";#N/A,#N/A,TRUE,"BonusPerformance";#N/A,#N/A,TRUE,"BonusFormula";#N/A,#N/A,TRUE,"GraphPymt"}</definedName>
    <definedName name="wrn.Section2." localSheetId="3"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0" hidden="1">{#N/A,#N/A,TRUE,"Section2";#N/A,#N/A,TRUE,"TPCestimate";#N/A,#N/A,TRUE,"SumTPC";#N/A,#N/A,TRUE,"ConstrLoan";#N/A,#N/A,TRUE,"FigBalance";#N/A,#N/A,TRUE,"DEV27air";#N/A,#N/A,TRUE,"Graph27air";#N/A,#N/A,TRUE,"PreOp"}</definedName>
    <definedName name="wrn.Section2TotalProjectCost." localSheetId="3"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0" hidden="1">{#N/A,#N/A,TRUE,"Section3";#N/A,#N/A,TRUE,"BaseYear";#N/A,#N/A,TRUE,"GenHistory";#N/A,#N/A,TRUE,"GenGraph";#N/A,#N/A,TRUE,"MonthCompare";#N/A,#N/A,TRUE,"HourHistory";#N/A,#N/A,TRUE,"PayHistory";#N/A,#N/A,TRUE,"PayGraphs";#N/A,#N/A,TRUE,"ReplaceForecast";#N/A,#N/A,TRUE,"PPAforecast";#N/A,#N/A,TRUE,"OLSier"}</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0" hidden="1">{#N/A,#N/A,TRUE,"Section3";#N/A,#N/A,TRUE,"Tax";#N/A,#N/A,TRUE,"Dividend";#N/A,#N/A,TRUE,"Depreciation";#N/A,#N/A,TRUE,"Balance";#N/A,#N/A,TRUE,"SaleGain";#N/A,#N/A,TRUE,"RevExp";#N/A,#N/A,TRUE,"PIG";#N/A,#N/A,TRUE,"GraphPlant"}</definedName>
    <definedName name="wrn.Section3PowerPlantCompany." localSheetId="3"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0" hidden="1">{#N/A,#N/A,TRUE,"Section4";#N/A,#N/A,TRUE,"Tariffwksht";#N/A,#N/A,TRUE,"TariffINFO";#N/A,#N/A,TRUE,"Generation";#N/A,#N/A,TRUE,"PPAsum";#N/A,#N/A,TRUE,"PPApayments";#N/A,#N/A,TRUE,"RevExp";#N/A,#N/A,TRUE,"GraphRevenue";#N/A,#N/A,TRUE,"GraphRevExp"}</definedName>
    <definedName name="wrn.Section4." localSheetId="3"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0" hidden="1">{#N/A,#N/A,TRUE,"Section4";#N/A,#N/A,TRUE,"PPAtable";#N/A,#N/A,TRUE,"RFPtable";#N/A,#N/A,TRUE,"RevCap";#N/A,#N/A,TRUE,"RevOther";#N/A,#N/A,TRUE,"RevGas";#N/A,#N/A,TRUE,"GraphRev"}</definedName>
    <definedName name="wrn.Section4Revenue." localSheetId="3"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0" hidden="1">{#N/A,#N/A,TRUE,"Section5";#N/A,#N/A,TRUE,"Coal";#N/A,#N/A,TRUE,"Fuel";#N/A,#N/A,TRUE,"OMwksht";#N/A,#N/A,TRUE,"VOM";#N/A,#N/A,TRUE,"FOM";#N/A,#N/A,TRUE,"Debt";#N/A,#N/A,TRUE,"LoanSchedules";#N/A,#N/A,TRUE,"GraphExp";#N/A,#N/A,TRUE,"Conversions"}</definedName>
    <definedName name="wrn.Section5." localSheetId="3"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0" hidden="1">{#N/A,#N/A,TRUE,"Section6";#N/A,#N/A,TRUE,"OHcycles";#N/A,#N/A,TRUE,"OHtiming";#N/A,#N/A,TRUE,"OHcosts";#N/A,#N/A,TRUE,"GTdegradation";#N/A,#N/A,TRUE,"GTperformance";#N/A,#N/A,TRUE,"GraphEquip"}</definedName>
    <definedName name="wrn.Section6Equipment." localSheetId="3"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0" hidden="1">{#N/A,#N/A,TRUE,"Section7";#N/A,#N/A,TRUE,"DebtService";#N/A,#N/A,TRUE,"LoanSchedules";#N/A,#N/A,TRUE,"GraphDebt"}</definedName>
    <definedName name="wrn.Section7DebtService." localSheetId="3" hidden="1">{#N/A,#N/A,TRUE,"Section7";#N/A,#N/A,TRUE,"DebtService";#N/A,#N/A,TRUE,"LoanSchedules";#N/A,#N/A,TRUE,"GraphDebt"}</definedName>
    <definedName name="wrn.Section7DebtService." hidden="1">{#N/A,#N/A,TRUE,"Section7";#N/A,#N/A,TRUE,"DebtService";#N/A,#N/A,TRUE,"LoanSchedules";#N/A,#N/A,TRUE,"GraphDebt"}</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0" hidden="1">{#N/A,#N/A,TRUE,"Cover";#N/A,#N/A,TRUE,"Contents";#N/A,#N/A,TRUE,"Organization";#N/A,#N/A,TRUE,"SumSponsor";#N/A,#N/A,TRUE,"Plant1";#N/A,#N/A,TRUE,"Plant2";#N/A,#N/A,TRUE,"Sponsors";#N/A,#N/A,TRUE,"ElPaso1";#N/A,#N/A,TRUE,"GraphSponsor"}</definedName>
    <definedName name="wrn.SponsorSection." localSheetId="3"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0" hidden="1">{"YTD-Total",#N/A,FALSE,"Provision"}</definedName>
    <definedName name="wrn.Standard." localSheetId="3" hidden="1">{"YTD-Total",#N/A,FALSE,"Provision"}</definedName>
    <definedName name="wrn.Standard." hidden="1">{"YTD-Total",#N/A,FALSE,"Provision"}</definedName>
    <definedName name="wrn.Standard._.NonUtility._.Only." localSheetId="0" hidden="1">{"YTD-NonUtility",#N/A,FALSE,"Prov NonUtility"}</definedName>
    <definedName name="wrn.Standard._.NonUtility._.Only." localSheetId="3"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localSheetId="3" hidden="1">{"YTD-Utility",#N/A,FALSE,"Prov Utility"}</definedName>
    <definedName name="wrn.Standard._.Utility._.Only." hidden="1">{"YTD-Utility",#N/A,FALSE,"Prov Utility"}</definedName>
    <definedName name="wrn.Summary." localSheetId="0" hidden="1">{"Table A",#N/A,FALSE,"Summary";"Table D",#N/A,FALSE,"Summary";"Table E",#N/A,FALSE,"Summary"}</definedName>
    <definedName name="wrn.Summary." localSheetId="3" hidden="1">{"Table A",#N/A,FALSE,"Summary";"Table D",#N/A,FALSE,"Summary";"Table E",#N/A,FALSE,"Summary"}</definedName>
    <definedName name="wrn.Summary." hidden="1">{"Table A",#N/A,FALSE,"Summary";"Table D",#N/A,FALSE,"Summary";"Table E",#N/A,FALSE,"Summary"}</definedName>
    <definedName name="wrn.Summary._.View." localSheetId="0" hidden="1">{#N/A,#N/A,FALSE,"Consltd-For contngcy"}</definedName>
    <definedName name="wrn.Summary._.View." localSheetId="3" hidden="1">{#N/A,#N/A,FALSE,"Consltd-For contngcy"}</definedName>
    <definedName name="wrn.Summary._.View." hidden="1">{#N/A,#N/A,FALSE,"Consltd-For contngcy"}</definedName>
    <definedName name="wrn.Total._.Summary." localSheetId="0" hidden="1">{"Total Summary",#N/A,FALSE,"Summary"}</definedName>
    <definedName name="wrn.Total._.Summary." localSheetId="3" hidden="1">{"Total Summary",#N/A,FALSE,"Summary"}</definedName>
    <definedName name="wrn.Total._.Summary." hidden="1">{"Total Summary",#N/A,FALSE,"Summary"}</definedName>
    <definedName name="wrn.UK._.Conversion._.Only." localSheetId="0" hidden="1">{#N/A,#N/A,FALSE,"Dec 1999 UK Continuing Ops"}</definedName>
    <definedName name="wrn.UK._.Conversion._.Only." localSheetId="3"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localSheetId="0" hidden="1">#REF!</definedName>
    <definedName name="y" hidden="1">'[2]DSM Output'!$B$21:$B$23</definedName>
    <definedName name="z" localSheetId="0" hidden="1">#REF!</definedName>
    <definedName name="z" hidden="1">'[2]DSM Output'!$G$21:$G$23</definedName>
    <definedName name="Z_01844156_6462_4A28_9785_1A86F4D0C834_.wvu.PrintTitles" localSheetId="0" hidden="1">#REF!</definedName>
    <definedName name="Z_01844156_6462_4A28_9785_1A86F4D0C834_.wvu.PrintTitles" localSheetId="3" hidden="1">#REF!</definedName>
    <definedName name="Z_01844156_6462_4A28_9785_1A86F4D0C834_.wvu.PrintTitles" localSheetId="1" hidden="1">#REF!</definedName>
    <definedName name="Z_01844156_6462_4A28_9785_1A86F4D0C834_.wvu.PrintTitles" localSheetId="2" hidden="1">#REF!</definedName>
    <definedName name="Z_01844156_6462_4A28_9785_1A86F4D0C834_.wvu.PrintTitles"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9" i="4" l="1"/>
  <c r="A48" i="4"/>
  <c r="I40" i="5" l="1"/>
  <c r="E40" i="5"/>
  <c r="K39" i="5"/>
  <c r="J39" i="5"/>
  <c r="I39" i="5"/>
  <c r="H39" i="5"/>
  <c r="G39" i="5"/>
  <c r="F39" i="5"/>
  <c r="E39" i="5"/>
  <c r="L39" i="5" s="1"/>
  <c r="K38" i="5"/>
  <c r="J38" i="5"/>
  <c r="I38" i="5"/>
  <c r="H38" i="5"/>
  <c r="L38" i="5" s="1"/>
  <c r="G38" i="5"/>
  <c r="F38" i="5"/>
  <c r="E38" i="5"/>
  <c r="A38" i="5"/>
  <c r="K37" i="5"/>
  <c r="J37" i="5"/>
  <c r="I37" i="5"/>
  <c r="H37" i="5"/>
  <c r="G37" i="5"/>
  <c r="F37" i="5"/>
  <c r="E37" i="5"/>
  <c r="L37" i="5" s="1"/>
  <c r="K36" i="5"/>
  <c r="J36" i="5"/>
  <c r="I36" i="5"/>
  <c r="H36" i="5"/>
  <c r="L36" i="5" s="1"/>
  <c r="G36" i="5"/>
  <c r="F36" i="5"/>
  <c r="E36" i="5"/>
  <c r="A36" i="5"/>
  <c r="K35" i="5"/>
  <c r="J35" i="5"/>
  <c r="I35" i="5"/>
  <c r="H35" i="5"/>
  <c r="G35" i="5"/>
  <c r="F35" i="5"/>
  <c r="E35" i="5"/>
  <c r="L35" i="5" s="1"/>
  <c r="K34" i="5"/>
  <c r="J34" i="5"/>
  <c r="I34" i="5"/>
  <c r="H34" i="5"/>
  <c r="L34" i="5" s="1"/>
  <c r="G34" i="5"/>
  <c r="F34" i="5"/>
  <c r="E34" i="5"/>
  <c r="A34" i="5"/>
  <c r="K33" i="5"/>
  <c r="J33" i="5"/>
  <c r="I33" i="5"/>
  <c r="H33" i="5"/>
  <c r="G33" i="5"/>
  <c r="F33" i="5"/>
  <c r="E33" i="5"/>
  <c r="L33" i="5" s="1"/>
  <c r="K32" i="5"/>
  <c r="J32" i="5"/>
  <c r="I32" i="5"/>
  <c r="H32" i="5"/>
  <c r="L32" i="5" s="1"/>
  <c r="G32" i="5"/>
  <c r="F32" i="5"/>
  <c r="E32" i="5"/>
  <c r="A32" i="5"/>
  <c r="K31" i="5"/>
  <c r="J31" i="5"/>
  <c r="I31" i="5"/>
  <c r="H31" i="5"/>
  <c r="G31" i="5"/>
  <c r="F31" i="5"/>
  <c r="E31" i="5"/>
  <c r="L31" i="5" s="1"/>
  <c r="K30" i="5"/>
  <c r="J30" i="5"/>
  <c r="I30" i="5"/>
  <c r="H30" i="5"/>
  <c r="L30" i="5" s="1"/>
  <c r="G30" i="5"/>
  <c r="F30" i="5"/>
  <c r="E30" i="5"/>
  <c r="A30" i="5"/>
  <c r="K29" i="5"/>
  <c r="J29" i="5"/>
  <c r="I29" i="5"/>
  <c r="H29" i="5"/>
  <c r="G29" i="5"/>
  <c r="F29" i="5"/>
  <c r="E29" i="5"/>
  <c r="L29" i="5" s="1"/>
  <c r="K28" i="5"/>
  <c r="K40" i="5" s="1"/>
  <c r="J28" i="5"/>
  <c r="J40" i="5" s="1"/>
  <c r="I28" i="5"/>
  <c r="H28" i="5"/>
  <c r="H40" i="5" s="1"/>
  <c r="G28" i="5"/>
  <c r="G40" i="5" s="1"/>
  <c r="F28" i="5"/>
  <c r="F40" i="5" s="1"/>
  <c r="E28" i="5"/>
  <c r="A28" i="5"/>
  <c r="U21" i="5"/>
  <c r="T21" i="5"/>
  <c r="S21" i="5"/>
  <c r="R21" i="5"/>
  <c r="Q21" i="5"/>
  <c r="P21" i="5"/>
  <c r="O21" i="5"/>
  <c r="N21" i="5"/>
  <c r="K21" i="5"/>
  <c r="J21" i="5"/>
  <c r="J20" i="5"/>
  <c r="I20" i="5"/>
  <c r="H20" i="5"/>
  <c r="G20" i="5"/>
  <c r="F20" i="5"/>
  <c r="E20" i="5"/>
  <c r="L20" i="5" s="1"/>
  <c r="J19" i="5"/>
  <c r="I19" i="5"/>
  <c r="H19" i="5"/>
  <c r="G19" i="5"/>
  <c r="L19" i="5" s="1"/>
  <c r="F19" i="5"/>
  <c r="E19" i="5"/>
  <c r="J18" i="5"/>
  <c r="I18" i="5"/>
  <c r="H18" i="5"/>
  <c r="G18" i="5"/>
  <c r="F18" i="5"/>
  <c r="E18" i="5"/>
  <c r="A18" i="5"/>
  <c r="J17" i="5"/>
  <c r="I17" i="5"/>
  <c r="H17" i="5"/>
  <c r="G17" i="5"/>
  <c r="F17" i="5"/>
  <c r="E17" i="5"/>
  <c r="L17" i="5" s="1"/>
  <c r="J16" i="5"/>
  <c r="I16" i="5"/>
  <c r="H16" i="5"/>
  <c r="G16" i="5"/>
  <c r="F16" i="5"/>
  <c r="E16" i="5"/>
  <c r="L16" i="5" s="1"/>
  <c r="J15" i="5"/>
  <c r="I15" i="5"/>
  <c r="H15" i="5"/>
  <c r="G15" i="5"/>
  <c r="L15" i="5" s="1"/>
  <c r="F15" i="5"/>
  <c r="E15" i="5"/>
  <c r="J14" i="5"/>
  <c r="I14" i="5"/>
  <c r="H14" i="5"/>
  <c r="G14" i="5"/>
  <c r="F14" i="5"/>
  <c r="E14" i="5"/>
  <c r="A14" i="5"/>
  <c r="J13" i="5"/>
  <c r="I13" i="5"/>
  <c r="H13" i="5"/>
  <c r="G13" i="5"/>
  <c r="F13" i="5"/>
  <c r="E13" i="5"/>
  <c r="L13" i="5" s="1"/>
  <c r="J12" i="5"/>
  <c r="I12" i="5"/>
  <c r="H12" i="5"/>
  <c r="G12" i="5"/>
  <c r="F12" i="5"/>
  <c r="F21" i="5" s="1"/>
  <c r="E12" i="5"/>
  <c r="L12" i="5" s="1"/>
  <c r="J11" i="5"/>
  <c r="I11" i="5"/>
  <c r="H11" i="5"/>
  <c r="G11" i="5"/>
  <c r="L11" i="5" s="1"/>
  <c r="F11" i="5"/>
  <c r="E11" i="5"/>
  <c r="J10" i="5"/>
  <c r="I10" i="5"/>
  <c r="H10" i="5"/>
  <c r="G10" i="5"/>
  <c r="F10" i="5"/>
  <c r="E10" i="5"/>
  <c r="A10" i="5"/>
  <c r="V21" i="5"/>
  <c r="J9" i="5"/>
  <c r="I9" i="5"/>
  <c r="H9" i="5"/>
  <c r="G9" i="5"/>
  <c r="F9" i="5"/>
  <c r="E9" i="5"/>
  <c r="A17" i="5"/>
  <c r="A2" i="5"/>
  <c r="A1" i="5"/>
  <c r="B105" i="4"/>
  <c r="B106" i="4" s="1"/>
  <c r="B107" i="4" s="1"/>
  <c r="B108" i="4" s="1"/>
  <c r="B109" i="4" s="1"/>
  <c r="B110" i="4" s="1"/>
  <c r="B111" i="4" s="1"/>
  <c r="B112" i="4" s="1"/>
  <c r="B113" i="4" s="1"/>
  <c r="B114" i="4" s="1"/>
  <c r="B115" i="4" s="1"/>
  <c r="B104" i="4"/>
  <c r="L42" i="4"/>
  <c r="K42" i="4"/>
  <c r="J42" i="4"/>
  <c r="I42" i="4"/>
  <c r="M41" i="4"/>
  <c r="A41" i="4"/>
  <c r="M37" i="4"/>
  <c r="M42" i="4" s="1"/>
  <c r="A34" i="4"/>
  <c r="E27" i="4"/>
  <c r="A14" i="4"/>
  <c r="E34" i="4"/>
  <c r="E49" i="3"/>
  <c r="G46" i="3"/>
  <c r="F46" i="3"/>
  <c r="F49" i="3" s="1"/>
  <c r="D49" i="3"/>
  <c r="B35" i="3"/>
  <c r="O26" i="3"/>
  <c r="N26" i="3"/>
  <c r="M26" i="3"/>
  <c r="L26" i="3"/>
  <c r="K26" i="3"/>
  <c r="J26" i="3"/>
  <c r="I26" i="3"/>
  <c r="H26" i="3"/>
  <c r="G26" i="3"/>
  <c r="F26" i="3"/>
  <c r="E26" i="3"/>
  <c r="D26" i="3"/>
  <c r="P26" i="3" s="1"/>
  <c r="F15" i="2" s="1"/>
  <c r="B20" i="3"/>
  <c r="A16" i="3"/>
  <c r="A14" i="3"/>
  <c r="A12" i="3"/>
  <c r="F9" i="3"/>
  <c r="E9" i="3"/>
  <c r="E30" i="3" s="1"/>
  <c r="A7" i="3"/>
  <c r="A5" i="3"/>
  <c r="B38" i="3"/>
  <c r="B109" i="2"/>
  <c r="B110" i="2" s="1"/>
  <c r="B111" i="2" s="1"/>
  <c r="B112" i="2" s="1"/>
  <c r="B113" i="2" s="1"/>
  <c r="B114" i="2" s="1"/>
  <c r="B115" i="2" s="1"/>
  <c r="B116" i="2" s="1"/>
  <c r="B117" i="2" s="1"/>
  <c r="B118" i="2" s="1"/>
  <c r="B108" i="2"/>
  <c r="B107" i="2"/>
  <c r="B19" i="2"/>
  <c r="F11" i="2"/>
  <c r="A10" i="2"/>
  <c r="A11" i="2" s="1"/>
  <c r="A12" i="2" s="1"/>
  <c r="A13" i="2" s="1"/>
  <c r="A14" i="2" s="1"/>
  <c r="A15" i="2" s="1"/>
  <c r="A16" i="2" s="1"/>
  <c r="A17" i="2" s="1"/>
  <c r="A18" i="2" s="1"/>
  <c r="A19" i="2" s="1"/>
  <c r="A20" i="2" s="1"/>
  <c r="D30" i="3" l="1"/>
  <c r="F30" i="3"/>
  <c r="G9" i="3"/>
  <c r="G49" i="3"/>
  <c r="H46" i="3"/>
  <c r="B14" i="2"/>
  <c r="B15" i="2"/>
  <c r="B12" i="2"/>
  <c r="B20" i="2"/>
  <c r="B18" i="2"/>
  <c r="B8" i="2"/>
  <c r="A44" i="4"/>
  <c r="A32" i="4"/>
  <c r="A27" i="4"/>
  <c r="A16" i="4"/>
  <c r="A12" i="4"/>
  <c r="A8" i="4"/>
  <c r="A39" i="4"/>
  <c r="A25" i="4"/>
  <c r="A5" i="4"/>
  <c r="A20" i="4"/>
  <c r="E20" i="4"/>
  <c r="D14" i="4"/>
  <c r="H21" i="5"/>
  <c r="L28" i="5"/>
  <c r="L40" i="5" s="1"/>
  <c r="A17" i="3"/>
  <c r="A10" i="4"/>
  <c r="B18" i="4"/>
  <c r="E42" i="5"/>
  <c r="E21" i="5"/>
  <c r="L9" i="5"/>
  <c r="I21" i="5"/>
  <c r="L14" i="5"/>
  <c r="G21" i="5"/>
  <c r="L10" i="5"/>
  <c r="L18" i="5"/>
  <c r="G42" i="5"/>
  <c r="K42" i="5"/>
  <c r="A11" i="5"/>
  <c r="A15" i="5"/>
  <c r="A19" i="5"/>
  <c r="A5" i="5"/>
  <c r="A12" i="5"/>
  <c r="A16" i="5"/>
  <c r="A20" i="5"/>
  <c r="A29" i="5"/>
  <c r="A31" i="5"/>
  <c r="A33" i="5"/>
  <c r="A35" i="5"/>
  <c r="A37" i="5"/>
  <c r="A39" i="5"/>
  <c r="A9" i="5"/>
  <c r="A13" i="5"/>
  <c r="I42" i="5" l="1"/>
  <c r="F42" i="5"/>
  <c r="H42" i="5"/>
  <c r="I46" i="3"/>
  <c r="H49" i="3"/>
  <c r="G30" i="3"/>
  <c r="H9" i="3"/>
  <c r="A18" i="3"/>
  <c r="A20" i="3"/>
  <c r="A26" i="3" s="1"/>
  <c r="A22" i="3"/>
  <c r="L21" i="5"/>
  <c r="J42" i="5"/>
  <c r="H23" i="5"/>
  <c r="A28" i="3" l="1"/>
  <c r="A30" i="3"/>
  <c r="J23" i="5"/>
  <c r="F23" i="5"/>
  <c r="K23" i="5"/>
  <c r="H43" i="5"/>
  <c r="J43" i="5"/>
  <c r="G23" i="5"/>
  <c r="L42" i="5"/>
  <c r="I23" i="5"/>
  <c r="A32" i="3"/>
  <c r="A35" i="3" s="1"/>
  <c r="E23" i="5"/>
  <c r="J49" i="3"/>
  <c r="F43" i="5"/>
  <c r="I43" i="5"/>
  <c r="I9" i="3"/>
  <c r="I49" i="3"/>
  <c r="J46" i="3"/>
  <c r="F17" i="2" s="1"/>
  <c r="A36" i="3" l="1"/>
  <c r="L23" i="5"/>
  <c r="E43" i="5"/>
  <c r="K43" i="5"/>
  <c r="K18" i="4"/>
  <c r="J9" i="3"/>
  <c r="I30" i="3"/>
  <c r="G18" i="4"/>
  <c r="G43" i="5"/>
  <c r="D54" i="4"/>
  <c r="E54" i="4" s="1"/>
  <c r="J18" i="4"/>
  <c r="I18" i="4"/>
  <c r="H30" i="3"/>
  <c r="I27" i="4" l="1"/>
  <c r="I34" i="4"/>
  <c r="I20" i="4"/>
  <c r="K9" i="3"/>
  <c r="G27" i="4"/>
  <c r="G34" i="4"/>
  <c r="G20" i="4"/>
  <c r="L18" i="4"/>
  <c r="A37" i="3"/>
  <c r="H18" i="4"/>
  <c r="J27" i="4"/>
  <c r="J34" i="4"/>
  <c r="J20" i="4"/>
  <c r="L43" i="5"/>
  <c r="F18" i="4"/>
  <c r="K27" i="4"/>
  <c r="K34" i="4"/>
  <c r="K20" i="4"/>
  <c r="L34" i="4" l="1"/>
  <c r="L27" i="4"/>
  <c r="L20" i="4"/>
  <c r="H27" i="4"/>
  <c r="H34" i="4"/>
  <c r="H20" i="4"/>
  <c r="J30" i="3"/>
  <c r="E18" i="4"/>
  <c r="E36" i="4"/>
  <c r="F27" i="4"/>
  <c r="F34" i="4"/>
  <c r="E29" i="4"/>
  <c r="E22" i="4"/>
  <c r="F20" i="4"/>
  <c r="A38" i="3"/>
  <c r="A46" i="3"/>
  <c r="A48" i="3" s="1"/>
  <c r="A49" i="3" s="1"/>
  <c r="A50" i="3" s="1"/>
  <c r="A51" i="3" s="1"/>
  <c r="A55" i="3" s="1"/>
  <c r="A56" i="3" s="1"/>
  <c r="A57" i="3" s="1"/>
  <c r="K30" i="3"/>
  <c r="L9" i="3"/>
  <c r="L29" i="4" l="1"/>
  <c r="H29" i="4"/>
  <c r="K29" i="4"/>
  <c r="G29" i="4"/>
  <c r="F29" i="4"/>
  <c r="F30" i="4" s="1"/>
  <c r="J29" i="4"/>
  <c r="E30" i="4"/>
  <c r="I29" i="4"/>
  <c r="E41" i="4"/>
  <c r="H32" i="4"/>
  <c r="L25" i="4"/>
  <c r="L30" i="3"/>
  <c r="M9" i="3"/>
  <c r="F23" i="4"/>
  <c r="L32" i="4"/>
  <c r="J22" i="4"/>
  <c r="J25" i="4" s="1"/>
  <c r="F22" i="4"/>
  <c r="F25" i="4" s="1"/>
  <c r="E23" i="4"/>
  <c r="E25" i="4" s="1"/>
  <c r="I22" i="4"/>
  <c r="I25" i="4" s="1"/>
  <c r="L22" i="4"/>
  <c r="H22" i="4"/>
  <c r="K22" i="4"/>
  <c r="K25" i="4" s="1"/>
  <c r="G22" i="4"/>
  <c r="J36" i="4"/>
  <c r="J39" i="4" s="1"/>
  <c r="F36" i="4"/>
  <c r="F37" i="4" s="1"/>
  <c r="E37" i="4"/>
  <c r="I36" i="4"/>
  <c r="I39" i="4" s="1"/>
  <c r="H36" i="4"/>
  <c r="H39" i="4" s="1"/>
  <c r="L36" i="4"/>
  <c r="L39" i="4" s="1"/>
  <c r="K36" i="4"/>
  <c r="K39" i="4" s="1"/>
  <c r="G36" i="4"/>
  <c r="G39" i="4" s="1"/>
  <c r="E39" i="4"/>
  <c r="H25" i="4" l="1"/>
  <c r="F42" i="4"/>
  <c r="I41" i="4"/>
  <c r="I32" i="4"/>
  <c r="I44" i="4" s="1"/>
  <c r="G41" i="4"/>
  <c r="G30" i="4"/>
  <c r="G32" i="4"/>
  <c r="G44" i="4" s="1"/>
  <c r="H23" i="4"/>
  <c r="H42" i="4" s="1"/>
  <c r="M30" i="3"/>
  <c r="N9" i="3"/>
  <c r="H44" i="4"/>
  <c r="E42" i="4"/>
  <c r="K41" i="4"/>
  <c r="K32" i="4"/>
  <c r="K44" i="4" s="1"/>
  <c r="G25" i="4"/>
  <c r="G23" i="4"/>
  <c r="F39" i="4"/>
  <c r="E32" i="4"/>
  <c r="J41" i="4"/>
  <c r="J32" i="4"/>
  <c r="J44" i="4" s="1"/>
  <c r="H41" i="4"/>
  <c r="L44" i="4"/>
  <c r="F41" i="4"/>
  <c r="L41" i="4"/>
  <c r="F32" i="4"/>
  <c r="F44" i="4" l="1"/>
  <c r="M34" i="4"/>
  <c r="M39" i="4" s="1"/>
  <c r="M44" i="4" s="1"/>
  <c r="E44" i="4"/>
  <c r="E48" i="4" s="1"/>
  <c r="O9" i="3"/>
  <c r="N30" i="3"/>
  <c r="G42" i="4"/>
  <c r="M14" i="3" l="1"/>
  <c r="M16" i="3" s="1"/>
  <c r="I14" i="3"/>
  <c r="I16" i="3" s="1"/>
  <c r="E14" i="3"/>
  <c r="E16" i="3" s="1"/>
  <c r="E49" i="4"/>
  <c r="N14" i="3"/>
  <c r="H14" i="3"/>
  <c r="H16" i="3" s="1"/>
  <c r="L14" i="3"/>
  <c r="L16" i="3" s="1"/>
  <c r="G14" i="3"/>
  <c r="G16" i="3" s="1"/>
  <c r="K14" i="3"/>
  <c r="K16" i="3" s="1"/>
  <c r="F14" i="3"/>
  <c r="F16" i="3" s="1"/>
  <c r="J14" i="3"/>
  <c r="J16" i="3" s="1"/>
  <c r="D14" i="3"/>
  <c r="D16" i="3" s="1"/>
  <c r="O14" i="3"/>
  <c r="N16" i="3"/>
  <c r="P20" i="3"/>
  <c r="F14" i="2" s="1"/>
  <c r="D44" i="3"/>
  <c r="E44" i="3" s="1"/>
  <c r="F44" i="3" s="1"/>
  <c r="G44" i="3" s="1"/>
  <c r="H44" i="3" s="1"/>
  <c r="I44" i="3" s="1"/>
  <c r="O30" i="3" l="1"/>
  <c r="P30" i="3" s="1"/>
  <c r="P28" i="3"/>
  <c r="F16" i="2" s="1"/>
  <c r="J17" i="3"/>
  <c r="J18" i="3" s="1"/>
  <c r="J22" i="3" s="1"/>
  <c r="J32" i="3" s="1"/>
  <c r="J36" i="3" s="1"/>
  <c r="L17" i="3"/>
  <c r="L18" i="3" s="1"/>
  <c r="L22" i="3" s="1"/>
  <c r="L32" i="3" s="1"/>
  <c r="L36" i="3" s="1"/>
  <c r="E18" i="3"/>
  <c r="E22" i="3" s="1"/>
  <c r="E32" i="3" s="1"/>
  <c r="E36" i="3" s="1"/>
  <c r="E17" i="3"/>
  <c r="O16" i="3"/>
  <c r="P12" i="3"/>
  <c r="D18" i="3"/>
  <c r="D17" i="3"/>
  <c r="G17" i="3"/>
  <c r="G18" i="3"/>
  <c r="G22" i="3" s="1"/>
  <c r="G32" i="3" s="1"/>
  <c r="G36" i="3" s="1"/>
  <c r="N17" i="3"/>
  <c r="N18" i="3"/>
  <c r="N22" i="3" s="1"/>
  <c r="N32" i="3" s="1"/>
  <c r="N36" i="3" s="1"/>
  <c r="F17" i="3"/>
  <c r="F18" i="3"/>
  <c r="F22" i="3" s="1"/>
  <c r="F32" i="3" s="1"/>
  <c r="F36" i="3" s="1"/>
  <c r="H17" i="3"/>
  <c r="H18" i="3" s="1"/>
  <c r="H22" i="3" s="1"/>
  <c r="H32" i="3" s="1"/>
  <c r="H36" i="3" s="1"/>
  <c r="I17" i="3"/>
  <c r="I18" i="3" s="1"/>
  <c r="I22" i="3" s="1"/>
  <c r="I32" i="3" s="1"/>
  <c r="I36" i="3" s="1"/>
  <c r="K17" i="3"/>
  <c r="K18" i="3"/>
  <c r="K22" i="3" s="1"/>
  <c r="K32" i="3" s="1"/>
  <c r="K36" i="3" s="1"/>
  <c r="M17" i="3"/>
  <c r="M18" i="3"/>
  <c r="M22" i="3" s="1"/>
  <c r="M32" i="3" s="1"/>
  <c r="M36" i="3" s="1"/>
  <c r="D22" i="3" l="1"/>
  <c r="P17" i="3"/>
  <c r="F13" i="2" s="1"/>
  <c r="O17" i="3"/>
  <c r="O18" i="3" s="1"/>
  <c r="P16" i="3"/>
  <c r="F12" i="2" s="1"/>
  <c r="O22" i="3" l="1"/>
  <c r="O32" i="3" s="1"/>
  <c r="O36" i="3" s="1"/>
  <c r="P18" i="3"/>
  <c r="D32" i="3"/>
  <c r="P22" i="3"/>
  <c r="D36" i="3" l="1"/>
  <c r="P32" i="3"/>
  <c r="P36" i="3" l="1"/>
  <c r="D37" i="3"/>
  <c r="D38" i="3" l="1"/>
  <c r="E35" i="3" s="1"/>
  <c r="E37" i="3" l="1"/>
  <c r="E38" i="3" l="1"/>
  <c r="F35" i="3" s="1"/>
  <c r="F37" i="3" l="1"/>
  <c r="F38" i="3"/>
  <c r="G35" i="3" s="1"/>
  <c r="G37" i="3" l="1"/>
  <c r="G38" i="3" s="1"/>
  <c r="H35" i="3" s="1"/>
  <c r="H37" i="3" l="1"/>
  <c r="H38" i="3"/>
  <c r="I35" i="3" s="1"/>
  <c r="I37" i="3" l="1"/>
  <c r="I38" i="3" s="1"/>
  <c r="J35" i="3" s="1"/>
  <c r="J37" i="3" l="1"/>
  <c r="J38" i="3"/>
  <c r="K35" i="3" s="1"/>
  <c r="K37" i="3" l="1"/>
  <c r="K38" i="3" s="1"/>
  <c r="L35" i="3" s="1"/>
  <c r="L37" i="3" l="1"/>
  <c r="L38" i="3" s="1"/>
  <c r="M35" i="3" s="1"/>
  <c r="M37" i="3" l="1"/>
  <c r="M38" i="3"/>
  <c r="N35" i="3" s="1"/>
  <c r="N37" i="3" l="1"/>
  <c r="N38" i="3"/>
  <c r="O35" i="3" s="1"/>
  <c r="O37" i="3" l="1"/>
  <c r="P37" i="3" s="1"/>
  <c r="F18" i="2" s="1"/>
  <c r="O38" i="3" l="1"/>
  <c r="D48" i="3" s="1"/>
  <c r="D50" i="3" l="1"/>
  <c r="D51" i="3" l="1"/>
  <c r="E48" i="3" s="1"/>
  <c r="E50" i="3" l="1"/>
  <c r="E51" i="3"/>
  <c r="F48" i="3" s="1"/>
  <c r="F50" i="3" l="1"/>
  <c r="F51" i="3"/>
  <c r="G48" i="3" s="1"/>
  <c r="G50" i="3" l="1"/>
  <c r="G51" i="3" l="1"/>
  <c r="H48" i="3" s="1"/>
  <c r="H50" i="3" l="1"/>
  <c r="J50" i="3" s="1"/>
  <c r="F19" i="2" s="1"/>
  <c r="F20" i="2" s="1"/>
  <c r="H51" i="3" l="1"/>
  <c r="I48" i="3" s="1"/>
  <c r="I51" i="3" s="1"/>
</calcChain>
</file>

<file path=xl/sharedStrings.xml><?xml version="1.0" encoding="utf-8"?>
<sst xmlns="http://schemas.openxmlformats.org/spreadsheetml/2006/main" count="191" uniqueCount="124">
  <si>
    <t>Exhibit Index</t>
  </si>
  <si>
    <t>Description:</t>
  </si>
  <si>
    <t>Deferral Period:</t>
  </si>
  <si>
    <t>RMP__(THS-1)</t>
  </si>
  <si>
    <t>Summary of Utah REC Balancing Account</t>
  </si>
  <si>
    <t>RMP__(THS-2)</t>
  </si>
  <si>
    <t>Page 2.1</t>
  </si>
  <si>
    <t>Page 2.2</t>
  </si>
  <si>
    <t>Rocky Mountain Power</t>
  </si>
  <si>
    <t>Utah REC Balancing Account</t>
  </si>
  <si>
    <t>Summary of REC Balancing Account (Schedule 98)</t>
  </si>
  <si>
    <t>Line No.</t>
  </si>
  <si>
    <t>Reference</t>
  </si>
  <si>
    <t>2018 REC Revenue Deferred Balance @ December 31, 2017</t>
  </si>
  <si>
    <t>Docket No. 18-035-06, RMP_(THS-2), line 12</t>
  </si>
  <si>
    <t>True Up for using actual resource allocations for Nov.17 &amp; Dec.17</t>
  </si>
  <si>
    <t>THS-2, Footnote 3</t>
  </si>
  <si>
    <t>REC Revenue Deferred Balance @ December 31, 2017 in this RBA filing</t>
  </si>
  <si>
    <t>THS-2, Line 12</t>
  </si>
  <si>
    <t>THS-2, Line 3</t>
  </si>
  <si>
    <t xml:space="preserve">10% retention incentive on incremental REC sales </t>
  </si>
  <si>
    <t>THS-2, Line 4</t>
  </si>
  <si>
    <t>THS-2, Line 6</t>
  </si>
  <si>
    <t>THS-2, Line 8</t>
  </si>
  <si>
    <t>2018 Schedule 98 Surcharge/(Surcredit)</t>
  </si>
  <si>
    <t>THS-2, Line 9</t>
  </si>
  <si>
    <t>THS-2, Line 16</t>
  </si>
  <si>
    <t>THS-2, Line 14</t>
  </si>
  <si>
    <t>THS-2, Line 19</t>
  </si>
  <si>
    <t>Total</t>
  </si>
  <si>
    <t>Actual REC Revenue</t>
  </si>
  <si>
    <t>Total Company REC Revenue</t>
  </si>
  <si>
    <t>SAP Actuals</t>
  </si>
  <si>
    <t>Allocation Rate</t>
  </si>
  <si>
    <t>Utah Allocated</t>
  </si>
  <si>
    <t>Line 1 * Line 2</t>
  </si>
  <si>
    <t xml:space="preserve"> 10% incentive </t>
  </si>
  <si>
    <t>Line 3 * 10%, Footnote 1</t>
  </si>
  <si>
    <t>Net Utah Allocated REC Revenue</t>
  </si>
  <si>
    <t>Line 3 - Line 4</t>
  </si>
  <si>
    <t>Total Utah Allocated REC Revenue</t>
  </si>
  <si>
    <t>Line 5 + Line 6</t>
  </si>
  <si>
    <t>REC Revenue in Rates</t>
  </si>
  <si>
    <t>Docket No. 13-035-184 Projected UT Allocated</t>
  </si>
  <si>
    <t>Footnote 2</t>
  </si>
  <si>
    <t xml:space="preserve">Schedule 98 Surcredits/(Surcharges) </t>
  </si>
  <si>
    <t>Actual Surcredits/(Surcharges) Billed</t>
  </si>
  <si>
    <t>Total in Rates</t>
  </si>
  <si>
    <t>Line 8 + line 9</t>
  </si>
  <si>
    <t>Monthly Deferral Amount</t>
  </si>
  <si>
    <t>Line 7 - Line 10</t>
  </si>
  <si>
    <t>Footnote 3</t>
  </si>
  <si>
    <t>Monthly Deferral</t>
  </si>
  <si>
    <t>Line 11</t>
  </si>
  <si>
    <t>Carrying Charge</t>
  </si>
  <si>
    <t>Footnotes 4 and 5</t>
  </si>
  <si>
    <t>Line 12 + Line 13 + Line 14</t>
  </si>
  <si>
    <t xml:space="preserve">Interim Period - Jan - June 2019 </t>
  </si>
  <si>
    <t>Beginning Deferral Balance</t>
  </si>
  <si>
    <t>Line 15</t>
  </si>
  <si>
    <t>Monthly Deferral Balance</t>
  </si>
  <si>
    <t>Line 16</t>
  </si>
  <si>
    <t>Footnote 5 &amp; 6</t>
  </si>
  <si>
    <t>Ending Deferral Balance -</t>
  </si>
  <si>
    <t>Line 17 + Line 18 + Line 19</t>
  </si>
  <si>
    <t>Carrying Charge Rates</t>
  </si>
  <si>
    <t>Carrying Charge Rate (Jan 2018 - Mar 2018)</t>
  </si>
  <si>
    <t>Footnote 4</t>
  </si>
  <si>
    <t>Carrying Charge Rate (Apr 2018- Mar 2019)</t>
  </si>
  <si>
    <t>Footnote 5</t>
  </si>
  <si>
    <t>Carrying Charge Rate (Apr 2019- Jun 2019)</t>
  </si>
  <si>
    <t>Footnote 6</t>
  </si>
  <si>
    <t xml:space="preserve"> </t>
  </si>
  <si>
    <t>Factor</t>
  </si>
  <si>
    <t>California</t>
  </si>
  <si>
    <t>Oregon</t>
  </si>
  <si>
    <t>Washington</t>
  </si>
  <si>
    <t>Wyoming</t>
  </si>
  <si>
    <t>Utah</t>
  </si>
  <si>
    <t>Idaho</t>
  </si>
  <si>
    <t>FERC</t>
  </si>
  <si>
    <t>Other</t>
  </si>
  <si>
    <t>SG</t>
  </si>
  <si>
    <t>Adjustment for RPS/Commission Order</t>
  </si>
  <si>
    <t>Situs</t>
  </si>
  <si>
    <t>(A)</t>
  </si>
  <si>
    <t>(B)</t>
  </si>
  <si>
    <t>C = B / A</t>
  </si>
  <si>
    <t>D = C * A</t>
  </si>
  <si>
    <t>SG Factor</t>
  </si>
  <si>
    <t>Leaning Juniper Revenue - amounts booked in SAP</t>
  </si>
  <si>
    <t xml:space="preserve">Utah allocated Leaning Juniper Revenue </t>
  </si>
  <si>
    <t>Coincident Peaks:</t>
  </si>
  <si>
    <t>Year</t>
  </si>
  <si>
    <t>Month</t>
  </si>
  <si>
    <t>Day</t>
  </si>
  <si>
    <t>hour</t>
  </si>
  <si>
    <t>CA</t>
  </si>
  <si>
    <t>OR</t>
  </si>
  <si>
    <t>WA</t>
  </si>
  <si>
    <t>UT</t>
  </si>
  <si>
    <t>ID</t>
  </si>
  <si>
    <t>WY</t>
  </si>
  <si>
    <t>EWY</t>
  </si>
  <si>
    <t>WWY</t>
  </si>
  <si>
    <t>Total Check</t>
  </si>
  <si>
    <t>Total 12 CP</t>
  </si>
  <si>
    <t>System Capacity Factor</t>
  </si>
  <si>
    <t>Energy:</t>
  </si>
  <si>
    <t>Total Energy</t>
  </si>
  <si>
    <t>System Energy Factor</t>
  </si>
  <si>
    <t>System Generation Factor</t>
  </si>
  <si>
    <t>Check From Mechanisms Load Input</t>
  </si>
  <si>
    <t>Loads:</t>
  </si>
  <si>
    <t xml:space="preserve">Total 12 CP </t>
  </si>
  <si>
    <t>REC Balancing Account (Schedule 98) Filing March 15, 2019</t>
  </si>
  <si>
    <t>January 1, 2018 - December 31, 2018</t>
  </si>
  <si>
    <t>Calculation of REC Revenue Deferred Balance - Calendar Year 2018</t>
  </si>
  <si>
    <t>Calculation of Utah Allocated Actual REC Revenue for CY 2018</t>
  </si>
  <si>
    <t>Calculation of Utah CY 2018 Actual Allocation Factors</t>
  </si>
  <si>
    <t>March 15, 2019</t>
  </si>
  <si>
    <t>2019 RBA - Deferral Period</t>
  </si>
  <si>
    <r>
      <t xml:space="preserve">FOOTNOTES:
</t>
    </r>
    <r>
      <rPr>
        <sz val="10"/>
        <color theme="1"/>
        <rFont val="Arial"/>
        <family val="2"/>
      </rPr>
      <t xml:space="preserve">1) The Stipulation in Docket No. 11-035-200, paragraph 39 permits the Company to retain 10% of Utah-allocated REC revenue received after May 31, 2013, incremental to certain contracts executed before July 1, 2012.  The excludable contracts listed in Exhibit B to the 2012 GRC stipulation terminated during 2012, so all REC revenue booked January 1,2018 through December 31, 2018 is eligible for the 10% incentive.    </t>
    </r>
    <r>
      <rPr>
        <sz val="10"/>
        <rFont val="Arial"/>
        <family val="2"/>
      </rPr>
      <t xml:space="preserve">
2) The REC revenue in rates for January 1, 2018 through December 31, 2018 is consistent with the stipulation in Docket No. 13-035-184, page 9, paragraph 29 ($2 million Utah allocated per year).
3) The beginning balance shown for January 2018 represents the $(62,299) ending December 31, 2017 balance from Docket No. 18-035-06 the true up of actual resource allocations for November and December 2017 resulted in no change for those months.
4) The carrying charge of 4.19 percent applied to January through March 2018 represents the carrying charge determined in</t>
    </r>
    <r>
      <rPr>
        <sz val="10"/>
        <color theme="1"/>
        <rFont val="Arial"/>
        <family val="2"/>
      </rPr>
      <t xml:space="preserve"> Docket No. 17-035-T02 with an effective date March 1, 2017 through March 31, 2018.</t>
    </r>
    <r>
      <rPr>
        <sz val="10"/>
        <rFont val="Arial"/>
        <family val="2"/>
      </rPr>
      <t xml:space="preserve">
5) The carrying charge of 4.09 percent applied to April 2018 through March 2019 represents the carrying charge determined in </t>
    </r>
    <r>
      <rPr>
        <sz val="10"/>
        <color theme="1"/>
        <rFont val="Arial"/>
        <family val="2"/>
      </rPr>
      <t>Docket No. 18-035-T01 with an effective date April 1, 2018 through March 31, 2019. 
6) The carrying charge of 4.37 percent applied to April 2019 through June 2019 represents the carrying charge pending in Docket No. 19-035-T03 with an effective April 1, 2019 thorugh March 31, 2020.</t>
    </r>
    <r>
      <rPr>
        <sz val="10"/>
        <rFont val="Arial"/>
        <family val="2"/>
      </rPr>
      <t xml:space="preserve">
</t>
    </r>
  </si>
  <si>
    <t>Estimated Schedule 98 Surcharge/(Surcredit) January 2019 to May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</si>
</sst>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000_);_(* \(#,##0.0000\);_(* &quot;-&quot;??_);_(@_)"/>
    <numFmt numFmtId="167" formatCode="[$-409]mmm\-yy;@"/>
    <numFmt numFmtId="168" formatCode="0.000%"/>
    <numFmt numFmtId="169" formatCode="[$-409]mmmm\ d\,\ yyyy;@"/>
    <numFmt numFmtId="170" formatCode="#,##0.0"/>
    <numFmt numFmtId="171" formatCode="_(* #,##0.0_);_(* \(#,##0.0\);_(* &quot;-&quot;??_);_(@_)"/>
    <numFmt numFmtId="172" formatCode="_(* #,##0.0_);_(* \(#,##0.0\);_(* &quot;-&quot;?_);_(@_)"/>
    <numFmt numFmtId="173" formatCode="0.0000%"/>
    <numFmt numFmtId="174" formatCode="_(* #,##0.000_);_(* \(#,##0.000\);_(* &quot;-&quot;??_);_(@_)"/>
  </numFmts>
  <fonts count="17" x14ac:knownFonts="1">
    <font>
      <sz val="11"/>
      <color theme="1"/>
      <name val="Calibri"/>
      <family val="2"/>
      <scheme val="minor"/>
    </font>
    <font>
      <sz val="11"/>
      <color theme="1"/>
      <name val="Calibri"/>
      <family val="2"/>
      <scheme val="minor"/>
    </font>
    <font>
      <sz val="10"/>
      <name val="Arial"/>
      <family val="2"/>
    </font>
    <font>
      <b/>
      <sz val="10"/>
      <name val="Arial"/>
      <family val="2"/>
    </font>
    <font>
      <b/>
      <sz val="10"/>
      <name val="Arial Black"/>
      <family val="2"/>
    </font>
    <font>
      <b/>
      <sz val="10"/>
      <color theme="1"/>
      <name val="Arial"/>
      <family val="2"/>
    </font>
    <font>
      <sz val="10"/>
      <color theme="1"/>
      <name val="Arial"/>
      <family val="2"/>
    </font>
    <font>
      <i/>
      <sz val="10"/>
      <color theme="1"/>
      <name val="Arial"/>
      <family val="2"/>
    </font>
    <font>
      <sz val="10"/>
      <color rgb="FF0000FF"/>
      <name val="Arial"/>
      <family val="2"/>
    </font>
    <font>
      <sz val="10"/>
      <color rgb="FFFF0000"/>
      <name val="Arial"/>
      <family val="2"/>
    </font>
    <font>
      <i/>
      <sz val="10"/>
      <name val="Arial"/>
      <family val="2"/>
    </font>
    <font>
      <b/>
      <sz val="10"/>
      <color rgb="FFFF0000"/>
      <name val="Arial"/>
      <family val="2"/>
    </font>
    <font>
      <b/>
      <sz val="10"/>
      <color rgb="FF0000FF"/>
      <name val="Arial"/>
      <family val="2"/>
    </font>
    <font>
      <b/>
      <sz val="8"/>
      <name val="Arial"/>
      <family val="2"/>
    </font>
    <font>
      <sz val="8"/>
      <name val="Arial"/>
      <family val="2"/>
    </font>
    <font>
      <sz val="12"/>
      <color theme="1"/>
      <name val="Times New Roman"/>
      <family val="1"/>
    </font>
    <font>
      <u/>
      <sz val="10"/>
      <name val="Arial"/>
      <family val="2"/>
    </font>
  </fonts>
  <fills count="2">
    <fill>
      <patternFill patternType="none"/>
    </fill>
    <fill>
      <patternFill patternType="gray125"/>
    </fill>
  </fills>
  <borders count="2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236">
    <xf numFmtId="0" fontId="0" fillId="0" borderId="0" xfId="0"/>
    <xf numFmtId="0" fontId="3" fillId="0" borderId="0" xfId="4" applyFont="1" applyAlignment="1">
      <alignment horizontal="centerContinuous"/>
    </xf>
    <xf numFmtId="0" fontId="2" fillId="0" borderId="0" xfId="4" applyFont="1" applyAlignment="1">
      <alignment horizontal="centerContinuous"/>
    </xf>
    <xf numFmtId="0" fontId="2" fillId="0" borderId="0" xfId="4" applyFont="1"/>
    <xf numFmtId="0" fontId="3" fillId="0" borderId="0" xfId="4" applyFont="1" applyAlignment="1">
      <alignment horizontal="left" wrapText="1"/>
    </xf>
    <xf numFmtId="0" fontId="3" fillId="0" borderId="0" xfId="4" applyFont="1"/>
    <xf numFmtId="0" fontId="2" fillId="0" borderId="0" xfId="4" applyFont="1" applyAlignment="1">
      <alignment horizontal="center" wrapText="1"/>
    </xf>
    <xf numFmtId="0" fontId="2" fillId="0" borderId="0" xfId="4" applyFont="1" applyAlignment="1">
      <alignment horizontal="left"/>
    </xf>
    <xf numFmtId="0" fontId="3" fillId="0" borderId="0" xfId="4" applyFont="1" applyAlignment="1">
      <alignment horizontal="center" wrapText="1"/>
    </xf>
    <xf numFmtId="0" fontId="3" fillId="0" borderId="0" xfId="4" applyFont="1" applyAlignment="1">
      <alignment horizontal="left"/>
    </xf>
    <xf numFmtId="0" fontId="2" fillId="0" borderId="0" xfId="4" applyFont="1" applyFill="1" applyAlignment="1">
      <alignment horizontal="center"/>
    </xf>
    <xf numFmtId="0" fontId="2" fillId="0" borderId="0" xfId="4" applyFont="1" applyFill="1" applyAlignment="1">
      <alignment horizontal="left"/>
    </xf>
    <xf numFmtId="0" fontId="4" fillId="0" borderId="0" xfId="4" applyFont="1" applyAlignment="1">
      <alignment horizontal="center" wrapText="1"/>
    </xf>
    <xf numFmtId="0" fontId="4" fillId="0" borderId="0" xfId="4" applyFont="1" applyFill="1" applyAlignment="1">
      <alignment horizontal="left"/>
    </xf>
    <xf numFmtId="0" fontId="2" fillId="0" borderId="0" xfId="4" applyFont="1" applyAlignment="1">
      <alignment horizontal="center"/>
    </xf>
    <xf numFmtId="0" fontId="4" fillId="0" borderId="0" xfId="4" applyFont="1" applyAlignment="1">
      <alignment horizontal="left"/>
    </xf>
    <xf numFmtId="0" fontId="5" fillId="0" borderId="0" xfId="0" applyFont="1" applyFill="1" applyBorder="1"/>
    <xf numFmtId="0" fontId="6" fillId="0" borderId="0" xfId="0" applyFont="1" applyFill="1" applyBorder="1"/>
    <xf numFmtId="0" fontId="6" fillId="0" borderId="0" xfId="0" applyFont="1" applyFill="1"/>
    <xf numFmtId="15" fontId="6" fillId="0" borderId="0" xfId="0" quotePrefix="1" applyNumberFormat="1" applyFont="1" applyFill="1" applyBorder="1"/>
    <xf numFmtId="0" fontId="7" fillId="0" borderId="0" xfId="0" applyFont="1" applyFill="1" applyBorder="1"/>
    <xf numFmtId="0" fontId="6" fillId="0" borderId="0" xfId="0" applyFont="1" applyFill="1" applyBorder="1" applyAlignment="1">
      <alignment horizontal="center"/>
    </xf>
    <xf numFmtId="0" fontId="5" fillId="0" borderId="0" xfId="0" applyFont="1" applyFill="1"/>
    <xf numFmtId="0" fontId="6" fillId="0" borderId="0" xfId="0" applyFont="1" applyFill="1" applyAlignment="1">
      <alignment horizontal="left" indent="1"/>
    </xf>
    <xf numFmtId="164" fontId="2" fillId="0" borderId="0" xfId="2" applyNumberFormat="1" applyFont="1" applyFill="1"/>
    <xf numFmtId="165" fontId="6" fillId="0" borderId="1" xfId="1" applyNumberFormat="1" applyFont="1" applyFill="1" applyBorder="1"/>
    <xf numFmtId="165" fontId="6" fillId="0" borderId="0" xfId="1" applyNumberFormat="1" applyFont="1" applyFill="1"/>
    <xf numFmtId="0" fontId="6" fillId="0" borderId="0" xfId="0" applyFont="1" applyFill="1" applyBorder="1" applyAlignment="1">
      <alignment horizontal="left" indent="1"/>
    </xf>
    <xf numFmtId="164" fontId="5" fillId="0" borderId="2" xfId="2" applyNumberFormat="1" applyFont="1" applyFill="1" applyBorder="1"/>
    <xf numFmtId="0" fontId="5" fillId="0" borderId="0" xfId="0" applyFont="1" applyFill="1" applyBorder="1" applyAlignment="1">
      <alignment horizontal="center" wrapText="1"/>
    </xf>
    <xf numFmtId="0" fontId="5" fillId="0" borderId="0" xfId="0" applyFont="1" applyFill="1" applyBorder="1" applyAlignment="1">
      <alignment horizontal="center"/>
    </xf>
    <xf numFmtId="165" fontId="8" fillId="0" borderId="0" xfId="1" applyNumberFormat="1" applyFont="1" applyFill="1" applyBorder="1"/>
    <xf numFmtId="165" fontId="6" fillId="0" borderId="0" xfId="1" applyNumberFormat="1" applyFont="1" applyFill="1" applyBorder="1"/>
    <xf numFmtId="165" fontId="6" fillId="0" borderId="0" xfId="0" applyNumberFormat="1" applyFont="1" applyFill="1" applyBorder="1"/>
    <xf numFmtId="0" fontId="3" fillId="0" borderId="0" xfId="0" applyFont="1" applyFill="1"/>
    <xf numFmtId="0" fontId="2" fillId="0" borderId="0" xfId="0" applyFont="1" applyFill="1"/>
    <xf numFmtId="0" fontId="9" fillId="0" borderId="0" xfId="0" applyFont="1" applyFill="1"/>
    <xf numFmtId="15" fontId="2" fillId="0" borderId="0" xfId="0" quotePrefix="1" applyNumberFormat="1" applyFont="1" applyFill="1"/>
    <xf numFmtId="165" fontId="6" fillId="0" borderId="0" xfId="0" applyNumberFormat="1" applyFont="1" applyFill="1"/>
    <xf numFmtId="0" fontId="10" fillId="0" borderId="0" xfId="0" applyFont="1" applyFill="1"/>
    <xf numFmtId="165" fontId="6" fillId="0" borderId="6" xfId="1" applyNumberFormat="1" applyFont="1" applyFill="1" applyBorder="1"/>
    <xf numFmtId="0" fontId="6" fillId="0" borderId="7" xfId="0" applyFont="1" applyFill="1" applyBorder="1"/>
    <xf numFmtId="167" fontId="3" fillId="0" borderId="1" xfId="0" applyNumberFormat="1" applyFont="1" applyFill="1" applyBorder="1" applyAlignment="1">
      <alignment horizontal="center"/>
    </xf>
    <xf numFmtId="167" fontId="3" fillId="0" borderId="1" xfId="0" applyNumberFormat="1" applyFont="1" applyFill="1" applyBorder="1" applyAlignment="1">
      <alignment horizontal="left"/>
    </xf>
    <xf numFmtId="167" fontId="5" fillId="0" borderId="8" xfId="0" applyNumberFormat="1" applyFont="1" applyFill="1" applyBorder="1" applyAlignment="1">
      <alignment horizontal="center"/>
    </xf>
    <xf numFmtId="167" fontId="5" fillId="0" borderId="1" xfId="0" applyNumberFormat="1" applyFont="1" applyFill="1" applyBorder="1" applyAlignment="1">
      <alignment horizontal="center"/>
    </xf>
    <xf numFmtId="167" fontId="5" fillId="0" borderId="9" xfId="0" applyNumberFormat="1" applyFont="1" applyFill="1" applyBorder="1" applyAlignment="1">
      <alignment horizontal="center"/>
    </xf>
    <xf numFmtId="0" fontId="5" fillId="0" borderId="1" xfId="0" applyFont="1" applyFill="1" applyBorder="1" applyAlignment="1">
      <alignment horizontal="center"/>
    </xf>
    <xf numFmtId="0" fontId="6" fillId="0" borderId="6" xfId="0" applyFont="1" applyFill="1" applyBorder="1"/>
    <xf numFmtId="0" fontId="2" fillId="0" borderId="0" xfId="0" applyFont="1" applyFill="1" applyAlignment="1">
      <alignment horizontal="center"/>
    </xf>
    <xf numFmtId="165" fontId="6" fillId="0" borderId="7" xfId="1" applyNumberFormat="1" applyFont="1" applyFill="1" applyBorder="1"/>
    <xf numFmtId="43" fontId="2" fillId="0" borderId="0" xfId="1" applyFont="1" applyFill="1" applyAlignment="1"/>
    <xf numFmtId="0" fontId="2" fillId="0" borderId="0" xfId="0" applyFont="1" applyFill="1" applyAlignment="1">
      <alignment horizontal="left"/>
    </xf>
    <xf numFmtId="165" fontId="9" fillId="0" borderId="0" xfId="0" applyNumberFormat="1" applyFont="1" applyFill="1"/>
    <xf numFmtId="0" fontId="2" fillId="0" borderId="0" xfId="0" applyFont="1" applyFill="1" applyAlignment="1">
      <alignment horizontal="left" indent="1"/>
    </xf>
    <xf numFmtId="10" fontId="6" fillId="0" borderId="6" xfId="0" applyNumberFormat="1" applyFont="1" applyFill="1" applyBorder="1"/>
    <xf numFmtId="10" fontId="6" fillId="0" borderId="0" xfId="0" applyNumberFormat="1" applyFont="1" applyFill="1" applyBorder="1"/>
    <xf numFmtId="10" fontId="6" fillId="0" borderId="7" xfId="0" applyNumberFormat="1" applyFont="1" applyFill="1" applyBorder="1"/>
    <xf numFmtId="165" fontId="6" fillId="0" borderId="6" xfId="0" applyNumberFormat="1" applyFont="1" applyFill="1" applyBorder="1"/>
    <xf numFmtId="165" fontId="6" fillId="0" borderId="7" xfId="0" applyNumberFormat="1" applyFont="1" applyFill="1" applyBorder="1"/>
    <xf numFmtId="43" fontId="6" fillId="0" borderId="0" xfId="0" applyNumberFormat="1" applyFont="1" applyFill="1" applyBorder="1"/>
    <xf numFmtId="43" fontId="2" fillId="0" borderId="0" xfId="1" applyFont="1" applyFill="1" applyAlignment="1">
      <alignment horizontal="left"/>
    </xf>
    <xf numFmtId="165" fontId="2" fillId="0" borderId="6" xfId="1" applyNumberFormat="1" applyFont="1" applyFill="1" applyBorder="1"/>
    <xf numFmtId="165" fontId="2" fillId="0" borderId="0" xfId="1" applyNumberFormat="1" applyFont="1" applyFill="1" applyBorder="1"/>
    <xf numFmtId="165" fontId="2" fillId="0" borderId="7" xfId="1" applyNumberFormat="1" applyFont="1" applyFill="1" applyBorder="1"/>
    <xf numFmtId="43" fontId="2" fillId="0" borderId="0" xfId="1" applyNumberFormat="1" applyFont="1" applyFill="1" applyAlignment="1">
      <alignment horizontal="left"/>
    </xf>
    <xf numFmtId="165" fontId="2" fillId="0" borderId="6" xfId="0" applyNumberFormat="1" applyFont="1" applyFill="1" applyBorder="1"/>
    <xf numFmtId="43" fontId="3" fillId="0" borderId="0" xfId="1" applyFont="1" applyFill="1" applyAlignment="1"/>
    <xf numFmtId="165" fontId="6" fillId="0" borderId="8" xfId="0" applyNumberFormat="1" applyFont="1" applyFill="1" applyBorder="1"/>
    <xf numFmtId="165" fontId="6" fillId="0" borderId="1" xfId="0" applyNumberFormat="1" applyFont="1" applyFill="1" applyBorder="1"/>
    <xf numFmtId="165" fontId="6" fillId="0" borderId="9" xfId="0" applyNumberFormat="1" applyFont="1" applyFill="1" applyBorder="1"/>
    <xf numFmtId="0" fontId="9" fillId="0" borderId="0" xfId="0" applyFont="1" applyFill="1" applyAlignment="1">
      <alignment horizontal="right"/>
    </xf>
    <xf numFmtId="0" fontId="5" fillId="0" borderId="0" xfId="0" applyFont="1" applyFill="1" applyAlignment="1">
      <alignment horizontal="left"/>
    </xf>
    <xf numFmtId="166" fontId="5" fillId="0" borderId="0" xfId="1" applyNumberFormat="1" applyFont="1" applyFill="1" applyBorder="1" applyAlignment="1">
      <alignment horizontal="center"/>
    </xf>
    <xf numFmtId="166" fontId="5" fillId="0" borderId="0" xfId="1" applyNumberFormat="1" applyFont="1" applyFill="1" applyBorder="1" applyAlignment="1"/>
    <xf numFmtId="0" fontId="9" fillId="0" borderId="0" xfId="0" applyFont="1" applyFill="1" applyBorder="1"/>
    <xf numFmtId="165" fontId="2" fillId="0" borderId="0" xfId="0" applyNumberFormat="1" applyFont="1" applyFill="1" applyBorder="1"/>
    <xf numFmtId="0" fontId="3" fillId="0" borderId="0" xfId="0" applyFont="1" applyFill="1" applyAlignment="1">
      <alignment horizontal="left"/>
    </xf>
    <xf numFmtId="165" fontId="5" fillId="0" borderId="10" xfId="0" applyNumberFormat="1" applyFont="1" applyFill="1" applyBorder="1"/>
    <xf numFmtId="10" fontId="8" fillId="0" borderId="0" xfId="3" applyNumberFormat="1" applyFont="1" applyFill="1" applyBorder="1"/>
    <xf numFmtId="0" fontId="3" fillId="0" borderId="1" xfId="0" applyFont="1" applyFill="1" applyBorder="1" applyAlignment="1">
      <alignment horizontal="left"/>
    </xf>
    <xf numFmtId="0" fontId="2" fillId="0" borderId="1" xfId="0" applyFont="1" applyFill="1" applyBorder="1"/>
    <xf numFmtId="0" fontId="2" fillId="0" borderId="1" xfId="0" applyFont="1" applyFill="1" applyBorder="1" applyAlignment="1">
      <alignment horizontal="left"/>
    </xf>
    <xf numFmtId="0" fontId="11" fillId="0" borderId="0" xfId="0" applyFont="1" applyFill="1"/>
    <xf numFmtId="0" fontId="2" fillId="0" borderId="0" xfId="0" applyFont="1" applyFill="1" applyBorder="1" applyAlignment="1">
      <alignment horizontal="left"/>
    </xf>
    <xf numFmtId="10" fontId="2" fillId="0" borderId="0" xfId="3" applyNumberFormat="1" applyFont="1" applyFill="1"/>
    <xf numFmtId="0" fontId="2" fillId="0" borderId="0" xfId="0" applyFont="1" applyFill="1" applyBorder="1"/>
    <xf numFmtId="165" fontId="12" fillId="0" borderId="0" xfId="3" applyNumberFormat="1" applyFont="1" applyFill="1"/>
    <xf numFmtId="10" fontId="8" fillId="0" borderId="0" xfId="3" applyNumberFormat="1" applyFont="1" applyFill="1"/>
    <xf numFmtId="0" fontId="3" fillId="0" borderId="0" xfId="5" applyFont="1" applyFill="1"/>
    <xf numFmtId="0" fontId="2" fillId="0" borderId="0" xfId="6" applyFill="1"/>
    <xf numFmtId="0" fontId="2" fillId="0" borderId="0" xfId="7" quotePrefix="1" applyFont="1"/>
    <xf numFmtId="0" fontId="6" fillId="0" borderId="0" xfId="6" applyFont="1"/>
    <xf numFmtId="0" fontId="10" fillId="0" borderId="0" xfId="4" applyFont="1" applyFill="1" applyAlignment="1">
      <alignment horizontal="left"/>
    </xf>
    <xf numFmtId="0" fontId="9" fillId="0" borderId="0" xfId="6" applyFont="1" applyFill="1"/>
    <xf numFmtId="0" fontId="2" fillId="0" borderId="0" xfId="5" applyFont="1" applyFill="1"/>
    <xf numFmtId="0" fontId="9" fillId="0" borderId="0" xfId="5" applyFont="1" applyFill="1"/>
    <xf numFmtId="168" fontId="2" fillId="0" borderId="0" xfId="8" applyNumberFormat="1" applyFont="1" applyFill="1"/>
    <xf numFmtId="43" fontId="2" fillId="0" borderId="0" xfId="5" applyNumberFormat="1" applyFont="1" applyFill="1"/>
    <xf numFmtId="0" fontId="2" fillId="0" borderId="0" xfId="6" applyFont="1"/>
    <xf numFmtId="164" fontId="2" fillId="0" borderId="4" xfId="5" applyNumberFormat="1" applyFont="1" applyFill="1" applyBorder="1"/>
    <xf numFmtId="44" fontId="2" fillId="0" borderId="0" xfId="5" applyNumberFormat="1" applyFont="1" applyFill="1"/>
    <xf numFmtId="0" fontId="2" fillId="0" borderId="0" xfId="7" applyFont="1"/>
    <xf numFmtId="164" fontId="2" fillId="0" borderId="4" xfId="9" applyNumberFormat="1" applyFont="1" applyFill="1" applyBorder="1"/>
    <xf numFmtId="0" fontId="2" fillId="0" borderId="0" xfId="5" applyFont="1" applyFill="1" applyBorder="1"/>
    <xf numFmtId="165" fontId="2" fillId="0" borderId="0" xfId="10" applyNumberFormat="1" applyFont="1" applyFill="1" applyBorder="1"/>
    <xf numFmtId="0" fontId="13" fillId="0" borderId="0" xfId="5" applyFont="1" applyFill="1" applyBorder="1" applyAlignment="1">
      <alignment horizontal="left"/>
    </xf>
    <xf numFmtId="0" fontId="2" fillId="0" borderId="0" xfId="5" applyFont="1" applyFill="1" applyBorder="1" applyAlignment="1">
      <alignment horizontal="right"/>
    </xf>
    <xf numFmtId="165" fontId="2" fillId="0" borderId="0" xfId="10" applyNumberFormat="1" applyFont="1" applyFill="1"/>
    <xf numFmtId="4" fontId="2" fillId="0" borderId="0" xfId="6" applyNumberFormat="1" applyFill="1"/>
    <xf numFmtId="0" fontId="3" fillId="0" borderId="0" xfId="5" applyFont="1" applyFill="1" applyBorder="1"/>
    <xf numFmtId="164" fontId="3" fillId="0" borderId="0" xfId="9" applyNumberFormat="1" applyFont="1" applyFill="1" applyBorder="1"/>
    <xf numFmtId="0" fontId="2" fillId="0" borderId="0" xfId="6" applyFont="1" applyFill="1"/>
    <xf numFmtId="164" fontId="2" fillId="0" borderId="0" xfId="6" applyNumberFormat="1" applyFill="1"/>
    <xf numFmtId="164" fontId="3" fillId="0" borderId="4" xfId="6" applyNumberFormat="1" applyFont="1" applyFill="1" applyBorder="1"/>
    <xf numFmtId="0" fontId="13" fillId="0" borderId="0" xfId="6" applyFont="1" applyFill="1" applyBorder="1" applyAlignment="1">
      <alignment horizontal="center"/>
    </xf>
    <xf numFmtId="0" fontId="2" fillId="0" borderId="0" xfId="6" applyFont="1" applyFill="1" applyAlignment="1">
      <alignment horizontal="center"/>
    </xf>
    <xf numFmtId="0" fontId="3" fillId="0" borderId="1" xfId="5" applyNumberFormat="1" applyFont="1" applyFill="1" applyBorder="1" applyAlignment="1">
      <alignment horizontal="center"/>
    </xf>
    <xf numFmtId="165" fontId="3" fillId="0" borderId="1" xfId="11" applyNumberFormat="1" applyFont="1" applyFill="1" applyBorder="1"/>
    <xf numFmtId="0" fontId="2" fillId="0" borderId="0" xfId="7" applyFont="1" applyFill="1"/>
    <xf numFmtId="0" fontId="2" fillId="0" borderId="0" xfId="5" applyNumberFormat="1" applyFont="1" applyFill="1" applyBorder="1" applyAlignment="1">
      <alignment horizontal="center"/>
    </xf>
    <xf numFmtId="168" fontId="2" fillId="0" borderId="0" xfId="5" applyNumberFormat="1" applyFont="1" applyFill="1" applyBorder="1" applyAlignment="1">
      <alignment horizontal="center"/>
    </xf>
    <xf numFmtId="168" fontId="2" fillId="0" borderId="0" xfId="6" applyNumberFormat="1" applyFill="1"/>
    <xf numFmtId="0" fontId="2" fillId="0" borderId="0" xfId="5" applyFont="1" applyFill="1" applyAlignment="1">
      <alignment horizontal="center"/>
    </xf>
    <xf numFmtId="165" fontId="2" fillId="0" borderId="11" xfId="10" applyNumberFormat="1" applyFont="1" applyFill="1" applyBorder="1" applyAlignment="1">
      <alignment horizontal="center"/>
    </xf>
    <xf numFmtId="165" fontId="2" fillId="0" borderId="12" xfId="10" applyNumberFormat="1" applyFont="1" applyFill="1" applyBorder="1" applyAlignment="1">
      <alignment horizontal="center"/>
    </xf>
    <xf numFmtId="165" fontId="2" fillId="0" borderId="13" xfId="10" applyNumberFormat="1" applyFont="1" applyFill="1" applyBorder="1" applyAlignment="1">
      <alignment horizontal="center"/>
    </xf>
    <xf numFmtId="165" fontId="2" fillId="0" borderId="2" xfId="10" applyNumberFormat="1" applyFont="1" applyFill="1" applyBorder="1" applyAlignment="1">
      <alignment horizontal="center"/>
    </xf>
    <xf numFmtId="165" fontId="2" fillId="0" borderId="14" xfId="10" applyNumberFormat="1" applyFont="1" applyFill="1" applyBorder="1" applyAlignment="1">
      <alignment horizontal="center"/>
    </xf>
    <xf numFmtId="0" fontId="14" fillId="0" borderId="15" xfId="5" applyFont="1" applyFill="1" applyBorder="1" applyAlignment="1">
      <alignment horizontal="center"/>
    </xf>
    <xf numFmtId="165" fontId="2" fillId="0" borderId="0" xfId="10" applyNumberFormat="1" applyFont="1" applyFill="1" applyBorder="1" applyAlignment="1">
      <alignment horizontal="center"/>
    </xf>
    <xf numFmtId="165" fontId="2" fillId="0" borderId="16" xfId="10" applyNumberFormat="1" applyFont="1" applyFill="1" applyBorder="1" applyAlignment="1">
      <alignment horizontal="center"/>
    </xf>
    <xf numFmtId="165" fontId="2" fillId="0" borderId="7" xfId="10" applyNumberFormat="1" applyFont="1" applyFill="1" applyBorder="1" applyAlignment="1">
      <alignment horizontal="center"/>
    </xf>
    <xf numFmtId="0" fontId="2" fillId="0" borderId="0" xfId="5" applyNumberFormat="1" applyFont="1" applyFill="1" applyBorder="1"/>
    <xf numFmtId="0" fontId="2" fillId="0" borderId="0" xfId="5" applyFont="1" applyFill="1" applyBorder="1" applyAlignment="1">
      <alignment horizontal="center"/>
    </xf>
    <xf numFmtId="165" fontId="2" fillId="0" borderId="15" xfId="10" applyNumberFormat="1" applyFont="1" applyFill="1" applyBorder="1"/>
    <xf numFmtId="165" fontId="2" fillId="0" borderId="17" xfId="10" applyNumberFormat="1" applyFont="1" applyFill="1" applyBorder="1"/>
    <xf numFmtId="165" fontId="2" fillId="0" borderId="1" xfId="10" applyNumberFormat="1" applyFont="1" applyFill="1" applyBorder="1" applyAlignment="1">
      <alignment horizontal="center"/>
    </xf>
    <xf numFmtId="165" fontId="2" fillId="0" borderId="18" xfId="10" applyNumberFormat="1" applyFont="1" applyFill="1" applyBorder="1" applyAlignment="1">
      <alignment horizontal="center"/>
    </xf>
    <xf numFmtId="165" fontId="2" fillId="0" borderId="1" xfId="10" applyNumberFormat="1" applyFont="1" applyFill="1" applyBorder="1"/>
    <xf numFmtId="165" fontId="2" fillId="0" borderId="9" xfId="10" applyNumberFormat="1" applyFont="1" applyFill="1" applyBorder="1"/>
    <xf numFmtId="0" fontId="14" fillId="0" borderId="0" xfId="5" applyFont="1" applyFill="1" applyBorder="1" applyAlignment="1">
      <alignment horizontal="center"/>
    </xf>
    <xf numFmtId="0" fontId="14" fillId="0" borderId="16" xfId="5" applyFont="1" applyFill="1" applyBorder="1" applyAlignment="1">
      <alignment horizontal="center"/>
    </xf>
    <xf numFmtId="165" fontId="2" fillId="0" borderId="7" xfId="10" applyNumberFormat="1" applyFont="1" applyFill="1" applyBorder="1"/>
    <xf numFmtId="0" fontId="3" fillId="0" borderId="0" xfId="5" applyNumberFormat="1" applyFont="1" applyFill="1" applyBorder="1"/>
    <xf numFmtId="165" fontId="2" fillId="0" borderId="19" xfId="10" applyNumberFormat="1" applyFont="1" applyFill="1" applyBorder="1"/>
    <xf numFmtId="165" fontId="2" fillId="0" borderId="20" xfId="10" applyNumberFormat="1" applyFont="1" applyFill="1" applyBorder="1"/>
    <xf numFmtId="165" fontId="2" fillId="0" borderId="21" xfId="10" applyNumberFormat="1" applyFont="1" applyFill="1" applyBorder="1"/>
    <xf numFmtId="165" fontId="14" fillId="0" borderId="0" xfId="10" applyNumberFormat="1" applyFont="1" applyFill="1" applyBorder="1" applyAlignment="1">
      <alignment horizontal="center"/>
    </xf>
    <xf numFmtId="165" fontId="2" fillId="0" borderId="11" xfId="11" applyNumberFormat="1" applyFont="1" applyFill="1" applyBorder="1" applyAlignment="1">
      <alignment horizontal="center"/>
    </xf>
    <xf numFmtId="165" fontId="2" fillId="0" borderId="13" xfId="11" applyNumberFormat="1" applyFont="1" applyFill="1" applyBorder="1" applyAlignment="1">
      <alignment horizontal="center"/>
    </xf>
    <xf numFmtId="165" fontId="2" fillId="0" borderId="22" xfId="11" applyNumberFormat="1" applyFont="1" applyFill="1" applyBorder="1" applyAlignment="1">
      <alignment horizontal="center"/>
    </xf>
    <xf numFmtId="165" fontId="2" fillId="0" borderId="16" xfId="11" applyNumberFormat="1" applyFont="1" applyFill="1" applyBorder="1" applyAlignment="1">
      <alignment horizontal="center"/>
    </xf>
    <xf numFmtId="165" fontId="2" fillId="0" borderId="0" xfId="11" applyNumberFormat="1" applyFont="1" applyFill="1" applyBorder="1" applyAlignment="1">
      <alignment horizontal="center"/>
    </xf>
    <xf numFmtId="165" fontId="2" fillId="0" borderId="23" xfId="11" applyNumberFormat="1" applyFont="1" applyFill="1" applyBorder="1" applyAlignment="1">
      <alignment horizontal="center"/>
    </xf>
    <xf numFmtId="165" fontId="2" fillId="0" borderId="15" xfId="11" applyNumberFormat="1" applyFont="1" applyFill="1" applyBorder="1"/>
    <xf numFmtId="165" fontId="2" fillId="0" borderId="17" xfId="11" applyNumberFormat="1" applyFont="1" applyFill="1" applyBorder="1"/>
    <xf numFmtId="165" fontId="2" fillId="0" borderId="18" xfId="11" applyNumberFormat="1" applyFont="1" applyFill="1" applyBorder="1" applyAlignment="1">
      <alignment horizontal="center"/>
    </xf>
    <xf numFmtId="165" fontId="2" fillId="0" borderId="1" xfId="11" applyNumberFormat="1" applyFont="1" applyFill="1" applyBorder="1" applyAlignment="1">
      <alignment horizontal="center"/>
    </xf>
    <xf numFmtId="165" fontId="2" fillId="0" borderId="1" xfId="11" applyNumberFormat="1" applyFont="1" applyFill="1" applyBorder="1"/>
    <xf numFmtId="165" fontId="2" fillId="0" borderId="24" xfId="11" applyNumberFormat="1" applyFont="1" applyFill="1" applyBorder="1"/>
    <xf numFmtId="165" fontId="2" fillId="0" borderId="0" xfId="11" applyNumberFormat="1" applyFont="1" applyFill="1" applyBorder="1"/>
    <xf numFmtId="165" fontId="2" fillId="0" borderId="23" xfId="11" applyNumberFormat="1" applyFont="1" applyFill="1" applyBorder="1"/>
    <xf numFmtId="165" fontId="2" fillId="0" borderId="19" xfId="11" applyNumberFormat="1" applyFont="1" applyFill="1" applyBorder="1"/>
    <xf numFmtId="165" fontId="2" fillId="0" borderId="21" xfId="11" applyNumberFormat="1" applyFont="1" applyFill="1" applyBorder="1"/>
    <xf numFmtId="165" fontId="14" fillId="0" borderId="1" xfId="11" applyNumberFormat="1" applyFont="1" applyFill="1" applyBorder="1" applyAlignment="1">
      <alignment horizontal="center"/>
    </xf>
    <xf numFmtId="0" fontId="14" fillId="0" borderId="1" xfId="5" applyFont="1" applyFill="1" applyBorder="1" applyAlignment="1">
      <alignment horizontal="center"/>
    </xf>
    <xf numFmtId="165" fontId="2" fillId="0" borderId="25" xfId="6" applyNumberFormat="1" applyFont="1" applyFill="1" applyBorder="1"/>
    <xf numFmtId="165" fontId="2" fillId="0" borderId="2" xfId="6" applyNumberFormat="1" applyFont="1" applyFill="1" applyBorder="1"/>
    <xf numFmtId="165" fontId="2" fillId="0" borderId="14" xfId="6" applyNumberFormat="1" applyFont="1" applyFill="1" applyBorder="1"/>
    <xf numFmtId="165" fontId="2" fillId="0" borderId="6" xfId="6" applyNumberFormat="1" applyFont="1" applyFill="1" applyBorder="1"/>
    <xf numFmtId="165" fontId="2" fillId="0" borderId="0" xfId="6" applyNumberFormat="1" applyFont="1" applyFill="1" applyBorder="1"/>
    <xf numFmtId="165" fontId="2" fillId="0" borderId="7" xfId="6" applyNumberFormat="1" applyFont="1" applyFill="1" applyBorder="1"/>
    <xf numFmtId="0" fontId="2" fillId="0" borderId="6" xfId="6" applyFill="1" applyBorder="1"/>
    <xf numFmtId="0" fontId="2" fillId="0" borderId="0" xfId="6" applyFill="1" applyBorder="1"/>
    <xf numFmtId="0" fontId="2" fillId="0" borderId="7" xfId="6" applyFill="1" applyBorder="1"/>
    <xf numFmtId="0" fontId="3" fillId="0" borderId="4" xfId="5" applyNumberFormat="1" applyFont="1" applyFill="1" applyBorder="1"/>
    <xf numFmtId="0" fontId="2" fillId="0" borderId="4" xfId="6" applyFill="1" applyBorder="1"/>
    <xf numFmtId="165" fontId="3" fillId="0" borderId="3" xfId="6" applyNumberFormat="1" applyFont="1" applyFill="1" applyBorder="1"/>
    <xf numFmtId="165" fontId="2" fillId="0" borderId="4" xfId="6" applyNumberFormat="1" applyFill="1" applyBorder="1"/>
    <xf numFmtId="165" fontId="3" fillId="0" borderId="4" xfId="6" applyNumberFormat="1" applyFont="1" applyFill="1" applyBorder="1"/>
    <xf numFmtId="165" fontId="2" fillId="0" borderId="4" xfId="6" applyNumberFormat="1" applyFont="1" applyFill="1" applyBorder="1"/>
    <xf numFmtId="165" fontId="2" fillId="0" borderId="5" xfId="6" applyNumberFormat="1" applyFill="1" applyBorder="1"/>
    <xf numFmtId="165" fontId="3" fillId="0" borderId="0" xfId="4" applyNumberFormat="1" applyFont="1" applyBorder="1" applyAlignment="1">
      <alignment horizontal="right"/>
    </xf>
    <xf numFmtId="165" fontId="2" fillId="0" borderId="0" xfId="4" applyNumberFormat="1" applyBorder="1"/>
    <xf numFmtId="0" fontId="6" fillId="0" borderId="0" xfId="0" applyFont="1"/>
    <xf numFmtId="0" fontId="13" fillId="0" borderId="0" xfId="5" applyFont="1" applyFill="1" applyBorder="1" applyAlignment="1">
      <alignment horizontal="center"/>
    </xf>
    <xf numFmtId="0" fontId="9" fillId="0" borderId="0" xfId="6" applyFont="1" applyFill="1" applyAlignment="1">
      <alignment horizontal="right"/>
    </xf>
    <xf numFmtId="168" fontId="9" fillId="0" borderId="0" xfId="8" applyNumberFormat="1" applyFont="1" applyFill="1"/>
    <xf numFmtId="0" fontId="3" fillId="0" borderId="0" xfId="7" applyFont="1" applyFill="1" applyBorder="1" applyAlignment="1">
      <alignment horizontal="center"/>
    </xf>
    <xf numFmtId="165" fontId="3" fillId="0" borderId="1" xfId="4" applyNumberFormat="1" applyFont="1" applyBorder="1"/>
    <xf numFmtId="0" fontId="2" fillId="0" borderId="0" xfId="7" applyNumberFormat="1" applyFont="1" applyFill="1" applyBorder="1"/>
    <xf numFmtId="10" fontId="6" fillId="0" borderId="0" xfId="8" applyNumberFormat="1" applyFont="1"/>
    <xf numFmtId="165" fontId="2" fillId="0" borderId="0" xfId="4" quotePrefix="1" applyNumberFormat="1" applyBorder="1" applyAlignment="1">
      <alignment horizontal="left"/>
    </xf>
    <xf numFmtId="165" fontId="2" fillId="0" borderId="0" xfId="6" applyNumberFormat="1" applyFill="1"/>
    <xf numFmtId="165" fontId="6" fillId="0" borderId="0" xfId="1" applyNumberFormat="1" applyFont="1"/>
    <xf numFmtId="165" fontId="5" fillId="0" borderId="0" xfId="1" quotePrefix="1" applyNumberFormat="1" applyFont="1" applyBorder="1" applyAlignment="1">
      <alignment horizontal="center"/>
    </xf>
    <xf numFmtId="165" fontId="5" fillId="0" borderId="1" xfId="1" quotePrefix="1" applyNumberFormat="1" applyFont="1" applyBorder="1" applyAlignment="1">
      <alignment horizontal="center"/>
    </xf>
    <xf numFmtId="10" fontId="6" fillId="0" borderId="0" xfId="3" applyNumberFormat="1" applyFont="1" applyAlignment="1">
      <alignment horizontal="center"/>
    </xf>
    <xf numFmtId="165" fontId="3" fillId="0" borderId="0" xfId="6" applyNumberFormat="1" applyFont="1" applyFill="1"/>
    <xf numFmtId="0" fontId="3" fillId="0" borderId="0" xfId="0" applyFont="1"/>
    <xf numFmtId="0" fontId="2" fillId="0" borderId="0" xfId="0" applyFont="1"/>
    <xf numFmtId="4" fontId="15" fillId="0" borderId="0" xfId="0" applyNumberFormat="1" applyFont="1"/>
    <xf numFmtId="165" fontId="2" fillId="0" borderId="0" xfId="1" applyNumberFormat="1" applyFont="1"/>
    <xf numFmtId="169" fontId="2" fillId="0" borderId="0" xfId="0" applyNumberFormat="1" applyFont="1" applyAlignment="1">
      <alignment horizontal="left"/>
    </xf>
    <xf numFmtId="0" fontId="2" fillId="0" borderId="0" xfId="0" applyFont="1" applyBorder="1"/>
    <xf numFmtId="0" fontId="3" fillId="0" borderId="0" xfId="0" quotePrefix="1" applyFont="1" applyAlignment="1">
      <alignment horizontal="center"/>
    </xf>
    <xf numFmtId="0" fontId="2" fillId="0" borderId="0" xfId="0" applyFont="1" applyBorder="1" applyAlignment="1">
      <alignment horizontal="center"/>
    </xf>
    <xf numFmtId="0" fontId="16" fillId="0" borderId="0" xfId="0" applyFont="1" applyAlignment="1">
      <alignment horizontal="center"/>
    </xf>
    <xf numFmtId="0" fontId="16" fillId="0" borderId="0" xfId="4" applyFont="1" applyAlignment="1">
      <alignment horizontal="center"/>
    </xf>
    <xf numFmtId="170" fontId="2" fillId="0" borderId="0" xfId="0" applyNumberFormat="1" applyFont="1" applyBorder="1"/>
    <xf numFmtId="165" fontId="2" fillId="0" borderId="0" xfId="0" quotePrefix="1" applyNumberFormat="1" applyFont="1" applyBorder="1" applyAlignment="1" applyProtection="1">
      <alignment horizontal="center"/>
      <protection locked="0"/>
    </xf>
    <xf numFmtId="171" fontId="2" fillId="0" borderId="0" xfId="0" applyNumberFormat="1" applyFont="1" applyBorder="1"/>
    <xf numFmtId="172" fontId="2" fillId="0" borderId="0" xfId="0" applyNumberFormat="1" applyFont="1" applyBorder="1"/>
    <xf numFmtId="43" fontId="2" fillId="0" borderId="0" xfId="0" applyNumberFormat="1" applyFont="1" applyBorder="1"/>
    <xf numFmtId="165" fontId="2" fillId="0" borderId="26" xfId="1" applyNumberFormat="1" applyFont="1" applyBorder="1"/>
    <xf numFmtId="171" fontId="2" fillId="0" borderId="0" xfId="0" applyNumberFormat="1" applyFont="1"/>
    <xf numFmtId="165" fontId="2" fillId="0" borderId="0" xfId="0" applyNumberFormat="1" applyFont="1" applyBorder="1"/>
    <xf numFmtId="173" fontId="2" fillId="0" borderId="0" xfId="8" applyNumberFormat="1" applyFont="1"/>
    <xf numFmtId="171" fontId="2" fillId="0" borderId="0" xfId="0" applyNumberFormat="1" applyFont="1" applyFill="1" applyBorder="1"/>
    <xf numFmtId="172" fontId="2" fillId="0" borderId="0" xfId="0" applyNumberFormat="1" applyFont="1" applyFill="1" applyBorder="1"/>
    <xf numFmtId="43" fontId="2" fillId="0" borderId="0" xfId="0" applyNumberFormat="1" applyFont="1" applyFill="1" applyBorder="1"/>
    <xf numFmtId="43" fontId="2" fillId="0" borderId="0" xfId="1" applyFont="1"/>
    <xf numFmtId="165" fontId="2" fillId="0" borderId="0" xfId="10" applyNumberFormat="1" applyFont="1"/>
    <xf numFmtId="165" fontId="2" fillId="0" borderId="0" xfId="0" applyNumberFormat="1" applyFont="1"/>
    <xf numFmtId="165" fontId="2" fillId="0" borderId="26" xfId="0" applyNumberFormat="1" applyFont="1" applyBorder="1"/>
    <xf numFmtId="173" fontId="3" fillId="0" borderId="27" xfId="8" applyNumberFormat="1" applyFont="1" applyBorder="1"/>
    <xf numFmtId="168" fontId="2" fillId="0" borderId="0" xfId="8" applyNumberFormat="1" applyFont="1"/>
    <xf numFmtId="173" fontId="3" fillId="0" borderId="28" xfId="8" applyNumberFormat="1" applyFont="1" applyBorder="1"/>
    <xf numFmtId="173" fontId="2" fillId="0" borderId="0" xfId="0" applyNumberFormat="1" applyFont="1"/>
    <xf numFmtId="173" fontId="2" fillId="0" borderId="0" xfId="1" applyNumberFormat="1" applyFont="1"/>
    <xf numFmtId="174" fontId="2" fillId="0" borderId="0" xfId="0" applyNumberFormat="1" applyFont="1"/>
    <xf numFmtId="166" fontId="5" fillId="0" borderId="3" xfId="1" applyNumberFormat="1" applyFont="1" applyFill="1" applyBorder="1" applyAlignment="1">
      <alignment horizontal="center"/>
    </xf>
    <xf numFmtId="166" fontId="5" fillId="0" borderId="4" xfId="1" applyNumberFormat="1" applyFont="1" applyFill="1" applyBorder="1" applyAlignment="1">
      <alignment horizontal="center"/>
    </xf>
    <xf numFmtId="166" fontId="5" fillId="0" borderId="5" xfId="1" applyNumberFormat="1" applyFont="1" applyFill="1" applyBorder="1" applyAlignment="1">
      <alignment horizontal="center"/>
    </xf>
    <xf numFmtId="0" fontId="2" fillId="0" borderId="0" xfId="0" applyFont="1" applyFill="1" applyAlignment="1">
      <alignment horizontal="left" wrapText="1" indent="2"/>
    </xf>
  </cellXfs>
  <cellStyles count="12">
    <cellStyle name="Comma" xfId="1" builtinId="3"/>
    <cellStyle name="Comma 10" xfId="10"/>
    <cellStyle name="Comma 2 2 2" xfId="11"/>
    <cellStyle name="Currency" xfId="2" builtinId="4"/>
    <cellStyle name="Currency 2 2 2" xfId="9"/>
    <cellStyle name="Normal" xfId="0" builtinId="0"/>
    <cellStyle name="Normal 11 2" xfId="4"/>
    <cellStyle name="Normal 19" xfId="6"/>
    <cellStyle name="Normal 2 2" xfId="5"/>
    <cellStyle name="Normal 2 2 2" xfId="7"/>
    <cellStyle name="Percent" xfId="3" builtinId="5"/>
    <cellStyle name="Percent 2 2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57</xdr:row>
      <xdr:rowOff>95250</xdr:rowOff>
    </xdr:from>
    <xdr:to>
      <xdr:col>13</xdr:col>
      <xdr:colOff>3176</xdr:colOff>
      <xdr:row>61</xdr:row>
      <xdr:rowOff>3175</xdr:rowOff>
    </xdr:to>
    <xdr:sp macro="" textlink="">
      <xdr:nvSpPr>
        <xdr:cNvPr id="2" name="TextBox 1"/>
        <xdr:cNvSpPr txBox="1"/>
      </xdr:nvSpPr>
      <xdr:spPr>
        <a:xfrm>
          <a:off x="0" y="9420225"/>
          <a:ext cx="13452476" cy="555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1) </a:t>
          </a:r>
          <a:r>
            <a:rPr lang="en-US" sz="1000" baseline="0">
              <a:solidFill>
                <a:schemeClr val="dk1"/>
              </a:solidFill>
              <a:latin typeface="Arial" pitchFamily="34" charset="0"/>
              <a:ea typeface="+mn-ea"/>
              <a:cs typeface="Arial" pitchFamily="34" charset="0"/>
            </a:rPr>
            <a:t>Exhibit RMP__(MMW-1) provides the actual 2018 REC revenue by resource. </a:t>
          </a:r>
          <a:endParaRPr lang="en-US" sz="1000">
            <a:solidFill>
              <a:schemeClr val="dk1"/>
            </a:solidFill>
            <a:latin typeface="Arial" pitchFamily="34" charset="0"/>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REGULATN\PA&amp;D\CASES\Wy0902\EAST%20Blocking%2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EGULATN\PA&amp;D\DSMRecov\2001\RECO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ocuments%20and%20Settings\p71328\Local%20Settings\Temporary%20Internet%20Files\Content.Outlook\6DN9NHMW\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Documents%20and%20Settings\p71328\Local%20Settings\Temporary%20Internet%20Files\Content.Outlook\6DN9NHMW\REGULATN\PA&amp;D\CASES\Wy0902\EAST%20Blocking%209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Documents%20and%20Settings\p71328\Local%20Settings\Temporary%20Internet%20Files\Content.Outlook\6DN9NHMW\Documents%20and%20Settings\p04092.000\Local%20Settings\Temporary%20Internet%20Files\OLK1AC\RECOV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0"/>
  <sheetViews>
    <sheetView tabSelected="1" workbookViewId="0"/>
  </sheetViews>
  <sheetFormatPr defaultColWidth="9.140625" defaultRowHeight="12.75" x14ac:dyDescent="0.2"/>
  <cols>
    <col min="1" max="1" width="18" style="3" customWidth="1"/>
    <col min="2" max="2" width="75" style="3" customWidth="1"/>
    <col min="3" max="3" width="8.140625" style="3" customWidth="1"/>
    <col min="4" max="16384" width="9.140625" style="3"/>
  </cols>
  <sheetData>
    <row r="2" spans="1:2" x14ac:dyDescent="0.2">
      <c r="A2" s="1" t="s">
        <v>0</v>
      </c>
      <c r="B2" s="2"/>
    </row>
    <row r="3" spans="1:2" x14ac:dyDescent="0.2">
      <c r="A3" s="4" t="s">
        <v>1</v>
      </c>
      <c r="B3" s="5" t="s">
        <v>115</v>
      </c>
    </row>
    <row r="4" spans="1:2" x14ac:dyDescent="0.2">
      <c r="A4" s="4" t="s">
        <v>2</v>
      </c>
      <c r="B4" s="5" t="s">
        <v>116</v>
      </c>
    </row>
    <row r="5" spans="1:2" x14ac:dyDescent="0.2">
      <c r="A5" s="6"/>
      <c r="B5" s="7"/>
    </row>
    <row r="6" spans="1:2" x14ac:dyDescent="0.2">
      <c r="A6" s="6"/>
      <c r="B6" s="7"/>
    </row>
    <row r="7" spans="1:2" x14ac:dyDescent="0.2">
      <c r="A7" s="8" t="s">
        <v>3</v>
      </c>
      <c r="B7" s="9" t="s">
        <v>4</v>
      </c>
    </row>
    <row r="8" spans="1:2" x14ac:dyDescent="0.2">
      <c r="A8" s="8" t="s">
        <v>5</v>
      </c>
      <c r="B8" s="9" t="s">
        <v>117</v>
      </c>
    </row>
    <row r="9" spans="1:2" x14ac:dyDescent="0.2">
      <c r="A9" s="10" t="s">
        <v>6</v>
      </c>
      <c r="B9" s="11" t="s">
        <v>118</v>
      </c>
    </row>
    <row r="10" spans="1:2" x14ac:dyDescent="0.2">
      <c r="A10" s="10" t="s">
        <v>7</v>
      </c>
      <c r="B10" s="11" t="s">
        <v>119</v>
      </c>
    </row>
    <row r="14" spans="1:2" ht="15" x14ac:dyDescent="0.3">
      <c r="A14" s="12"/>
      <c r="B14" s="13"/>
    </row>
    <row r="15" spans="1:2" x14ac:dyDescent="0.2">
      <c r="A15" s="14"/>
    </row>
    <row r="16" spans="1:2" x14ac:dyDescent="0.2">
      <c r="A16" s="14"/>
    </row>
    <row r="17" spans="1:2" x14ac:dyDescent="0.2">
      <c r="A17" s="14"/>
    </row>
    <row r="18" spans="1:2" x14ac:dyDescent="0.2">
      <c r="A18" s="14"/>
    </row>
    <row r="19" spans="1:2" x14ac:dyDescent="0.2">
      <c r="A19" s="14"/>
    </row>
    <row r="21" spans="1:2" ht="15" x14ac:dyDescent="0.3">
      <c r="A21" s="12"/>
      <c r="B21" s="15"/>
    </row>
    <row r="22" spans="1:2" x14ac:dyDescent="0.2">
      <c r="A22" s="14"/>
    </row>
    <row r="23" spans="1:2" x14ac:dyDescent="0.2">
      <c r="A23" s="14"/>
    </row>
    <row r="24" spans="1:2" x14ac:dyDescent="0.2">
      <c r="A24" s="14"/>
    </row>
    <row r="25" spans="1:2" x14ac:dyDescent="0.2">
      <c r="A25" s="14"/>
    </row>
    <row r="28" spans="1:2" ht="15" x14ac:dyDescent="0.3">
      <c r="A28" s="12"/>
      <c r="B28" s="15"/>
    </row>
    <row r="30" spans="1:2" x14ac:dyDescent="0.2">
      <c r="A30" s="14"/>
    </row>
  </sheetData>
  <pageMargins left="1" right="0.25" top="0.75" bottom="0.45" header="0.3" footer="0.1"/>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18"/>
  <sheetViews>
    <sheetView workbookViewId="0"/>
  </sheetViews>
  <sheetFormatPr defaultColWidth="9.140625" defaultRowHeight="12.75" x14ac:dyDescent="0.2"/>
  <cols>
    <col min="1" max="1" width="7.85546875" style="18" customWidth="1"/>
    <col min="2" max="4" width="9.140625" style="18"/>
    <col min="5" max="5" width="35.42578125" style="18" customWidth="1"/>
    <col min="6" max="6" width="17" style="18" bestFit="1" customWidth="1"/>
    <col min="7" max="7" width="46.140625" style="18" bestFit="1" customWidth="1"/>
    <col min="8" max="8" width="15.7109375" style="18" customWidth="1"/>
    <col min="9" max="9" width="8" style="18" customWidth="1"/>
    <col min="10" max="10" width="8.42578125" style="18" customWidth="1"/>
    <col min="11" max="16384" width="9.140625" style="18"/>
  </cols>
  <sheetData>
    <row r="1" spans="1:11" x14ac:dyDescent="0.2">
      <c r="A1" s="16" t="s">
        <v>8</v>
      </c>
      <c r="B1" s="17"/>
      <c r="C1" s="17"/>
      <c r="D1" s="17"/>
      <c r="E1" s="17"/>
      <c r="F1" s="17"/>
      <c r="G1" s="17"/>
      <c r="H1" s="17"/>
      <c r="I1" s="17"/>
      <c r="J1" s="17"/>
      <c r="K1" s="17"/>
    </row>
    <row r="2" spans="1:11" x14ac:dyDescent="0.2">
      <c r="A2" s="16" t="s">
        <v>9</v>
      </c>
      <c r="B2" s="17"/>
      <c r="C2" s="17"/>
      <c r="D2" s="17"/>
      <c r="E2" s="17"/>
      <c r="F2" s="17"/>
      <c r="G2" s="17"/>
      <c r="H2" s="17"/>
      <c r="I2" s="17"/>
      <c r="J2" s="17"/>
      <c r="K2" s="17"/>
    </row>
    <row r="3" spans="1:11" x14ac:dyDescent="0.2">
      <c r="A3" s="19" t="s">
        <v>120</v>
      </c>
      <c r="B3" s="17"/>
      <c r="C3" s="17"/>
      <c r="D3" s="17"/>
      <c r="E3" s="17"/>
      <c r="F3" s="17"/>
      <c r="G3" s="17"/>
      <c r="H3" s="17"/>
      <c r="I3" s="17"/>
      <c r="J3" s="17"/>
      <c r="K3" s="17"/>
    </row>
    <row r="4" spans="1:11" x14ac:dyDescent="0.2">
      <c r="A4" s="17"/>
      <c r="B4" s="17"/>
      <c r="C4" s="17"/>
      <c r="D4" s="17"/>
      <c r="E4" s="17"/>
      <c r="F4" s="17"/>
      <c r="G4" s="17"/>
      <c r="H4" s="17"/>
      <c r="I4" s="17"/>
      <c r="J4" s="17"/>
      <c r="K4" s="17"/>
    </row>
    <row r="5" spans="1:11" x14ac:dyDescent="0.2">
      <c r="A5" s="20" t="s">
        <v>10</v>
      </c>
      <c r="B5" s="17"/>
      <c r="C5" s="17"/>
      <c r="D5" s="17"/>
      <c r="E5" s="17"/>
      <c r="F5" s="17"/>
      <c r="G5" s="17"/>
      <c r="H5" s="17"/>
      <c r="I5" s="17"/>
      <c r="J5" s="17"/>
      <c r="K5" s="17"/>
    </row>
    <row r="6" spans="1:11" x14ac:dyDescent="0.2">
      <c r="A6" s="20"/>
      <c r="B6" s="17"/>
      <c r="C6" s="17"/>
      <c r="D6" s="17"/>
      <c r="E6" s="17"/>
      <c r="F6" s="17"/>
      <c r="G6" s="17"/>
      <c r="H6" s="17"/>
      <c r="I6" s="17"/>
      <c r="J6" s="17"/>
      <c r="K6" s="17"/>
    </row>
    <row r="7" spans="1:11" x14ac:dyDescent="0.2">
      <c r="A7" s="16" t="s">
        <v>11</v>
      </c>
      <c r="G7" s="16" t="s">
        <v>12</v>
      </c>
      <c r="H7" s="17"/>
      <c r="I7" s="17"/>
      <c r="J7" s="17"/>
      <c r="K7" s="17"/>
    </row>
    <row r="8" spans="1:11" x14ac:dyDescent="0.2">
      <c r="A8" s="21"/>
      <c r="B8" s="22" t="str">
        <f>YEAR(A3)&amp;" RBA Deferral Balance Calculation:"</f>
        <v>2019 RBA Deferral Balance Calculation:</v>
      </c>
      <c r="G8" s="17"/>
      <c r="H8" s="17"/>
      <c r="I8" s="17"/>
      <c r="J8" s="17"/>
      <c r="K8" s="17"/>
    </row>
    <row r="9" spans="1:11" x14ac:dyDescent="0.2">
      <c r="A9" s="21">
        <v>1</v>
      </c>
      <c r="B9" s="23" t="s">
        <v>13</v>
      </c>
      <c r="F9" s="24">
        <v>-62299.258648003364</v>
      </c>
      <c r="G9" s="17" t="s">
        <v>14</v>
      </c>
      <c r="H9" s="17"/>
      <c r="I9" s="17"/>
      <c r="J9" s="17"/>
      <c r="K9" s="17"/>
    </row>
    <row r="10" spans="1:11" x14ac:dyDescent="0.2">
      <c r="A10" s="21">
        <f t="shared" ref="A10:A20" si="0">+A9+1</f>
        <v>2</v>
      </c>
      <c r="B10" s="23" t="s">
        <v>15</v>
      </c>
      <c r="F10" s="25">
        <v>0</v>
      </c>
      <c r="G10" s="17" t="s">
        <v>16</v>
      </c>
      <c r="H10" s="17"/>
      <c r="I10" s="17"/>
      <c r="J10" s="17"/>
      <c r="K10" s="17"/>
    </row>
    <row r="11" spans="1:11" x14ac:dyDescent="0.2">
      <c r="A11" s="21">
        <f t="shared" si="0"/>
        <v>3</v>
      </c>
      <c r="B11" s="23" t="s">
        <v>17</v>
      </c>
      <c r="F11" s="26">
        <f>SUM(F9:F10)</f>
        <v>-62299.258648003364</v>
      </c>
      <c r="G11" s="17" t="s">
        <v>18</v>
      </c>
      <c r="H11" s="17"/>
      <c r="I11" s="17"/>
      <c r="J11" s="17"/>
      <c r="K11" s="17"/>
    </row>
    <row r="12" spans="1:11" x14ac:dyDescent="0.2">
      <c r="A12" s="21">
        <f t="shared" si="0"/>
        <v>4</v>
      </c>
      <c r="B12" s="23" t="str">
        <f>YEAR(A3)-1&amp;" Actual REC Revenue"</f>
        <v>2018 Actual REC Revenue</v>
      </c>
      <c r="F12" s="26">
        <f>'RMP_(THS-2)'!P16</f>
        <v>1280292.1944366286</v>
      </c>
      <c r="G12" s="17" t="s">
        <v>19</v>
      </c>
      <c r="H12" s="17"/>
      <c r="I12" s="17"/>
      <c r="J12" s="17"/>
      <c r="K12" s="17"/>
    </row>
    <row r="13" spans="1:11" x14ac:dyDescent="0.2">
      <c r="A13" s="21">
        <f t="shared" si="0"/>
        <v>5</v>
      </c>
      <c r="B13" s="27" t="s">
        <v>20</v>
      </c>
      <c r="F13" s="26">
        <f>-'RMP_(THS-2)'!P17</f>
        <v>-128029.21944366286</v>
      </c>
      <c r="G13" s="17" t="s">
        <v>21</v>
      </c>
      <c r="H13" s="17"/>
      <c r="I13" s="17"/>
      <c r="J13" s="17"/>
      <c r="K13" s="17"/>
    </row>
    <row r="14" spans="1:11" x14ac:dyDescent="0.2">
      <c r="A14" s="21">
        <f t="shared" si="0"/>
        <v>6</v>
      </c>
      <c r="B14" s="27" t="str">
        <f>YEAR(A3)-1&amp;" Leaning Juniper Contract Revenue"</f>
        <v>2018 Leaning Juniper Contract Revenue</v>
      </c>
      <c r="F14" s="26">
        <f>'RMP_(THS-2)'!P20</f>
        <v>3488.9606950936609</v>
      </c>
      <c r="G14" s="17" t="s">
        <v>22</v>
      </c>
      <c r="H14" s="17"/>
      <c r="I14" s="17"/>
      <c r="J14" s="17"/>
      <c r="K14" s="17"/>
    </row>
    <row r="15" spans="1:11" x14ac:dyDescent="0.2">
      <c r="A15" s="21">
        <f t="shared" si="0"/>
        <v>7</v>
      </c>
      <c r="B15" s="27" t="str">
        <f>YEAR(A3)-1&amp;" REC Revenues in Base Rates"</f>
        <v>2018 REC Revenues in Base Rates</v>
      </c>
      <c r="F15" s="26">
        <f>-'RMP_(THS-2)'!P26</f>
        <v>-2000000.0000000002</v>
      </c>
      <c r="G15" s="17" t="s">
        <v>23</v>
      </c>
      <c r="H15" s="17"/>
      <c r="I15" s="17"/>
      <c r="J15" s="17"/>
      <c r="K15" s="17"/>
    </row>
    <row r="16" spans="1:11" x14ac:dyDescent="0.2">
      <c r="A16" s="21">
        <f t="shared" si="0"/>
        <v>8</v>
      </c>
      <c r="B16" s="27" t="s">
        <v>24</v>
      </c>
      <c r="F16" s="26">
        <f>-'RMP_(THS-2)'!P28</f>
        <v>-104558.87999999995</v>
      </c>
      <c r="G16" s="17" t="s">
        <v>25</v>
      </c>
      <c r="H16" s="17"/>
      <c r="I16" s="17"/>
      <c r="J16" s="17"/>
      <c r="K16" s="17"/>
    </row>
    <row r="17" spans="1:11" x14ac:dyDescent="0.2">
      <c r="A17" s="21">
        <f t="shared" si="0"/>
        <v>9</v>
      </c>
      <c r="B17" s="27" t="s">
        <v>123</v>
      </c>
      <c r="F17" s="26">
        <f>-'RMP_(THS-2)'!J46</f>
        <v>225224.39</v>
      </c>
      <c r="G17" s="17" t="s">
        <v>26</v>
      </c>
      <c r="H17" s="17"/>
      <c r="I17" s="17"/>
      <c r="J17" s="17"/>
      <c r="K17" s="17"/>
    </row>
    <row r="18" spans="1:11" x14ac:dyDescent="0.2">
      <c r="A18" s="21">
        <f t="shared" si="0"/>
        <v>10</v>
      </c>
      <c r="B18" s="27" t="str">
        <f>"Carrying Charges for Deferral Period (January - December "&amp;YEAR(A3)-1&amp;")"</f>
        <v>Carrying Charges for Deferral Period (January - December 2018)</v>
      </c>
      <c r="F18" s="26">
        <f>'RMP_(THS-2)'!P37</f>
        <v>-33142.582490786517</v>
      </c>
      <c r="G18" s="17" t="s">
        <v>27</v>
      </c>
      <c r="H18" s="17"/>
      <c r="I18" s="17"/>
      <c r="J18" s="17"/>
      <c r="K18" s="17"/>
    </row>
    <row r="19" spans="1:11" x14ac:dyDescent="0.2">
      <c r="A19" s="21">
        <f t="shared" si="0"/>
        <v>11</v>
      </c>
      <c r="B19" s="27" t="str">
        <f>"Carrying Charges for Interim Period (January "&amp;YEAR(A3)&amp;" - June "&amp;YEAR(A3)&amp;")"</f>
        <v>Carrying Charges for Interim Period (January 2019 - June 2019)</v>
      </c>
      <c r="F19" s="26">
        <f>'RMP_(THS-2)'!J50</f>
        <v>-16584.900042261488</v>
      </c>
      <c r="G19" s="17" t="s">
        <v>28</v>
      </c>
      <c r="H19" s="17"/>
      <c r="I19" s="17"/>
      <c r="J19" s="17"/>
      <c r="K19" s="17"/>
    </row>
    <row r="20" spans="1:11" x14ac:dyDescent="0.2">
      <c r="A20" s="21">
        <f t="shared" si="0"/>
        <v>12</v>
      </c>
      <c r="B20" s="16" t="str">
        <f>"Total "&amp;YEAR(A3)&amp;" RBA Deferral Balance"</f>
        <v>Total 2019 RBA Deferral Balance</v>
      </c>
      <c r="F20" s="28">
        <f>SUM(F11:F19)</f>
        <v>-835609.29549299204</v>
      </c>
      <c r="G20" s="17"/>
      <c r="H20" s="17"/>
      <c r="I20" s="17"/>
      <c r="J20" s="17"/>
      <c r="K20" s="17"/>
    </row>
    <row r="21" spans="1:11" x14ac:dyDescent="0.2">
      <c r="A21" s="21"/>
      <c r="G21" s="17"/>
      <c r="H21" s="17"/>
      <c r="I21" s="17"/>
      <c r="J21" s="17"/>
      <c r="K21" s="17"/>
    </row>
    <row r="22" spans="1:11" customFormat="1" ht="15" x14ac:dyDescent="0.25"/>
    <row r="23" spans="1:11" customFormat="1" ht="15" x14ac:dyDescent="0.25"/>
    <row r="24" spans="1:11" customFormat="1" ht="15" x14ac:dyDescent="0.25"/>
    <row r="25" spans="1:11" customFormat="1" ht="15" x14ac:dyDescent="0.25"/>
    <row r="26" spans="1:11" customFormat="1" ht="15" x14ac:dyDescent="0.25"/>
    <row r="27" spans="1:11" customFormat="1" ht="15" x14ac:dyDescent="0.25"/>
    <row r="28" spans="1:11" customFormat="1" ht="15" x14ac:dyDescent="0.25"/>
    <row r="29" spans="1:11" customFormat="1" ht="15" x14ac:dyDescent="0.25"/>
    <row r="30" spans="1:11" customFormat="1" ht="15" x14ac:dyDescent="0.25"/>
    <row r="31" spans="1:11" customFormat="1" ht="15" x14ac:dyDescent="0.25"/>
    <row r="32" spans="1:11" customFormat="1" ht="13.5" customHeight="1" x14ac:dyDescent="0.25"/>
    <row r="33" spans="1:11" customFormat="1" ht="15" x14ac:dyDescent="0.25"/>
    <row r="34" spans="1:11" customFormat="1" ht="15" x14ac:dyDescent="0.25"/>
    <row r="35" spans="1:11" customFormat="1" ht="15" x14ac:dyDescent="0.25"/>
    <row r="36" spans="1:11" x14ac:dyDescent="0.2">
      <c r="A36" s="17"/>
      <c r="B36" s="17"/>
      <c r="C36" s="17"/>
      <c r="D36" s="17"/>
      <c r="E36" s="17"/>
      <c r="F36" s="17"/>
      <c r="G36" s="17"/>
      <c r="H36" s="17"/>
      <c r="I36" s="17"/>
      <c r="J36" s="17"/>
      <c r="K36" s="17"/>
    </row>
    <row r="37" spans="1:11" x14ac:dyDescent="0.2">
      <c r="A37" s="17"/>
      <c r="B37" s="17"/>
      <c r="C37" s="17"/>
      <c r="D37" s="17"/>
      <c r="E37" s="17"/>
      <c r="F37" s="17"/>
      <c r="G37" s="17"/>
      <c r="H37" s="17"/>
      <c r="I37" s="17"/>
      <c r="J37" s="17"/>
      <c r="K37" s="17"/>
    </row>
    <row r="38" spans="1:11" x14ac:dyDescent="0.2">
      <c r="A38" s="21"/>
      <c r="B38" s="17"/>
      <c r="C38" s="17"/>
      <c r="D38" s="17"/>
      <c r="E38" s="17"/>
      <c r="F38" s="17"/>
      <c r="G38" s="17"/>
      <c r="H38" s="17"/>
      <c r="I38" s="17"/>
      <c r="J38" s="17"/>
      <c r="K38" s="17"/>
    </row>
    <row r="39" spans="1:11" x14ac:dyDescent="0.2">
      <c r="A39" s="21"/>
      <c r="B39" s="17"/>
      <c r="C39" s="17"/>
      <c r="D39" s="17"/>
      <c r="E39" s="17"/>
      <c r="F39" s="17"/>
      <c r="G39" s="21"/>
      <c r="H39" s="17"/>
      <c r="I39" s="17"/>
      <c r="J39" s="17"/>
      <c r="K39" s="17"/>
    </row>
    <row r="40" spans="1:11" x14ac:dyDescent="0.2">
      <c r="A40" s="29"/>
      <c r="B40" s="16"/>
      <c r="C40" s="16"/>
      <c r="D40" s="16"/>
      <c r="E40" s="16"/>
      <c r="F40" s="30"/>
      <c r="G40" s="30"/>
      <c r="H40" s="17"/>
      <c r="I40" s="17"/>
      <c r="J40" s="17"/>
      <c r="K40" s="17"/>
    </row>
    <row r="41" spans="1:11" x14ac:dyDescent="0.2">
      <c r="A41" s="21"/>
      <c r="B41" s="17"/>
      <c r="C41" s="17"/>
      <c r="D41" s="17"/>
      <c r="E41" s="17"/>
      <c r="F41" s="31"/>
      <c r="G41" s="31"/>
      <c r="H41" s="16"/>
      <c r="I41" s="17"/>
      <c r="J41" s="17"/>
      <c r="K41" s="17"/>
    </row>
    <row r="42" spans="1:11" x14ac:dyDescent="0.2">
      <c r="A42" s="21"/>
      <c r="B42" s="17"/>
      <c r="C42" s="17"/>
      <c r="D42" s="17"/>
      <c r="E42" s="17"/>
      <c r="F42" s="31"/>
      <c r="G42" s="31"/>
      <c r="H42" s="17"/>
      <c r="I42" s="17"/>
      <c r="J42" s="17"/>
      <c r="K42" s="17"/>
    </row>
    <row r="43" spans="1:11" x14ac:dyDescent="0.2">
      <c r="A43" s="21"/>
      <c r="B43" s="17"/>
      <c r="C43" s="17"/>
      <c r="D43" s="17"/>
      <c r="E43" s="17"/>
      <c r="F43" s="32"/>
      <c r="G43" s="32"/>
      <c r="H43" s="17"/>
      <c r="I43" s="17"/>
      <c r="J43" s="17"/>
      <c r="K43" s="17"/>
    </row>
    <row r="44" spans="1:11" x14ac:dyDescent="0.2">
      <c r="A44" s="21"/>
      <c r="B44" s="17"/>
      <c r="C44" s="17"/>
      <c r="D44" s="17"/>
      <c r="E44" s="17"/>
      <c r="F44" s="17"/>
      <c r="G44" s="33"/>
      <c r="H44" s="17"/>
      <c r="I44" s="17"/>
      <c r="J44" s="17"/>
      <c r="K44" s="17"/>
    </row>
    <row r="45" spans="1:11" x14ac:dyDescent="0.2">
      <c r="A45" s="21"/>
      <c r="B45" s="17"/>
      <c r="C45" s="17"/>
      <c r="D45" s="17"/>
      <c r="E45" s="17"/>
      <c r="F45" s="17"/>
      <c r="G45" s="33"/>
      <c r="H45" s="17"/>
      <c r="I45" s="17"/>
      <c r="J45" s="17"/>
      <c r="K45" s="17"/>
    </row>
    <row r="46" spans="1:11" x14ac:dyDescent="0.2">
      <c r="A46" s="21"/>
      <c r="B46" s="17"/>
      <c r="C46" s="17"/>
      <c r="D46" s="17"/>
      <c r="E46" s="17"/>
      <c r="F46" s="17"/>
      <c r="G46" s="33"/>
      <c r="H46" s="17"/>
      <c r="I46" s="17"/>
      <c r="J46" s="17"/>
      <c r="K46" s="17"/>
    </row>
    <row r="47" spans="1:11" x14ac:dyDescent="0.2">
      <c r="A47" s="21"/>
      <c r="B47" s="17"/>
      <c r="C47" s="17"/>
      <c r="D47" s="17"/>
      <c r="E47" s="17"/>
      <c r="F47" s="17"/>
      <c r="G47" s="33"/>
      <c r="H47" s="17"/>
      <c r="I47" s="17"/>
      <c r="J47" s="17"/>
      <c r="K47" s="17"/>
    </row>
    <row r="48" spans="1:11" x14ac:dyDescent="0.2">
      <c r="A48" s="21"/>
      <c r="B48" s="17"/>
      <c r="C48" s="17"/>
      <c r="D48" s="17"/>
      <c r="E48" s="17"/>
      <c r="F48" s="33"/>
      <c r="G48" s="33"/>
      <c r="H48" s="17"/>
      <c r="I48" s="17"/>
      <c r="J48" s="17"/>
      <c r="K48" s="17"/>
    </row>
    <row r="49" spans="1:11" x14ac:dyDescent="0.2">
      <c r="A49" s="21"/>
      <c r="B49" s="17"/>
      <c r="C49" s="17"/>
      <c r="D49" s="17"/>
      <c r="E49" s="17"/>
      <c r="F49" s="33"/>
      <c r="G49" s="33"/>
      <c r="H49" s="17"/>
      <c r="I49" s="17"/>
      <c r="J49" s="17"/>
      <c r="K49" s="17"/>
    </row>
    <row r="50" spans="1:11" x14ac:dyDescent="0.2">
      <c r="A50" s="21"/>
      <c r="B50" s="17"/>
      <c r="C50" s="17"/>
      <c r="D50" s="17"/>
      <c r="E50" s="17"/>
      <c r="F50" s="33"/>
      <c r="G50" s="33"/>
      <c r="H50" s="17"/>
      <c r="I50" s="17"/>
      <c r="J50" s="17"/>
      <c r="K50" s="17"/>
    </row>
    <row r="51" spans="1:11" x14ac:dyDescent="0.2">
      <c r="A51" s="21"/>
      <c r="B51" s="17"/>
      <c r="C51" s="17"/>
      <c r="D51" s="17"/>
      <c r="E51" s="17"/>
      <c r="F51" s="33"/>
      <c r="G51" s="33"/>
      <c r="H51" s="17"/>
      <c r="I51" s="17"/>
      <c r="J51" s="17"/>
      <c r="K51" s="17"/>
    </row>
    <row r="52" spans="1:11" x14ac:dyDescent="0.2">
      <c r="A52" s="21"/>
      <c r="B52" s="17"/>
      <c r="C52" s="17"/>
      <c r="D52" s="17"/>
      <c r="E52" s="17"/>
      <c r="F52" s="33"/>
      <c r="G52" s="33"/>
      <c r="H52" s="17"/>
      <c r="I52" s="17"/>
      <c r="J52" s="17"/>
      <c r="K52" s="17"/>
    </row>
    <row r="53" spans="1:11" x14ac:dyDescent="0.2">
      <c r="A53" s="21"/>
      <c r="B53" s="17"/>
      <c r="C53" s="17"/>
      <c r="D53" s="17"/>
      <c r="E53" s="17"/>
      <c r="F53" s="33"/>
      <c r="G53" s="33"/>
      <c r="H53" s="17"/>
      <c r="I53" s="17"/>
      <c r="J53" s="17"/>
      <c r="K53" s="17"/>
    </row>
    <row r="54" spans="1:11" x14ac:dyDescent="0.2">
      <c r="A54" s="17"/>
      <c r="B54" s="17"/>
      <c r="C54" s="17"/>
      <c r="D54" s="17"/>
      <c r="E54" s="17"/>
      <c r="F54" s="33"/>
      <c r="G54" s="33"/>
      <c r="H54" s="33"/>
      <c r="I54" s="33"/>
      <c r="J54" s="17"/>
      <c r="K54" s="17"/>
    </row>
    <row r="55" spans="1:11" x14ac:dyDescent="0.2">
      <c r="A55" s="17"/>
      <c r="B55" s="17"/>
      <c r="C55" s="17"/>
      <c r="D55" s="17"/>
      <c r="E55" s="17"/>
      <c r="F55" s="17"/>
      <c r="G55" s="17"/>
      <c r="H55" s="17"/>
      <c r="I55" s="17"/>
      <c r="J55" s="17"/>
      <c r="K55" s="17"/>
    </row>
    <row r="56" spans="1:11" x14ac:dyDescent="0.2">
      <c r="A56" s="17"/>
      <c r="B56" s="17"/>
      <c r="C56" s="17"/>
      <c r="D56" s="17"/>
      <c r="E56" s="17"/>
      <c r="F56" s="17"/>
      <c r="G56" s="17"/>
      <c r="H56" s="17"/>
      <c r="I56" s="17"/>
      <c r="J56" s="17"/>
      <c r="K56" s="17"/>
    </row>
    <row r="57" spans="1:11" x14ac:dyDescent="0.2">
      <c r="H57" s="17"/>
      <c r="I57" s="17"/>
      <c r="J57" s="17"/>
      <c r="K57" s="17"/>
    </row>
    <row r="58" spans="1:11" x14ac:dyDescent="0.2">
      <c r="J58" s="17"/>
      <c r="K58" s="17"/>
    </row>
    <row r="107" spans="2:2" x14ac:dyDescent="0.2">
      <c r="B107" s="18">
        <f>EDATE(B104,1)</f>
        <v>31</v>
      </c>
    </row>
    <row r="108" spans="2:2" x14ac:dyDescent="0.2">
      <c r="B108" s="18">
        <f>EDATE(B107,1)</f>
        <v>59</v>
      </c>
    </row>
    <row r="109" spans="2:2" x14ac:dyDescent="0.2">
      <c r="B109" s="18">
        <f t="shared" ref="B109:B118" si="1">EDATE(B108,1)</f>
        <v>88</v>
      </c>
    </row>
    <row r="110" spans="2:2" x14ac:dyDescent="0.2">
      <c r="B110" s="18">
        <f t="shared" si="1"/>
        <v>119</v>
      </c>
    </row>
    <row r="111" spans="2:2" x14ac:dyDescent="0.2">
      <c r="B111" s="18">
        <f t="shared" si="1"/>
        <v>149</v>
      </c>
    </row>
    <row r="112" spans="2:2" x14ac:dyDescent="0.2">
      <c r="B112" s="18">
        <f t="shared" si="1"/>
        <v>180</v>
      </c>
    </row>
    <row r="113" spans="2:2" x14ac:dyDescent="0.2">
      <c r="B113" s="18">
        <f t="shared" si="1"/>
        <v>210</v>
      </c>
    </row>
    <row r="114" spans="2:2" x14ac:dyDescent="0.2">
      <c r="B114" s="18">
        <f t="shared" si="1"/>
        <v>241</v>
      </c>
    </row>
    <row r="115" spans="2:2" x14ac:dyDescent="0.2">
      <c r="B115" s="18">
        <f t="shared" si="1"/>
        <v>272</v>
      </c>
    </row>
    <row r="116" spans="2:2" x14ac:dyDescent="0.2">
      <c r="B116" s="18">
        <f t="shared" si="1"/>
        <v>302</v>
      </c>
    </row>
    <row r="117" spans="2:2" x14ac:dyDescent="0.2">
      <c r="B117" s="18">
        <f t="shared" si="1"/>
        <v>333</v>
      </c>
    </row>
    <row r="118" spans="2:2" x14ac:dyDescent="0.2">
      <c r="B118" s="18">
        <f t="shared" si="1"/>
        <v>363</v>
      </c>
    </row>
  </sheetData>
  <pageMargins left="0.7" right="0.7" top="0.75" bottom="0.75" header="0.3" footer="0.3"/>
  <pageSetup scale="91" orientation="landscape" r:id="rId1"/>
  <headerFooter>
    <oddFooter>&amp;C&amp;"Arial,Regular"&amp;10RMP__(THS-1)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75"/>
  <sheetViews>
    <sheetView topLeftCell="A43" zoomScale="85" zoomScaleNormal="85" workbookViewId="0">
      <selection activeCell="H51" sqref="H51"/>
    </sheetView>
  </sheetViews>
  <sheetFormatPr defaultColWidth="9.140625" defaultRowHeight="12.75" x14ac:dyDescent="0.2"/>
  <cols>
    <col min="1" max="1" width="9.140625" style="35"/>
    <col min="2" max="2" width="41" style="35" customWidth="1"/>
    <col min="3" max="3" width="32.28515625" style="35" customWidth="1"/>
    <col min="4" max="16" width="11.28515625" style="18" customWidth="1"/>
    <col min="17" max="17" width="12.42578125" style="36" bestFit="1" customWidth="1"/>
    <col min="18" max="18" width="14.28515625" style="18" bestFit="1" customWidth="1"/>
    <col min="19" max="16384" width="9.140625" style="18"/>
  </cols>
  <sheetData>
    <row r="1" spans="1:17" x14ac:dyDescent="0.2">
      <c r="A1" s="34" t="s">
        <v>8</v>
      </c>
    </row>
    <row r="2" spans="1:17" x14ac:dyDescent="0.2">
      <c r="A2" s="34" t="s">
        <v>9</v>
      </c>
    </row>
    <row r="3" spans="1:17" x14ac:dyDescent="0.2">
      <c r="A3" s="37" t="s">
        <v>120</v>
      </c>
    </row>
    <row r="4" spans="1:17" x14ac:dyDescent="0.2">
      <c r="D4" s="38"/>
    </row>
    <row r="5" spans="1:17" x14ac:dyDescent="0.2">
      <c r="A5" s="39" t="str">
        <f>"Calendar Year "&amp;YEAR(A3)-1</f>
        <v>Calendar Year 2018</v>
      </c>
    </row>
    <row r="6" spans="1:17" x14ac:dyDescent="0.2">
      <c r="D6" s="38"/>
      <c r="E6" s="38"/>
      <c r="F6" s="38"/>
      <c r="G6" s="38"/>
      <c r="H6" s="38"/>
      <c r="I6" s="38"/>
      <c r="J6" s="38"/>
      <c r="K6" s="38"/>
      <c r="L6" s="38"/>
    </row>
    <row r="7" spans="1:17" x14ac:dyDescent="0.2">
      <c r="A7" s="34" t="str">
        <f>YEAR(A3)&amp;" RBA (Deferral of CY "&amp;YEAR(A3)-1&amp;" REC Revenue)"</f>
        <v>2019 RBA (Deferral of CY 2018 REC Revenue)</v>
      </c>
      <c r="D7" s="232" t="s">
        <v>121</v>
      </c>
      <c r="E7" s="233"/>
      <c r="F7" s="233"/>
      <c r="G7" s="233"/>
      <c r="H7" s="233"/>
      <c r="I7" s="233"/>
      <c r="J7" s="233"/>
      <c r="K7" s="233"/>
      <c r="L7" s="233"/>
      <c r="M7" s="233"/>
      <c r="N7" s="233"/>
      <c r="O7" s="234"/>
    </row>
    <row r="8" spans="1:17" x14ac:dyDescent="0.2">
      <c r="B8" s="34"/>
      <c r="C8" s="34"/>
      <c r="D8" s="40"/>
      <c r="E8" s="32"/>
      <c r="F8" s="32"/>
      <c r="G8" s="32"/>
      <c r="H8" s="32"/>
      <c r="I8" s="32"/>
      <c r="J8" s="32"/>
      <c r="K8" s="32"/>
      <c r="L8" s="32"/>
      <c r="M8" s="17"/>
      <c r="N8" s="17"/>
      <c r="O8" s="41"/>
    </row>
    <row r="9" spans="1:17" x14ac:dyDescent="0.2">
      <c r="A9" s="42" t="s">
        <v>11</v>
      </c>
      <c r="B9" s="42"/>
      <c r="C9" s="43" t="s">
        <v>12</v>
      </c>
      <c r="D9" s="44">
        <v>43101</v>
      </c>
      <c r="E9" s="45">
        <f>EDATE(D9,1)</f>
        <v>43132</v>
      </c>
      <c r="F9" s="45">
        <f t="shared" ref="F9:O9" si="0">EDATE(E9,1)</f>
        <v>43160</v>
      </c>
      <c r="G9" s="45">
        <f t="shared" si="0"/>
        <v>43191</v>
      </c>
      <c r="H9" s="45">
        <f t="shared" si="0"/>
        <v>43221</v>
      </c>
      <c r="I9" s="45">
        <f t="shared" si="0"/>
        <v>43252</v>
      </c>
      <c r="J9" s="45">
        <f t="shared" si="0"/>
        <v>43282</v>
      </c>
      <c r="K9" s="45">
        <f t="shared" si="0"/>
        <v>43313</v>
      </c>
      <c r="L9" s="45">
        <f t="shared" si="0"/>
        <v>43344</v>
      </c>
      <c r="M9" s="45">
        <f t="shared" si="0"/>
        <v>43374</v>
      </c>
      <c r="N9" s="45">
        <f t="shared" si="0"/>
        <v>43405</v>
      </c>
      <c r="O9" s="46">
        <f t="shared" si="0"/>
        <v>43435</v>
      </c>
      <c r="P9" s="47" t="s">
        <v>29</v>
      </c>
    </row>
    <row r="10" spans="1:17" x14ac:dyDescent="0.2">
      <c r="D10" s="48"/>
      <c r="E10" s="17"/>
      <c r="F10" s="17"/>
      <c r="G10" s="17"/>
      <c r="H10" s="17"/>
      <c r="I10" s="17"/>
      <c r="J10" s="17"/>
      <c r="K10" s="17"/>
      <c r="L10" s="17"/>
      <c r="M10" s="17"/>
      <c r="N10" s="17"/>
      <c r="O10" s="41"/>
    </row>
    <row r="11" spans="1:17" x14ac:dyDescent="0.2">
      <c r="A11" s="49"/>
      <c r="B11" s="34" t="s">
        <v>30</v>
      </c>
      <c r="C11" s="34"/>
      <c r="D11" s="40"/>
      <c r="E11" s="32"/>
      <c r="F11" s="32"/>
      <c r="G11" s="32"/>
      <c r="H11" s="32"/>
      <c r="I11" s="32"/>
      <c r="J11" s="32"/>
      <c r="K11" s="32"/>
      <c r="L11" s="32"/>
      <c r="M11" s="32"/>
      <c r="N11" s="32"/>
      <c r="O11" s="50"/>
      <c r="P11" s="38"/>
    </row>
    <row r="12" spans="1:17" x14ac:dyDescent="0.2">
      <c r="A12" s="49">
        <f>MAX($A$10:A11)+1</f>
        <v>1</v>
      </c>
      <c r="B12" s="51" t="s">
        <v>31</v>
      </c>
      <c r="C12" s="52" t="s">
        <v>32</v>
      </c>
      <c r="D12" s="40">
        <v>224521.31</v>
      </c>
      <c r="E12" s="32">
        <v>-47181.929999999993</v>
      </c>
      <c r="F12" s="32">
        <v>436828.27</v>
      </c>
      <c r="G12" s="32">
        <v>139160.31</v>
      </c>
      <c r="H12" s="32">
        <v>-34.290000000008149</v>
      </c>
      <c r="I12" s="32">
        <v>146.51</v>
      </c>
      <c r="J12" s="32">
        <v>170960.7</v>
      </c>
      <c r="K12" s="32">
        <v>31.870000000000005</v>
      </c>
      <c r="L12" s="32">
        <v>-210.02999999999997</v>
      </c>
      <c r="M12" s="32">
        <v>681445.16</v>
      </c>
      <c r="N12" s="32">
        <v>474144.11999999994</v>
      </c>
      <c r="O12" s="50">
        <v>36769.580000000016</v>
      </c>
      <c r="P12" s="38">
        <f>SUM(D12:O12)</f>
        <v>2116581.5799999996</v>
      </c>
      <c r="Q12" s="53"/>
    </row>
    <row r="13" spans="1:17" ht="7.5" customHeight="1" x14ac:dyDescent="0.2">
      <c r="A13" s="49"/>
      <c r="B13" s="51"/>
      <c r="C13" s="54"/>
      <c r="D13" s="40"/>
      <c r="E13" s="32"/>
      <c r="F13" s="32"/>
      <c r="G13" s="32"/>
      <c r="H13" s="32"/>
      <c r="I13" s="32"/>
      <c r="J13" s="32"/>
      <c r="K13" s="32"/>
      <c r="L13" s="32"/>
      <c r="M13" s="32"/>
      <c r="N13" s="32"/>
      <c r="O13" s="50"/>
    </row>
    <row r="14" spans="1:17" x14ac:dyDescent="0.2">
      <c r="A14" s="49">
        <f>MAX($A$10:A13)+1</f>
        <v>2</v>
      </c>
      <c r="B14" s="51" t="s">
        <v>33</v>
      </c>
      <c r="C14" s="52" t="s">
        <v>6</v>
      </c>
      <c r="D14" s="55">
        <f>'Page 2.1'!$E$48</f>
        <v>0.60488676956010767</v>
      </c>
      <c r="E14" s="56">
        <f>'Page 2.1'!$E$48</f>
        <v>0.60488676956010767</v>
      </c>
      <c r="F14" s="56">
        <f>'Page 2.1'!$E$48</f>
        <v>0.60488676956010767</v>
      </c>
      <c r="G14" s="56">
        <f>'Page 2.1'!$E$48</f>
        <v>0.60488676956010767</v>
      </c>
      <c r="H14" s="56">
        <f>'Page 2.1'!$E$48</f>
        <v>0.60488676956010767</v>
      </c>
      <c r="I14" s="56">
        <f>'Page 2.1'!$E$48</f>
        <v>0.60488676956010767</v>
      </c>
      <c r="J14" s="56">
        <f>'Page 2.1'!$E$48</f>
        <v>0.60488676956010767</v>
      </c>
      <c r="K14" s="56">
        <f>'Page 2.1'!$E$48</f>
        <v>0.60488676956010767</v>
      </c>
      <c r="L14" s="56">
        <f>'Page 2.1'!$E$48</f>
        <v>0.60488676956010767</v>
      </c>
      <c r="M14" s="56">
        <f>'Page 2.1'!$E$48</f>
        <v>0.60488676956010767</v>
      </c>
      <c r="N14" s="56">
        <f>'Page 2.1'!$E$48</f>
        <v>0.60488676956010767</v>
      </c>
      <c r="O14" s="57">
        <f>'Page 2.1'!$E$48</f>
        <v>0.60488676956010767</v>
      </c>
    </row>
    <row r="15" spans="1:17" ht="7.5" customHeight="1" x14ac:dyDescent="0.2">
      <c r="A15" s="49"/>
      <c r="B15" s="51"/>
      <c r="C15" s="52"/>
      <c r="D15" s="48"/>
      <c r="E15" s="17"/>
      <c r="F15" s="17"/>
      <c r="G15" s="17"/>
      <c r="H15" s="17"/>
      <c r="I15" s="17"/>
      <c r="J15" s="17"/>
      <c r="K15" s="17"/>
      <c r="L15" s="17"/>
      <c r="M15" s="17"/>
      <c r="N15" s="17"/>
      <c r="O15" s="41"/>
    </row>
    <row r="16" spans="1:17" x14ac:dyDescent="0.2">
      <c r="A16" s="49">
        <f>MAX($A$10:A15)+1</f>
        <v>3</v>
      </c>
      <c r="B16" s="51" t="s">
        <v>34</v>
      </c>
      <c r="C16" s="52" t="s">
        <v>35</v>
      </c>
      <c r="D16" s="58">
        <f t="shared" ref="D16:O16" si="1">D12*D14</f>
        <v>135809.96990330348</v>
      </c>
      <c r="E16" s="33">
        <f t="shared" si="1"/>
        <v>-28539.725219311127</v>
      </c>
      <c r="F16" s="33">
        <f t="shared" si="1"/>
        <v>264231.64109283051</v>
      </c>
      <c r="G16" s="33">
        <f t="shared" si="1"/>
        <v>84176.230366883145</v>
      </c>
      <c r="H16" s="33">
        <f t="shared" si="1"/>
        <v>-20.74156732822102</v>
      </c>
      <c r="I16" s="33">
        <f t="shared" si="1"/>
        <v>88.621960608251371</v>
      </c>
      <c r="J16" s="33">
        <f t="shared" si="1"/>
        <v>103411.86554473471</v>
      </c>
      <c r="K16" s="33">
        <f t="shared" si="1"/>
        <v>19.277741345880635</v>
      </c>
      <c r="L16" s="33">
        <f t="shared" si="1"/>
        <v>-127.04436821070939</v>
      </c>
      <c r="M16" s="33">
        <f t="shared" si="1"/>
        <v>412197.16146477073</v>
      </c>
      <c r="N16" s="33">
        <f t="shared" si="1"/>
        <v>286803.50505272002</v>
      </c>
      <c r="O16" s="59">
        <f t="shared" si="1"/>
        <v>22241.432464281952</v>
      </c>
      <c r="P16" s="38">
        <f>SUM(D16:O16)</f>
        <v>1280292.1944366286</v>
      </c>
      <c r="Q16" s="53"/>
    </row>
    <row r="17" spans="1:17" x14ac:dyDescent="0.2">
      <c r="A17" s="49">
        <f>MAX($A$10:A16)+1</f>
        <v>4</v>
      </c>
      <c r="B17" s="51" t="s">
        <v>36</v>
      </c>
      <c r="C17" s="52" t="s">
        <v>37</v>
      </c>
      <c r="D17" s="58">
        <f t="shared" ref="D17:O17" si="2">D16*0.1</f>
        <v>13580.99699033035</v>
      </c>
      <c r="E17" s="33">
        <f t="shared" si="2"/>
        <v>-2853.9725219311131</v>
      </c>
      <c r="F17" s="33">
        <f t="shared" si="2"/>
        <v>26423.164109283054</v>
      </c>
      <c r="G17" s="33">
        <f t="shared" si="2"/>
        <v>8417.6230366883156</v>
      </c>
      <c r="H17" s="33">
        <f t="shared" si="2"/>
        <v>-2.074156732822102</v>
      </c>
      <c r="I17" s="33">
        <f t="shared" si="2"/>
        <v>8.8621960608251378</v>
      </c>
      <c r="J17" s="33">
        <f t="shared" si="2"/>
        <v>10341.186554473472</v>
      </c>
      <c r="K17" s="33">
        <f t="shared" si="2"/>
        <v>1.9277741345880637</v>
      </c>
      <c r="L17" s="33">
        <f t="shared" si="2"/>
        <v>-12.70443682107094</v>
      </c>
      <c r="M17" s="33">
        <f t="shared" si="2"/>
        <v>41219.716146477076</v>
      </c>
      <c r="N17" s="33">
        <f t="shared" si="2"/>
        <v>28680.350505272003</v>
      </c>
      <c r="O17" s="59">
        <f t="shared" si="2"/>
        <v>2224.1432464281952</v>
      </c>
      <c r="P17" s="38">
        <f>SUM(D17:O17)</f>
        <v>128029.21944366286</v>
      </c>
      <c r="Q17" s="53"/>
    </row>
    <row r="18" spans="1:17" x14ac:dyDescent="0.2">
      <c r="A18" s="49">
        <f>MAX($A$10:A17)+1</f>
        <v>5</v>
      </c>
      <c r="B18" s="51" t="s">
        <v>38</v>
      </c>
      <c r="C18" s="52" t="s">
        <v>39</v>
      </c>
      <c r="D18" s="58">
        <f t="shared" ref="D18:O18" si="3">D16-D17</f>
        <v>122228.97291297314</v>
      </c>
      <c r="E18" s="33">
        <f t="shared" si="3"/>
        <v>-25685.752697380012</v>
      </c>
      <c r="F18" s="33">
        <f t="shared" si="3"/>
        <v>237808.47698354744</v>
      </c>
      <c r="G18" s="33">
        <f t="shared" si="3"/>
        <v>75758.607330194835</v>
      </c>
      <c r="H18" s="33">
        <f t="shared" si="3"/>
        <v>-18.66741059539892</v>
      </c>
      <c r="I18" s="33">
        <f t="shared" si="3"/>
        <v>79.759764547426229</v>
      </c>
      <c r="J18" s="33">
        <f t="shared" si="3"/>
        <v>93070.678990261236</v>
      </c>
      <c r="K18" s="33">
        <f t="shared" si="3"/>
        <v>17.349967211292572</v>
      </c>
      <c r="L18" s="33">
        <f t="shared" si="3"/>
        <v>-114.33993138963845</v>
      </c>
      <c r="M18" s="33">
        <f t="shared" si="3"/>
        <v>370977.44531829364</v>
      </c>
      <c r="N18" s="33">
        <f t="shared" si="3"/>
        <v>258123.15454744801</v>
      </c>
      <c r="O18" s="59">
        <f t="shared" si="3"/>
        <v>20017.289217853759</v>
      </c>
      <c r="P18" s="38">
        <f>SUM(D18:O18)</f>
        <v>1152262.9749929656</v>
      </c>
      <c r="Q18" s="53"/>
    </row>
    <row r="19" spans="1:17" x14ac:dyDescent="0.2">
      <c r="A19" s="49"/>
      <c r="B19" s="51"/>
      <c r="C19" s="52"/>
      <c r="D19" s="58"/>
      <c r="E19" s="33"/>
      <c r="F19" s="33"/>
      <c r="G19" s="33"/>
      <c r="H19" s="33"/>
      <c r="I19" s="33"/>
      <c r="J19" s="33"/>
      <c r="K19" s="33"/>
      <c r="L19" s="33"/>
      <c r="M19" s="33"/>
      <c r="N19" s="33"/>
      <c r="O19" s="59"/>
      <c r="P19" s="38"/>
      <c r="Q19" s="53"/>
    </row>
    <row r="20" spans="1:17" x14ac:dyDescent="0.2">
      <c r="A20" s="49">
        <f>MAX($A$10:A19)+1</f>
        <v>6</v>
      </c>
      <c r="B20" s="51" t="str">
        <f>"Leaning Juniper Revenue CY "&amp;YEAR(A3)-1</f>
        <v>Leaning Juniper Revenue CY 2018</v>
      </c>
      <c r="C20" s="52" t="s">
        <v>6</v>
      </c>
      <c r="D20" s="58">
        <v>105.72875492913317</v>
      </c>
      <c r="E20" s="33">
        <v>0</v>
      </c>
      <c r="F20" s="33">
        <v>407.43283657922535</v>
      </c>
      <c r="G20" s="33">
        <v>826.16193270678241</v>
      </c>
      <c r="H20" s="33">
        <v>297.56667772337016</v>
      </c>
      <c r="I20" s="33">
        <v>277.58539863163162</v>
      </c>
      <c r="J20" s="33">
        <v>361.32592480307892</v>
      </c>
      <c r="K20" s="33">
        <v>338.7510492199624</v>
      </c>
      <c r="L20" s="33">
        <v>357.36936689021155</v>
      </c>
      <c r="M20" s="33">
        <v>237.24791578528519</v>
      </c>
      <c r="N20" s="33">
        <v>130.88840524685432</v>
      </c>
      <c r="O20" s="59">
        <v>148.90243257812588</v>
      </c>
      <c r="P20" s="38">
        <f>SUM(D20:O20)</f>
        <v>3488.9606950936609</v>
      </c>
      <c r="Q20" s="53"/>
    </row>
    <row r="21" spans="1:17" x14ac:dyDescent="0.2">
      <c r="A21" s="49"/>
      <c r="B21" s="51"/>
      <c r="C21" s="52"/>
      <c r="D21" s="58"/>
      <c r="E21" s="33"/>
      <c r="F21" s="33"/>
      <c r="G21" s="33"/>
      <c r="H21" s="33"/>
      <c r="I21" s="33"/>
      <c r="J21" s="33"/>
      <c r="K21" s="33"/>
      <c r="L21" s="33"/>
      <c r="M21" s="33"/>
      <c r="N21" s="33"/>
      <c r="O21" s="59"/>
      <c r="P21" s="38"/>
      <c r="Q21" s="53"/>
    </row>
    <row r="22" spans="1:17" x14ac:dyDescent="0.2">
      <c r="A22" s="49">
        <f>MAX($A$10:A21)+1</f>
        <v>7</v>
      </c>
      <c r="B22" s="51" t="s">
        <v>40</v>
      </c>
      <c r="C22" s="52" t="s">
        <v>41</v>
      </c>
      <c r="D22" s="58">
        <f t="shared" ref="D22:O22" si="4">D18+D20</f>
        <v>122334.70166790228</v>
      </c>
      <c r="E22" s="33">
        <f t="shared" si="4"/>
        <v>-25685.752697380012</v>
      </c>
      <c r="F22" s="33">
        <f t="shared" si="4"/>
        <v>238215.90982012666</v>
      </c>
      <c r="G22" s="33">
        <f t="shared" si="4"/>
        <v>76584.769262901624</v>
      </c>
      <c r="H22" s="33">
        <f t="shared" si="4"/>
        <v>278.89926712797126</v>
      </c>
      <c r="I22" s="33">
        <f t="shared" si="4"/>
        <v>357.34516317905786</v>
      </c>
      <c r="J22" s="33">
        <f t="shared" si="4"/>
        <v>93432.004915064317</v>
      </c>
      <c r="K22" s="33">
        <f t="shared" si="4"/>
        <v>356.10101643125495</v>
      </c>
      <c r="L22" s="33">
        <f t="shared" si="4"/>
        <v>243.0294355005731</v>
      </c>
      <c r="M22" s="33">
        <f t="shared" si="4"/>
        <v>371214.69323407894</v>
      </c>
      <c r="N22" s="33">
        <f t="shared" si="4"/>
        <v>258254.04295269487</v>
      </c>
      <c r="O22" s="59">
        <f t="shared" si="4"/>
        <v>20166.191650431883</v>
      </c>
      <c r="P22" s="38">
        <f>SUM(D22:O22)</f>
        <v>1155751.9356880593</v>
      </c>
      <c r="Q22" s="53"/>
    </row>
    <row r="23" spans="1:17" x14ac:dyDescent="0.2">
      <c r="A23" s="49"/>
      <c r="C23" s="52"/>
      <c r="D23" s="48"/>
      <c r="E23" s="17"/>
      <c r="F23" s="17"/>
      <c r="G23" s="17"/>
      <c r="H23" s="17"/>
      <c r="I23" s="17"/>
      <c r="J23" s="17"/>
      <c r="K23" s="17"/>
      <c r="L23" s="17"/>
      <c r="M23" s="17"/>
      <c r="N23" s="17"/>
      <c r="O23" s="41"/>
    </row>
    <row r="24" spans="1:17" x14ac:dyDescent="0.2">
      <c r="A24" s="49"/>
      <c r="B24" s="34" t="s">
        <v>42</v>
      </c>
      <c r="C24" s="52"/>
      <c r="D24" s="48"/>
      <c r="E24" s="17"/>
      <c r="F24" s="17"/>
      <c r="G24" s="17"/>
      <c r="H24" s="17"/>
      <c r="I24" s="17"/>
      <c r="J24" s="17"/>
      <c r="K24" s="60"/>
      <c r="L24" s="17"/>
      <c r="M24" s="60"/>
      <c r="N24" s="17"/>
      <c r="O24" s="41"/>
    </row>
    <row r="25" spans="1:17" x14ac:dyDescent="0.2">
      <c r="A25" s="49"/>
      <c r="B25" s="51"/>
      <c r="C25" s="52"/>
      <c r="D25" s="40"/>
      <c r="E25" s="32"/>
      <c r="F25" s="32"/>
      <c r="G25" s="32"/>
      <c r="H25" s="32"/>
      <c r="I25" s="32"/>
      <c r="J25" s="32"/>
      <c r="K25" s="32"/>
      <c r="L25" s="32"/>
      <c r="M25" s="32"/>
      <c r="N25" s="32"/>
      <c r="O25" s="50"/>
      <c r="P25" s="38"/>
      <c r="Q25" s="53"/>
    </row>
    <row r="26" spans="1:17" ht="15" customHeight="1" x14ac:dyDescent="0.2">
      <c r="A26" s="49">
        <f>MAX($A$10:A25)+1</f>
        <v>8</v>
      </c>
      <c r="B26" s="61" t="s">
        <v>43</v>
      </c>
      <c r="C26" s="52" t="s">
        <v>44</v>
      </c>
      <c r="D26" s="40">
        <f t="shared" ref="D26:K26" si="5">2000000/12</f>
        <v>166666.66666666666</v>
      </c>
      <c r="E26" s="32">
        <f t="shared" si="5"/>
        <v>166666.66666666666</v>
      </c>
      <c r="F26" s="32">
        <f t="shared" si="5"/>
        <v>166666.66666666666</v>
      </c>
      <c r="G26" s="32">
        <f t="shared" si="5"/>
        <v>166666.66666666666</v>
      </c>
      <c r="H26" s="32">
        <f t="shared" si="5"/>
        <v>166666.66666666666</v>
      </c>
      <c r="I26" s="32">
        <f t="shared" si="5"/>
        <v>166666.66666666666</v>
      </c>
      <c r="J26" s="32">
        <f t="shared" si="5"/>
        <v>166666.66666666666</v>
      </c>
      <c r="K26" s="32">
        <f t="shared" si="5"/>
        <v>166666.66666666666</v>
      </c>
      <c r="L26" s="32">
        <f>2000000/12</f>
        <v>166666.66666666666</v>
      </c>
      <c r="M26" s="32">
        <f>2000000/12</f>
        <v>166666.66666666666</v>
      </c>
      <c r="N26" s="32">
        <f>2000000/12</f>
        <v>166666.66666666666</v>
      </c>
      <c r="O26" s="50">
        <f>2000000/12</f>
        <v>166666.66666666666</v>
      </c>
      <c r="P26" s="38">
        <f>SUM(D26:O26)</f>
        <v>2000000.0000000002</v>
      </c>
    </row>
    <row r="27" spans="1:17" ht="6.75" customHeight="1" x14ac:dyDescent="0.2">
      <c r="A27" s="49"/>
      <c r="B27" s="51"/>
      <c r="C27" s="52"/>
      <c r="D27" s="40"/>
      <c r="E27" s="32"/>
      <c r="F27" s="32"/>
      <c r="G27" s="32"/>
      <c r="H27" s="32"/>
      <c r="I27" s="32"/>
      <c r="J27" s="32"/>
      <c r="K27" s="32"/>
      <c r="L27" s="32"/>
      <c r="M27" s="32"/>
      <c r="N27" s="32"/>
      <c r="O27" s="50"/>
      <c r="P27" s="38"/>
    </row>
    <row r="28" spans="1:17" x14ac:dyDescent="0.2">
      <c r="A28" s="49">
        <f>MAX($A$12:A27)+1</f>
        <v>9</v>
      </c>
      <c r="B28" s="52" t="s">
        <v>45</v>
      </c>
      <c r="C28" s="52" t="s">
        <v>46</v>
      </c>
      <c r="D28" s="62">
        <v>79963.460000000006</v>
      </c>
      <c r="E28" s="63">
        <v>72131.61</v>
      </c>
      <c r="F28" s="63">
        <v>68858.880000000005</v>
      </c>
      <c r="G28" s="63">
        <v>67401.56</v>
      </c>
      <c r="H28" s="63">
        <v>69035.11</v>
      </c>
      <c r="I28" s="63">
        <v>38656.339999999997</v>
      </c>
      <c r="J28" s="63">
        <v>-58548.18</v>
      </c>
      <c r="K28" s="63">
        <v>-60448.51</v>
      </c>
      <c r="L28" s="63">
        <v>-54866.29</v>
      </c>
      <c r="M28" s="63">
        <v>-39380.410000000003</v>
      </c>
      <c r="N28" s="63">
        <v>-36535.870000000003</v>
      </c>
      <c r="O28" s="64">
        <v>-41708.82</v>
      </c>
      <c r="P28" s="38">
        <f>SUM(D28:O28)</f>
        <v>104558.87999999995</v>
      </c>
    </row>
    <row r="29" spans="1:17" x14ac:dyDescent="0.2">
      <c r="A29" s="49"/>
      <c r="B29" s="52"/>
      <c r="C29" s="52"/>
      <c r="D29" s="62"/>
      <c r="E29" s="63"/>
      <c r="F29" s="63"/>
      <c r="G29" s="63"/>
      <c r="H29" s="63"/>
      <c r="I29" s="63"/>
      <c r="J29" s="63"/>
      <c r="K29" s="63"/>
      <c r="L29" s="63"/>
      <c r="M29" s="63"/>
      <c r="N29" s="63"/>
      <c r="O29" s="64"/>
      <c r="P29" s="38"/>
    </row>
    <row r="30" spans="1:17" x14ac:dyDescent="0.2">
      <c r="A30" s="49">
        <f>MAX($A$10:A29)+1</f>
        <v>10</v>
      </c>
      <c r="B30" s="51" t="s">
        <v>47</v>
      </c>
      <c r="C30" s="52" t="s">
        <v>48</v>
      </c>
      <c r="D30" s="40">
        <f>D28+D26</f>
        <v>246630.12666666665</v>
      </c>
      <c r="E30" s="32">
        <f t="shared" ref="E30:O30" si="6">E28+E26</f>
        <v>238798.27666666667</v>
      </c>
      <c r="F30" s="32">
        <f t="shared" si="6"/>
        <v>235525.54666666666</v>
      </c>
      <c r="G30" s="32">
        <f t="shared" si="6"/>
        <v>234068.22666666665</v>
      </c>
      <c r="H30" s="32">
        <f t="shared" si="6"/>
        <v>235701.77666666667</v>
      </c>
      <c r="I30" s="32">
        <f t="shared" si="6"/>
        <v>205323.00666666665</v>
      </c>
      <c r="J30" s="32">
        <f t="shared" si="6"/>
        <v>108118.48666666666</v>
      </c>
      <c r="K30" s="32">
        <f t="shared" si="6"/>
        <v>106218.15666666665</v>
      </c>
      <c r="L30" s="32">
        <f t="shared" si="6"/>
        <v>111800.37666666665</v>
      </c>
      <c r="M30" s="32">
        <f t="shared" si="6"/>
        <v>127286.25666666665</v>
      </c>
      <c r="N30" s="32">
        <f t="shared" si="6"/>
        <v>130130.79666666666</v>
      </c>
      <c r="O30" s="50">
        <f t="shared" si="6"/>
        <v>124957.84666666665</v>
      </c>
      <c r="P30" s="38">
        <f>SUM(D30:O30)</f>
        <v>2104558.88</v>
      </c>
      <c r="Q30" s="53"/>
    </row>
    <row r="31" spans="1:17" x14ac:dyDescent="0.2">
      <c r="A31" s="49"/>
      <c r="B31" s="51"/>
      <c r="C31" s="65"/>
      <c r="D31" s="48"/>
      <c r="E31" s="17"/>
      <c r="F31" s="17"/>
      <c r="G31" s="17"/>
      <c r="H31" s="17"/>
      <c r="I31" s="17"/>
      <c r="J31" s="17"/>
      <c r="K31" s="17"/>
      <c r="L31" s="17"/>
      <c r="M31" s="17"/>
      <c r="N31" s="17"/>
      <c r="O31" s="41"/>
      <c r="P31" s="38"/>
    </row>
    <row r="32" spans="1:17" x14ac:dyDescent="0.2">
      <c r="A32" s="49">
        <f>MAX($A$10:A31)+1</f>
        <v>11</v>
      </c>
      <c r="B32" s="51" t="s">
        <v>49</v>
      </c>
      <c r="C32" s="52" t="s">
        <v>50</v>
      </c>
      <c r="D32" s="58">
        <f>D22-D30</f>
        <v>-124295.42499876437</v>
      </c>
      <c r="E32" s="33">
        <f t="shared" ref="E32:O32" si="7">E22-E30</f>
        <v>-264484.0293640467</v>
      </c>
      <c r="F32" s="33">
        <f t="shared" si="7"/>
        <v>2690.363153459999</v>
      </c>
      <c r="G32" s="33">
        <f t="shared" si="7"/>
        <v>-157483.45740376503</v>
      </c>
      <c r="H32" s="33">
        <f t="shared" si="7"/>
        <v>-235422.8773995387</v>
      </c>
      <c r="I32" s="33">
        <f t="shared" si="7"/>
        <v>-204965.66150348759</v>
      </c>
      <c r="J32" s="33">
        <f t="shared" si="7"/>
        <v>-14686.481751602347</v>
      </c>
      <c r="K32" s="33">
        <f t="shared" si="7"/>
        <v>-105862.05565023539</v>
      </c>
      <c r="L32" s="33">
        <f t="shared" si="7"/>
        <v>-111557.34723116607</v>
      </c>
      <c r="M32" s="33">
        <f t="shared" si="7"/>
        <v>243928.43656741228</v>
      </c>
      <c r="N32" s="33">
        <f t="shared" si="7"/>
        <v>128123.24628602821</v>
      </c>
      <c r="O32" s="59">
        <f t="shared" si="7"/>
        <v>-104791.65501623477</v>
      </c>
      <c r="P32" s="38">
        <f>SUM(D32:O32)</f>
        <v>-948806.94431194058</v>
      </c>
      <c r="Q32" s="53"/>
    </row>
    <row r="33" spans="1:18" x14ac:dyDescent="0.2">
      <c r="A33" s="49"/>
      <c r="B33" s="51"/>
      <c r="C33" s="52"/>
      <c r="D33" s="48"/>
      <c r="E33" s="17"/>
      <c r="F33" s="17"/>
      <c r="G33" s="17"/>
      <c r="H33" s="17"/>
      <c r="I33" s="17"/>
      <c r="J33" s="17"/>
      <c r="K33" s="17"/>
      <c r="L33" s="17"/>
      <c r="M33" s="17"/>
      <c r="N33" s="17"/>
      <c r="O33" s="41"/>
    </row>
    <row r="34" spans="1:18" x14ac:dyDescent="0.2">
      <c r="A34" s="49"/>
      <c r="B34" s="51"/>
      <c r="C34" s="52"/>
      <c r="D34" s="48"/>
      <c r="E34" s="17"/>
      <c r="F34" s="17"/>
      <c r="G34" s="17"/>
      <c r="H34" s="17"/>
      <c r="I34" s="17"/>
      <c r="J34" s="17"/>
      <c r="K34" s="17"/>
      <c r="L34" s="17"/>
      <c r="M34" s="17"/>
      <c r="N34" s="17"/>
      <c r="O34" s="41"/>
    </row>
    <row r="35" spans="1:18" x14ac:dyDescent="0.2">
      <c r="A35" s="49">
        <f>MAX($A$10:A34)+1</f>
        <v>12</v>
      </c>
      <c r="B35" s="51" t="str">
        <f>"CY "&amp;YEAR(A3)-1&amp;" Deferral Balance"</f>
        <v>CY 2018 Deferral Balance</v>
      </c>
      <c r="C35" s="52" t="s">
        <v>51</v>
      </c>
      <c r="D35" s="66">
        <v>-62299.258648003364</v>
      </c>
      <c r="E35" s="33">
        <f t="shared" ref="E35:O35" si="8">D38</f>
        <v>-187029.21098769069</v>
      </c>
      <c r="F35" s="33">
        <f t="shared" si="8"/>
        <v>-452628.02904803411</v>
      </c>
      <c r="G35" s="33">
        <f t="shared" si="8"/>
        <v>-451513.39517032809</v>
      </c>
      <c r="H35" s="33">
        <f t="shared" si="8"/>
        <v>-610804.13878795761</v>
      </c>
      <c r="I35" s="33">
        <f t="shared" si="8"/>
        <v>-848710.04011410021</v>
      </c>
      <c r="J35" s="33">
        <f t="shared" si="8"/>
        <v>-1056917.6839857888</v>
      </c>
      <c r="K35" s="33">
        <f t="shared" si="8"/>
        <v>-1075231.5217229612</v>
      </c>
      <c r="L35" s="33">
        <f t="shared" si="8"/>
        <v>-1184938.7313962397</v>
      </c>
      <c r="M35" s="33">
        <f t="shared" si="8"/>
        <v>-1300724.8571161544</v>
      </c>
      <c r="N35" s="33">
        <f t="shared" si="8"/>
        <v>-1060814.0297260962</v>
      </c>
      <c r="O35" s="59">
        <f t="shared" si="8"/>
        <v>-936088.0478925053</v>
      </c>
    </row>
    <row r="36" spans="1:18" x14ac:dyDescent="0.2">
      <c r="A36" s="49">
        <f>MAX($A$10:A35)+1</f>
        <v>13</v>
      </c>
      <c r="B36" s="51" t="s">
        <v>52</v>
      </c>
      <c r="C36" s="52" t="s">
        <v>53</v>
      </c>
      <c r="D36" s="58">
        <f>D32</f>
        <v>-124295.42499876437</v>
      </c>
      <c r="E36" s="33">
        <f t="shared" ref="E36:O36" si="9">E32</f>
        <v>-264484.0293640467</v>
      </c>
      <c r="F36" s="33">
        <f t="shared" si="9"/>
        <v>2690.363153459999</v>
      </c>
      <c r="G36" s="33">
        <f t="shared" si="9"/>
        <v>-157483.45740376503</v>
      </c>
      <c r="H36" s="33">
        <f t="shared" si="9"/>
        <v>-235422.8773995387</v>
      </c>
      <c r="I36" s="33">
        <f t="shared" si="9"/>
        <v>-204965.66150348759</v>
      </c>
      <c r="J36" s="33">
        <f t="shared" si="9"/>
        <v>-14686.481751602347</v>
      </c>
      <c r="K36" s="33">
        <f t="shared" si="9"/>
        <v>-105862.05565023539</v>
      </c>
      <c r="L36" s="33">
        <f t="shared" si="9"/>
        <v>-111557.34723116607</v>
      </c>
      <c r="M36" s="33">
        <f t="shared" si="9"/>
        <v>243928.43656741228</v>
      </c>
      <c r="N36" s="33">
        <f t="shared" si="9"/>
        <v>128123.24628602821</v>
      </c>
      <c r="O36" s="59">
        <f t="shared" si="9"/>
        <v>-104791.65501623477</v>
      </c>
      <c r="P36" s="38">
        <f>SUM(D36:O36)</f>
        <v>-948806.94431194058</v>
      </c>
      <c r="Q36" s="53"/>
    </row>
    <row r="37" spans="1:18" x14ac:dyDescent="0.2">
      <c r="A37" s="49">
        <f>MAX($A$10:A36)+1</f>
        <v>14</v>
      </c>
      <c r="B37" s="51" t="s">
        <v>54</v>
      </c>
      <c r="C37" s="52" t="s">
        <v>55</v>
      </c>
      <c r="D37" s="40">
        <f>(D35+0.5*D36)*$D$55/12</f>
        <v>-434.52734092295447</v>
      </c>
      <c r="E37" s="32">
        <f>(E35+0.5*E36)*$D$55/12</f>
        <v>-1114.7886962967516</v>
      </c>
      <c r="F37" s="32">
        <f>(F35+0.5*F36)*$D$55/12</f>
        <v>-1575.7292757539701</v>
      </c>
      <c r="G37" s="32">
        <f t="shared" ref="G37:O37" si="10">(G35+0.5*G36)*$D$56/12</f>
        <v>-1807.2862138644512</v>
      </c>
      <c r="H37" s="32">
        <f t="shared" si="10"/>
        <v>-2483.0239266040026</v>
      </c>
      <c r="I37" s="32">
        <f t="shared" si="10"/>
        <v>-3241.9823682010847</v>
      </c>
      <c r="J37" s="32">
        <f t="shared" si="10"/>
        <v>-3627.3559855699186</v>
      </c>
      <c r="K37" s="32">
        <f t="shared" si="10"/>
        <v>-3845.1540230430351</v>
      </c>
      <c r="L37" s="32">
        <f t="shared" si="10"/>
        <v>-4228.7784887486287</v>
      </c>
      <c r="M37" s="32">
        <f t="shared" si="10"/>
        <v>-4017.6091773539279</v>
      </c>
      <c r="N37" s="32">
        <f t="shared" si="10"/>
        <v>-3397.2644524373377</v>
      </c>
      <c r="O37" s="50">
        <f t="shared" si="10"/>
        <v>-3369.0825419904559</v>
      </c>
      <c r="P37" s="38">
        <f>SUM(D37:O37)</f>
        <v>-33142.582490786517</v>
      </c>
      <c r="Q37" s="53"/>
    </row>
    <row r="38" spans="1:18" x14ac:dyDescent="0.2">
      <c r="A38" s="49">
        <f>MAX($A$10:A37)+1</f>
        <v>15</v>
      </c>
      <c r="B38" s="67" t="str">
        <f>"Ending Deferral Balance - "&amp;YEAR(A3)&amp;" RBA"</f>
        <v>Ending Deferral Balance - 2019 RBA</v>
      </c>
      <c r="C38" s="52" t="s">
        <v>56</v>
      </c>
      <c r="D38" s="68">
        <f>D35+D36+D37</f>
        <v>-187029.21098769069</v>
      </c>
      <c r="E38" s="69">
        <f>E35+E36+E37</f>
        <v>-452628.02904803411</v>
      </c>
      <c r="F38" s="69">
        <f t="shared" ref="F38:O38" si="11">F35+F36+F37</f>
        <v>-451513.39517032809</v>
      </c>
      <c r="G38" s="69">
        <f t="shared" si="11"/>
        <v>-610804.13878795761</v>
      </c>
      <c r="H38" s="69">
        <f t="shared" si="11"/>
        <v>-848710.04011410021</v>
      </c>
      <c r="I38" s="69">
        <f t="shared" si="11"/>
        <v>-1056917.6839857888</v>
      </c>
      <c r="J38" s="69">
        <f t="shared" si="11"/>
        <v>-1075231.5217229612</v>
      </c>
      <c r="K38" s="69">
        <f t="shared" si="11"/>
        <v>-1184938.7313962397</v>
      </c>
      <c r="L38" s="69">
        <f t="shared" si="11"/>
        <v>-1300724.8571161544</v>
      </c>
      <c r="M38" s="69">
        <f t="shared" si="11"/>
        <v>-1060814.0297260962</v>
      </c>
      <c r="N38" s="69">
        <f t="shared" si="11"/>
        <v>-936088.0478925053</v>
      </c>
      <c r="O38" s="70">
        <f t="shared" si="11"/>
        <v>-1044248.7854507305</v>
      </c>
      <c r="P38" s="38"/>
      <c r="Q38" s="53"/>
      <c r="R38" s="38"/>
    </row>
    <row r="39" spans="1:18" x14ac:dyDescent="0.2">
      <c r="A39" s="49"/>
      <c r="C39" s="52"/>
      <c r="K39" s="38"/>
      <c r="L39" s="38"/>
      <c r="M39" s="38"/>
      <c r="N39" s="38"/>
      <c r="O39" s="38"/>
      <c r="P39" s="38"/>
      <c r="R39" s="38"/>
    </row>
    <row r="40" spans="1:18" x14ac:dyDescent="0.2">
      <c r="A40" s="49"/>
      <c r="C40" s="52"/>
      <c r="D40" s="36"/>
      <c r="E40" s="36"/>
      <c r="F40" s="36"/>
      <c r="G40" s="36"/>
      <c r="H40" s="36"/>
      <c r="I40" s="36"/>
      <c r="J40" s="36"/>
      <c r="L40" s="38"/>
      <c r="M40" s="38"/>
      <c r="N40" s="38"/>
      <c r="O40" s="38"/>
      <c r="R40" s="38"/>
    </row>
    <row r="41" spans="1:18" x14ac:dyDescent="0.2">
      <c r="A41" s="49"/>
      <c r="C41" s="52"/>
      <c r="E41" s="38"/>
      <c r="F41" s="38"/>
      <c r="G41" s="38"/>
      <c r="H41" s="38"/>
      <c r="I41" s="38"/>
      <c r="J41" s="38"/>
      <c r="K41" s="38"/>
      <c r="L41" s="38"/>
      <c r="M41" s="38"/>
      <c r="Q41" s="71"/>
      <c r="R41" s="53"/>
    </row>
    <row r="42" spans="1:18" ht="15" x14ac:dyDescent="0.25">
      <c r="A42" s="72" t="s">
        <v>57</v>
      </c>
      <c r="D42"/>
      <c r="E42"/>
      <c r="F42"/>
      <c r="G42"/>
      <c r="H42"/>
      <c r="I42"/>
      <c r="J42" s="73"/>
      <c r="K42" s="74"/>
      <c r="L42" s="74"/>
      <c r="M42" s="74"/>
      <c r="N42" s="74"/>
      <c r="O42" s="74"/>
      <c r="P42" s="17"/>
    </row>
    <row r="43" spans="1:18" x14ac:dyDescent="0.2">
      <c r="B43" s="34"/>
      <c r="C43" s="34"/>
      <c r="D43" s="32"/>
      <c r="E43" s="32"/>
      <c r="F43" s="32"/>
      <c r="G43" s="32"/>
      <c r="H43" s="32"/>
      <c r="I43" s="32"/>
      <c r="J43" s="32"/>
      <c r="K43" s="32"/>
      <c r="L43" s="32"/>
      <c r="M43" s="17"/>
      <c r="N43" s="17"/>
      <c r="O43" s="17"/>
      <c r="P43" s="17"/>
    </row>
    <row r="44" spans="1:18" x14ac:dyDescent="0.2">
      <c r="A44" s="42" t="s">
        <v>11</v>
      </c>
      <c r="B44" s="42"/>
      <c r="C44" s="43" t="s">
        <v>12</v>
      </c>
      <c r="D44" s="45">
        <f>EDATE(O9,1)</f>
        <v>43466</v>
      </c>
      <c r="E44" s="45">
        <f>EDATE(D44,1)</f>
        <v>43497</v>
      </c>
      <c r="F44" s="45">
        <f t="shared" ref="F44:I44" si="12">EDATE(E44,1)</f>
        <v>43525</v>
      </c>
      <c r="G44" s="45">
        <f t="shared" si="12"/>
        <v>43556</v>
      </c>
      <c r="H44" s="45">
        <f t="shared" si="12"/>
        <v>43586</v>
      </c>
      <c r="I44" s="45">
        <f t="shared" si="12"/>
        <v>43617</v>
      </c>
      <c r="J44" s="47" t="s">
        <v>29</v>
      </c>
      <c r="K44" s="75"/>
      <c r="L44" s="17"/>
      <c r="M44" s="17"/>
      <c r="N44" s="17"/>
      <c r="O44" s="17"/>
      <c r="P44" s="17"/>
      <c r="Q44" s="18"/>
    </row>
    <row r="45" spans="1:18" x14ac:dyDescent="0.2">
      <c r="D45" s="17"/>
      <c r="E45" s="17"/>
      <c r="F45" s="17"/>
      <c r="G45" s="17"/>
      <c r="H45" s="17"/>
      <c r="I45" s="17"/>
      <c r="J45" s="17"/>
      <c r="K45" s="36"/>
      <c r="Q45" s="18"/>
    </row>
    <row r="46" spans="1:18" x14ac:dyDescent="0.2">
      <c r="A46" s="49">
        <f>MAX($A$12:A45)+1</f>
        <v>16</v>
      </c>
      <c r="B46" s="52" t="s">
        <v>45</v>
      </c>
      <c r="C46" s="52" t="s">
        <v>46</v>
      </c>
      <c r="D46" s="63">
        <v>-40724.39</v>
      </c>
      <c r="E46" s="63">
        <v>-41000</v>
      </c>
      <c r="F46" s="63">
        <f>E46</f>
        <v>-41000</v>
      </c>
      <c r="G46" s="63">
        <f t="shared" ref="G46:H46" si="13">F46</f>
        <v>-41000</v>
      </c>
      <c r="H46" s="63">
        <f t="shared" si="13"/>
        <v>-41000</v>
      </c>
      <c r="I46" s="63">
        <f>H46/2</f>
        <v>-20500</v>
      </c>
      <c r="J46" s="33">
        <f>SUM(D46:I46)</f>
        <v>-225224.39</v>
      </c>
      <c r="K46" s="36"/>
      <c r="Q46" s="18"/>
    </row>
    <row r="47" spans="1:18" x14ac:dyDescent="0.2">
      <c r="A47" s="49"/>
      <c r="B47" s="52"/>
      <c r="C47" s="52"/>
      <c r="D47" s="63"/>
      <c r="E47" s="63"/>
      <c r="F47" s="63"/>
      <c r="G47" s="63"/>
      <c r="H47" s="63"/>
      <c r="I47" s="63"/>
      <c r="J47" s="33"/>
      <c r="K47" s="36"/>
      <c r="Q47" s="18"/>
    </row>
    <row r="48" spans="1:18" x14ac:dyDescent="0.2">
      <c r="A48" s="49">
        <f>MAX($A$13:A46)+1</f>
        <v>17</v>
      </c>
      <c r="B48" s="52" t="s">
        <v>58</v>
      </c>
      <c r="C48" s="52" t="s">
        <v>59</v>
      </c>
      <c r="D48" s="76">
        <f>O38</f>
        <v>-1044248.7854507305</v>
      </c>
      <c r="E48" s="76">
        <f>D51</f>
        <v>-1007014.1422465167</v>
      </c>
      <c r="F48" s="76">
        <f t="shared" ref="F48:I48" si="14">E51</f>
        <v>-969376.51128134015</v>
      </c>
      <c r="G48" s="76">
        <f t="shared" si="14"/>
        <v>-931610.59872395743</v>
      </c>
      <c r="H48" s="76">
        <f t="shared" si="14"/>
        <v>-893928.55982097716</v>
      </c>
      <c r="I48" s="76">
        <f t="shared" si="14"/>
        <v>-856109.29549299192</v>
      </c>
      <c r="J48" s="17"/>
      <c r="K48" s="36"/>
      <c r="Q48" s="18"/>
    </row>
    <row r="49" spans="1:17" x14ac:dyDescent="0.2">
      <c r="A49" s="49">
        <f>MAX($A$12:A48)+1</f>
        <v>18</v>
      </c>
      <c r="B49" s="54" t="s">
        <v>60</v>
      </c>
      <c r="C49" s="52" t="s">
        <v>61</v>
      </c>
      <c r="D49" s="76">
        <f>-D46</f>
        <v>40724.39</v>
      </c>
      <c r="E49" s="76">
        <f>-E46</f>
        <v>41000</v>
      </c>
      <c r="F49" s="76">
        <f t="shared" ref="F49:I49" si="15">-F46</f>
        <v>41000</v>
      </c>
      <c r="G49" s="76">
        <f t="shared" si="15"/>
        <v>41000</v>
      </c>
      <c r="H49" s="76">
        <f t="shared" si="15"/>
        <v>41000</v>
      </c>
      <c r="I49" s="76">
        <f t="shared" si="15"/>
        <v>20500</v>
      </c>
      <c r="J49" s="33">
        <f>SUM(D49:I49)</f>
        <v>225224.39</v>
      </c>
      <c r="K49" s="36"/>
      <c r="Q49" s="18"/>
    </row>
    <row r="50" spans="1:17" ht="13.5" thickBot="1" x14ac:dyDescent="0.25">
      <c r="A50" s="49">
        <f>MAX($A$12:A49)+1</f>
        <v>19</v>
      </c>
      <c r="B50" s="54" t="s">
        <v>54</v>
      </c>
      <c r="C50" s="52" t="s">
        <v>62</v>
      </c>
      <c r="D50" s="33">
        <f>(D48+0.5*D49)*$D$56/12</f>
        <v>-3489.7467957862395</v>
      </c>
      <c r="E50" s="33">
        <f>(E48+0.5*E49)*$D$56/12</f>
        <v>-3362.3690348235446</v>
      </c>
      <c r="F50" s="33">
        <f>(F48+0.5*F49)*$D$56/12</f>
        <v>-3234.087442617234</v>
      </c>
      <c r="G50" s="33">
        <f>(G48+0.5*G49)*$D$57/12</f>
        <v>-3317.961097019745</v>
      </c>
      <c r="H50" s="33">
        <f>(H48+0.5*H49)*$D$57/12</f>
        <v>-3180.7356720147254</v>
      </c>
      <c r="I50" s="33">
        <v>0</v>
      </c>
      <c r="J50" s="33">
        <f>SUM(D50:I50)</f>
        <v>-16584.900042261488</v>
      </c>
      <c r="K50" s="36"/>
      <c r="Q50" s="18"/>
    </row>
    <row r="51" spans="1:17" ht="13.5" thickBot="1" x14ac:dyDescent="0.25">
      <c r="A51" s="49">
        <f>MAX($A$12:A50)+1</f>
        <v>20</v>
      </c>
      <c r="B51" s="77" t="s">
        <v>63</v>
      </c>
      <c r="C51" s="52" t="s">
        <v>64</v>
      </c>
      <c r="D51" s="33">
        <f>D48+D49+D50</f>
        <v>-1007014.1422465167</v>
      </c>
      <c r="E51" s="33">
        <f t="shared" ref="E51:H51" si="16">E48+E49+E50</f>
        <v>-969376.51128134015</v>
      </c>
      <c r="F51" s="33">
        <f t="shared" si="16"/>
        <v>-931610.59872395743</v>
      </c>
      <c r="G51" s="33">
        <f t="shared" si="16"/>
        <v>-893928.55982097716</v>
      </c>
      <c r="H51" s="33">
        <f t="shared" si="16"/>
        <v>-856109.29549299192</v>
      </c>
      <c r="I51" s="78">
        <f>I48+I49</f>
        <v>-835609.29549299192</v>
      </c>
      <c r="J51" s="33"/>
      <c r="K51" s="36"/>
      <c r="Q51" s="18"/>
    </row>
    <row r="52" spans="1:17" x14ac:dyDescent="0.2">
      <c r="A52" s="49"/>
      <c r="D52" s="17"/>
      <c r="E52" s="17"/>
      <c r="F52" s="17"/>
      <c r="G52" s="17"/>
      <c r="H52" s="17"/>
      <c r="I52" s="17"/>
      <c r="J52" s="17"/>
      <c r="K52" s="36"/>
      <c r="Q52" s="18"/>
    </row>
    <row r="53" spans="1:17" x14ac:dyDescent="0.2">
      <c r="A53" s="49"/>
      <c r="D53" s="79"/>
      <c r="E53" s="17"/>
      <c r="F53" s="17"/>
      <c r="G53" s="17"/>
      <c r="H53" s="17"/>
      <c r="I53" s="17"/>
      <c r="J53" s="17"/>
      <c r="K53" s="36"/>
      <c r="Q53" s="18"/>
    </row>
    <row r="54" spans="1:17" s="22" customFormat="1" x14ac:dyDescent="0.2">
      <c r="A54" s="80" t="s">
        <v>65</v>
      </c>
      <c r="B54" s="81"/>
      <c r="C54" s="82"/>
      <c r="D54" s="81"/>
      <c r="E54" s="81"/>
      <c r="F54" s="81"/>
      <c r="G54" s="81"/>
      <c r="H54" s="81"/>
      <c r="I54" s="81"/>
      <c r="J54" s="16"/>
      <c r="K54" s="83"/>
    </row>
    <row r="55" spans="1:17" s="22" customFormat="1" x14ac:dyDescent="0.2">
      <c r="A55" s="49">
        <f>MAX($A$12:A53)+1</f>
        <v>21</v>
      </c>
      <c r="B55" s="35" t="s">
        <v>66</v>
      </c>
      <c r="C55" s="84" t="s">
        <v>67</v>
      </c>
      <c r="D55" s="85">
        <v>4.19E-2</v>
      </c>
      <c r="E55" s="86"/>
      <c r="F55" s="86"/>
      <c r="G55" s="86"/>
      <c r="H55" s="86"/>
      <c r="I55" s="86"/>
      <c r="J55" s="16"/>
      <c r="K55" s="83"/>
    </row>
    <row r="56" spans="1:17" s="22" customFormat="1" x14ac:dyDescent="0.2">
      <c r="A56" s="49">
        <f>MAX($A$12:A55)+1</f>
        <v>22</v>
      </c>
      <c r="B56" s="35" t="s">
        <v>68</v>
      </c>
      <c r="C56" s="35" t="s">
        <v>69</v>
      </c>
      <c r="D56" s="85">
        <v>4.0899999999999999E-2</v>
      </c>
      <c r="E56" s="35"/>
      <c r="F56" s="35"/>
      <c r="G56" s="86"/>
      <c r="H56" s="86"/>
      <c r="I56" s="86"/>
      <c r="J56" s="35"/>
      <c r="K56" s="87"/>
      <c r="L56" s="87"/>
      <c r="M56" s="87"/>
      <c r="N56" s="87"/>
      <c r="O56" s="87"/>
      <c r="Q56" s="83"/>
    </row>
    <row r="57" spans="1:17" s="22" customFormat="1" x14ac:dyDescent="0.2">
      <c r="A57" s="49">
        <f>MAX($A$12:A56)+1</f>
        <v>23</v>
      </c>
      <c r="B57" s="35" t="s">
        <v>70</v>
      </c>
      <c r="C57" s="35" t="s">
        <v>71</v>
      </c>
      <c r="D57" s="85">
        <v>4.3700000000000003E-2</v>
      </c>
      <c r="E57" s="35"/>
      <c r="F57" s="35"/>
      <c r="G57" s="86"/>
      <c r="H57" s="86"/>
      <c r="I57" s="86"/>
      <c r="J57" s="35"/>
      <c r="K57" s="87"/>
      <c r="L57" s="87"/>
      <c r="M57" s="87"/>
      <c r="N57" s="87"/>
      <c r="O57" s="87"/>
      <c r="Q57" s="83"/>
    </row>
    <row r="58" spans="1:17" s="22" customFormat="1" x14ac:dyDescent="0.2">
      <c r="A58" s="49"/>
      <c r="B58" s="34"/>
      <c r="C58" s="34"/>
      <c r="D58" s="87"/>
      <c r="E58" s="87"/>
      <c r="F58" s="87"/>
      <c r="G58" s="87"/>
      <c r="H58" s="87"/>
      <c r="I58" s="87"/>
      <c r="J58" s="87"/>
      <c r="K58" s="87"/>
      <c r="L58" s="87"/>
      <c r="M58" s="87"/>
      <c r="N58" s="87"/>
      <c r="O58" s="87"/>
      <c r="Q58" s="83"/>
    </row>
    <row r="59" spans="1:17" x14ac:dyDescent="0.2">
      <c r="A59" s="49"/>
      <c r="D59" s="88"/>
      <c r="O59" s="38"/>
    </row>
    <row r="60" spans="1:17" ht="12.75" customHeight="1" x14ac:dyDescent="0.2">
      <c r="A60" s="235" t="s">
        <v>122</v>
      </c>
      <c r="B60" s="235"/>
      <c r="C60" s="235"/>
      <c r="D60" s="235"/>
      <c r="E60" s="235"/>
      <c r="F60" s="235"/>
      <c r="G60" s="235"/>
      <c r="H60" s="235"/>
      <c r="I60" s="235"/>
      <c r="J60" s="235"/>
      <c r="K60" s="235"/>
      <c r="L60" s="235"/>
      <c r="M60" s="235"/>
      <c r="N60" s="235"/>
      <c r="O60" s="235"/>
      <c r="P60" s="235"/>
    </row>
    <row r="61" spans="1:17" x14ac:dyDescent="0.2">
      <c r="A61" s="235"/>
      <c r="B61" s="235"/>
      <c r="C61" s="235"/>
      <c r="D61" s="235"/>
      <c r="E61" s="235"/>
      <c r="F61" s="235"/>
      <c r="G61" s="235"/>
      <c r="H61" s="235"/>
      <c r="I61" s="235"/>
      <c r="J61" s="235"/>
      <c r="K61" s="235"/>
      <c r="L61" s="235"/>
      <c r="M61" s="235"/>
      <c r="N61" s="235"/>
      <c r="O61" s="235"/>
      <c r="P61" s="235"/>
    </row>
    <row r="62" spans="1:17" x14ac:dyDescent="0.2">
      <c r="A62" s="235"/>
      <c r="B62" s="235"/>
      <c r="C62" s="235"/>
      <c r="D62" s="235"/>
      <c r="E62" s="235"/>
      <c r="F62" s="235"/>
      <c r="G62" s="235"/>
      <c r="H62" s="235"/>
      <c r="I62" s="235"/>
      <c r="J62" s="235"/>
      <c r="K62" s="235"/>
      <c r="L62" s="235"/>
      <c r="M62" s="235"/>
      <c r="N62" s="235"/>
      <c r="O62" s="235"/>
      <c r="P62" s="235"/>
    </row>
    <row r="63" spans="1:17" x14ac:dyDescent="0.2">
      <c r="A63" s="235"/>
      <c r="B63" s="235"/>
      <c r="C63" s="235"/>
      <c r="D63" s="235"/>
      <c r="E63" s="235"/>
      <c r="F63" s="235"/>
      <c r="G63" s="235"/>
      <c r="H63" s="235"/>
      <c r="I63" s="235"/>
      <c r="J63" s="235"/>
      <c r="K63" s="235"/>
      <c r="L63" s="235"/>
      <c r="M63" s="235"/>
      <c r="N63" s="235"/>
      <c r="O63" s="235"/>
      <c r="P63" s="235"/>
    </row>
    <row r="64" spans="1:17" x14ac:dyDescent="0.2">
      <c r="A64" s="235"/>
      <c r="B64" s="235"/>
      <c r="C64" s="235"/>
      <c r="D64" s="235"/>
      <c r="E64" s="235"/>
      <c r="F64" s="235"/>
      <c r="G64" s="235"/>
      <c r="H64" s="235"/>
      <c r="I64" s="235"/>
      <c r="J64" s="235"/>
      <c r="K64" s="235"/>
      <c r="L64" s="235"/>
      <c r="M64" s="235"/>
      <c r="N64" s="235"/>
      <c r="O64" s="235"/>
      <c r="P64" s="235"/>
    </row>
    <row r="65" spans="1:16" x14ac:dyDescent="0.2">
      <c r="A65" s="235"/>
      <c r="B65" s="235"/>
      <c r="C65" s="235"/>
      <c r="D65" s="235"/>
      <c r="E65" s="235"/>
      <c r="F65" s="235"/>
      <c r="G65" s="235"/>
      <c r="H65" s="235"/>
      <c r="I65" s="235"/>
      <c r="J65" s="235"/>
      <c r="K65" s="235"/>
      <c r="L65" s="235"/>
      <c r="M65" s="235"/>
      <c r="N65" s="235"/>
      <c r="O65" s="235"/>
      <c r="P65" s="235"/>
    </row>
    <row r="66" spans="1:16" x14ac:dyDescent="0.2">
      <c r="A66" s="235"/>
      <c r="B66" s="235"/>
      <c r="C66" s="235"/>
      <c r="D66" s="235"/>
      <c r="E66" s="235"/>
      <c r="F66" s="235"/>
      <c r="G66" s="235"/>
      <c r="H66" s="235"/>
      <c r="I66" s="235"/>
      <c r="J66" s="235"/>
      <c r="K66" s="235"/>
      <c r="L66" s="235"/>
      <c r="M66" s="235"/>
      <c r="N66" s="235"/>
      <c r="O66" s="235"/>
      <c r="P66" s="235"/>
    </row>
    <row r="67" spans="1:16" x14ac:dyDescent="0.2">
      <c r="A67" s="235"/>
      <c r="B67" s="235"/>
      <c r="C67" s="235"/>
      <c r="D67" s="235"/>
      <c r="E67" s="235"/>
      <c r="F67" s="235"/>
      <c r="G67" s="235"/>
      <c r="H67" s="235"/>
      <c r="I67" s="235"/>
      <c r="J67" s="235"/>
      <c r="K67" s="235"/>
      <c r="L67" s="235"/>
      <c r="M67" s="235"/>
      <c r="N67" s="235"/>
      <c r="O67" s="235"/>
      <c r="P67" s="235"/>
    </row>
    <row r="68" spans="1:16" x14ac:dyDescent="0.2">
      <c r="A68" s="235"/>
      <c r="B68" s="235"/>
      <c r="C68" s="235"/>
      <c r="D68" s="235"/>
      <c r="E68" s="235"/>
      <c r="F68" s="235"/>
      <c r="G68" s="235"/>
      <c r="H68" s="235"/>
      <c r="I68" s="235"/>
      <c r="J68" s="235"/>
      <c r="K68" s="235"/>
      <c r="L68" s="235"/>
      <c r="M68" s="235"/>
      <c r="N68" s="235"/>
      <c r="O68" s="235"/>
      <c r="P68" s="235"/>
    </row>
    <row r="69" spans="1:16" x14ac:dyDescent="0.2">
      <c r="A69" s="235"/>
      <c r="B69" s="235"/>
      <c r="C69" s="235"/>
      <c r="D69" s="235"/>
      <c r="E69" s="235"/>
      <c r="F69" s="235"/>
      <c r="G69" s="235"/>
      <c r="H69" s="235"/>
      <c r="I69" s="235"/>
      <c r="J69" s="235"/>
      <c r="K69" s="235"/>
      <c r="L69" s="235"/>
      <c r="M69" s="235"/>
      <c r="N69" s="235"/>
      <c r="O69" s="235"/>
      <c r="P69" s="235"/>
    </row>
    <row r="70" spans="1:16" x14ac:dyDescent="0.2">
      <c r="A70" s="235"/>
      <c r="B70" s="235"/>
      <c r="C70" s="235"/>
      <c r="D70" s="235"/>
      <c r="E70" s="235"/>
      <c r="F70" s="235"/>
      <c r="G70" s="235"/>
      <c r="H70" s="235"/>
      <c r="I70" s="235"/>
      <c r="J70" s="235"/>
      <c r="K70" s="235"/>
      <c r="L70" s="235"/>
      <c r="M70" s="235"/>
      <c r="N70" s="235"/>
      <c r="O70" s="235"/>
      <c r="P70" s="235"/>
    </row>
    <row r="71" spans="1:16" x14ac:dyDescent="0.2">
      <c r="A71" s="235"/>
      <c r="B71" s="235"/>
      <c r="C71" s="235"/>
      <c r="D71" s="235"/>
      <c r="E71" s="235"/>
      <c r="F71" s="235"/>
      <c r="G71" s="235"/>
      <c r="H71" s="235"/>
      <c r="I71" s="235"/>
      <c r="J71" s="235"/>
      <c r="K71" s="235"/>
      <c r="L71" s="235"/>
      <c r="M71" s="235"/>
      <c r="N71" s="235"/>
      <c r="O71" s="235"/>
      <c r="P71" s="235"/>
    </row>
    <row r="72" spans="1:16" x14ac:dyDescent="0.2">
      <c r="A72" s="235"/>
      <c r="B72" s="235"/>
      <c r="C72" s="235"/>
      <c r="D72" s="235"/>
      <c r="E72" s="235"/>
      <c r="F72" s="235"/>
      <c r="G72" s="235"/>
      <c r="H72" s="235"/>
      <c r="I72" s="235"/>
      <c r="J72" s="235"/>
      <c r="K72" s="235"/>
      <c r="L72" s="235"/>
      <c r="M72" s="235"/>
      <c r="N72" s="235"/>
      <c r="O72" s="235"/>
      <c r="P72" s="235"/>
    </row>
    <row r="73" spans="1:16" x14ac:dyDescent="0.2">
      <c r="A73" s="235"/>
      <c r="B73" s="235"/>
      <c r="C73" s="235"/>
      <c r="D73" s="235"/>
      <c r="E73" s="235"/>
      <c r="F73" s="235"/>
      <c r="G73" s="235"/>
      <c r="H73" s="235"/>
      <c r="I73" s="235"/>
      <c r="J73" s="235"/>
      <c r="K73" s="235"/>
      <c r="L73" s="235"/>
      <c r="M73" s="235"/>
      <c r="N73" s="235"/>
      <c r="O73" s="235"/>
      <c r="P73" s="235"/>
    </row>
    <row r="74" spans="1:16" x14ac:dyDescent="0.2">
      <c r="A74" s="235"/>
      <c r="B74" s="235"/>
      <c r="C74" s="235"/>
      <c r="D74" s="235"/>
      <c r="E74" s="235"/>
      <c r="F74" s="235"/>
      <c r="G74" s="235"/>
      <c r="H74" s="235"/>
      <c r="I74" s="235"/>
      <c r="J74" s="235"/>
      <c r="K74" s="235"/>
      <c r="L74" s="235"/>
      <c r="M74" s="235"/>
      <c r="N74" s="235"/>
      <c r="O74" s="235"/>
      <c r="P74" s="235"/>
    </row>
    <row r="75" spans="1:16" x14ac:dyDescent="0.2">
      <c r="A75" s="235"/>
      <c r="B75" s="235"/>
      <c r="C75" s="235"/>
      <c r="D75" s="235"/>
      <c r="E75" s="235"/>
      <c r="F75" s="235"/>
      <c r="G75" s="235"/>
      <c r="H75" s="235"/>
      <c r="I75" s="235"/>
      <c r="J75" s="235"/>
      <c r="K75" s="235"/>
      <c r="L75" s="235"/>
      <c r="M75" s="235"/>
      <c r="N75" s="235"/>
      <c r="O75" s="235"/>
      <c r="P75" s="235"/>
    </row>
  </sheetData>
  <mergeCells count="2">
    <mergeCell ref="D7:O7"/>
    <mergeCell ref="A60:P75"/>
  </mergeCells>
  <pageMargins left="0.7" right="0.7" top="0.75" bottom="0.75" header="0.3" footer="0.3"/>
  <pageSetup scale="40" orientation="landscape" r:id="rId1"/>
  <headerFooter>
    <oddFooter>&amp;C&amp;"Arial,Regular"&amp;10RMP__(THS-2)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15"/>
  <sheetViews>
    <sheetView topLeftCell="A10" workbookViewId="0"/>
  </sheetViews>
  <sheetFormatPr defaultColWidth="12.5703125" defaultRowHeight="12.75" x14ac:dyDescent="0.2"/>
  <cols>
    <col min="1" max="1" width="5.5703125" style="90" customWidth="1"/>
    <col min="2" max="2" width="52.42578125" style="90" customWidth="1"/>
    <col min="3" max="3" width="8.140625" style="90" customWidth="1"/>
    <col min="4" max="4" width="17.28515625" style="90" bestFit="1" customWidth="1"/>
    <col min="5" max="13" width="13.140625" style="90" customWidth="1"/>
    <col min="14" max="16384" width="12.5703125" style="90"/>
  </cols>
  <sheetData>
    <row r="1" spans="1:13" x14ac:dyDescent="0.2">
      <c r="A1" s="89" t="s">
        <v>8</v>
      </c>
    </row>
    <row r="2" spans="1:13" x14ac:dyDescent="0.2">
      <c r="A2" s="89" t="s">
        <v>9</v>
      </c>
    </row>
    <row r="3" spans="1:13" x14ac:dyDescent="0.2">
      <c r="A3" s="91" t="s">
        <v>120</v>
      </c>
    </row>
    <row r="4" spans="1:13" x14ac:dyDescent="0.2">
      <c r="A4" s="92"/>
    </row>
    <row r="5" spans="1:13" x14ac:dyDescent="0.2">
      <c r="A5" s="93" t="str">
        <f>"Calculation of Utah Allocated REC Actuals for CY "&amp;YEAR(A3)-1</f>
        <v>Calculation of Utah Allocated REC Actuals for CY 2018</v>
      </c>
      <c r="E5" s="94"/>
    </row>
    <row r="6" spans="1:13" x14ac:dyDescent="0.2">
      <c r="B6" s="95"/>
      <c r="C6" s="95"/>
      <c r="D6" s="95"/>
      <c r="E6" s="96"/>
      <c r="F6" s="95"/>
      <c r="G6" s="95"/>
      <c r="H6" s="95"/>
      <c r="I6" s="95"/>
      <c r="J6" s="97"/>
      <c r="K6" s="97"/>
      <c r="L6" s="97"/>
    </row>
    <row r="7" spans="1:13" x14ac:dyDescent="0.2">
      <c r="A7" s="95"/>
      <c r="B7" s="95"/>
      <c r="C7" s="95"/>
      <c r="D7" s="95"/>
      <c r="E7" s="95"/>
      <c r="F7" s="95"/>
      <c r="G7" s="98"/>
      <c r="H7" s="95"/>
      <c r="I7" s="95"/>
      <c r="J7" s="95"/>
      <c r="K7" s="95"/>
      <c r="L7" s="95"/>
    </row>
    <row r="8" spans="1:13" x14ac:dyDescent="0.2">
      <c r="A8" s="99" t="str">
        <f>"Jan - Dec "&amp;YEAR(A3)-1&amp;" - Actual REC Revenues - CA/OR/WA Eligible Resources(1)"</f>
        <v>Jan - Dec 2018 - Actual REC Revenues - CA/OR/WA Eligible Resources(1)</v>
      </c>
      <c r="B8" s="95"/>
      <c r="C8" s="95"/>
      <c r="D8" s="100">
        <v>399006</v>
      </c>
      <c r="E8" s="101"/>
      <c r="H8" s="95"/>
      <c r="I8" s="95"/>
      <c r="J8" s="95"/>
      <c r="K8" s="95"/>
      <c r="L8" s="95"/>
    </row>
    <row r="9" spans="1:13" x14ac:dyDescent="0.2">
      <c r="A9" s="102"/>
      <c r="B9" s="95"/>
      <c r="C9" s="95"/>
      <c r="D9" s="103"/>
      <c r="E9" s="95"/>
      <c r="G9" s="104"/>
      <c r="H9" s="104"/>
      <c r="I9" s="104"/>
      <c r="J9" s="104"/>
      <c r="K9" s="105"/>
      <c r="L9" s="106"/>
    </row>
    <row r="10" spans="1:13" x14ac:dyDescent="0.2">
      <c r="A10" s="99" t="str">
        <f>"Jan - Dec "&amp;YEAR(A3)-1&amp;" - Actual REC Revenues - CA/OR Eligible Resources(1)"</f>
        <v>Jan - Dec 2018 - Actual REC Revenues - CA/OR Eligible Resources(1)</v>
      </c>
      <c r="B10" s="95"/>
      <c r="C10" s="95"/>
      <c r="D10" s="103">
        <v>1552999.28</v>
      </c>
      <c r="E10" s="95"/>
      <c r="G10" s="104"/>
      <c r="H10" s="104"/>
      <c r="I10" s="107"/>
      <c r="J10" s="104"/>
      <c r="K10" s="105"/>
      <c r="L10" s="106"/>
    </row>
    <row r="11" spans="1:13" x14ac:dyDescent="0.2">
      <c r="A11" s="102"/>
      <c r="B11" s="95"/>
      <c r="C11" s="95"/>
      <c r="D11" s="108"/>
      <c r="E11" s="95"/>
      <c r="G11" s="104"/>
      <c r="H11" s="104"/>
      <c r="I11" s="104"/>
      <c r="J11" s="104"/>
      <c r="K11" s="105"/>
      <c r="L11" s="106"/>
    </row>
    <row r="12" spans="1:13" x14ac:dyDescent="0.2">
      <c r="A12" s="99" t="str">
        <f>"Jan - Dec "&amp;YEAR(A3)-1&amp;" -  Actual REC Revenues  - CA Eligible Resources(1)"</f>
        <v>Jan - Dec 2018 -  Actual REC Revenues  - CA Eligible Resources(1)</v>
      </c>
      <c r="B12" s="89"/>
      <c r="C12" s="95"/>
      <c r="D12" s="103">
        <v>164576.29999999999</v>
      </c>
      <c r="E12" s="109"/>
      <c r="F12" s="109"/>
      <c r="G12" s="104"/>
      <c r="H12" s="110"/>
      <c r="I12" s="104"/>
      <c r="J12" s="104"/>
      <c r="K12" s="111"/>
      <c r="L12" s="106"/>
    </row>
    <row r="13" spans="1:13" x14ac:dyDescent="0.2">
      <c r="A13" s="92"/>
      <c r="D13" s="112"/>
      <c r="E13" s="113"/>
    </row>
    <row r="14" spans="1:13" x14ac:dyDescent="0.2">
      <c r="A14" s="99" t="str">
        <f>"Total Jan - Dec "&amp;YEAR(A3)-1&amp;" REC Revenues"</f>
        <v>Total Jan - Dec 2018 REC Revenues</v>
      </c>
      <c r="D14" s="114">
        <f>SUM(D8:D12)</f>
        <v>2116581.58</v>
      </c>
      <c r="E14" s="113"/>
    </row>
    <row r="15" spans="1:13" x14ac:dyDescent="0.2">
      <c r="A15" s="95"/>
      <c r="B15" s="89"/>
      <c r="C15" s="95"/>
      <c r="D15" s="95"/>
      <c r="F15" s="115"/>
      <c r="G15" s="95"/>
      <c r="H15" s="95"/>
      <c r="I15" s="95"/>
      <c r="J15" s="95"/>
      <c r="K15" s="111"/>
      <c r="L15" s="106"/>
    </row>
    <row r="16" spans="1:13" x14ac:dyDescent="0.2">
      <c r="A16" s="89" t="str">
        <f>"Reallocate Jan - Dec "&amp;YEAR(A3)-1&amp;" REC Revenues for Renewable Portfolio Standards"</f>
        <v>Reallocate Jan - Dec 2018 REC Revenues for Renewable Portfolio Standards</v>
      </c>
      <c r="B16" s="95"/>
      <c r="C16" s="95"/>
      <c r="D16" s="95"/>
      <c r="E16" s="95"/>
      <c r="F16" s="95"/>
      <c r="G16" s="95"/>
      <c r="H16" s="95"/>
      <c r="I16" s="95"/>
      <c r="J16" s="97" t="s">
        <v>72</v>
      </c>
      <c r="K16" s="95"/>
      <c r="L16" s="95"/>
      <c r="M16" s="116"/>
    </row>
    <row r="17" spans="1:14" ht="15.75" customHeight="1" x14ac:dyDescent="0.2">
      <c r="A17" s="95"/>
      <c r="B17" s="95"/>
      <c r="C17" s="117"/>
      <c r="D17" s="117" t="s">
        <v>73</v>
      </c>
      <c r="E17" s="117" t="s">
        <v>29</v>
      </c>
      <c r="F17" s="117" t="s">
        <v>74</v>
      </c>
      <c r="G17" s="117" t="s">
        <v>75</v>
      </c>
      <c r="H17" s="118" t="s">
        <v>76</v>
      </c>
      <c r="I17" s="117" t="s">
        <v>77</v>
      </c>
      <c r="J17" s="117" t="s">
        <v>78</v>
      </c>
      <c r="K17" s="117" t="s">
        <v>79</v>
      </c>
      <c r="L17" s="117" t="s">
        <v>80</v>
      </c>
      <c r="M17" s="117" t="s">
        <v>81</v>
      </c>
    </row>
    <row r="18" spans="1:14" x14ac:dyDescent="0.2">
      <c r="A18" s="95"/>
      <c r="B18" s="119" t="str">
        <f>"CY "&amp;YEAR(A3)-1&amp;" Actual SG Factor - See Page 2.2"</f>
        <v>CY 2018 Actual SG Factor - See Page 2.2</v>
      </c>
      <c r="C18" s="95"/>
      <c r="D18" s="120" t="s">
        <v>82</v>
      </c>
      <c r="E18" s="121">
        <f>SUM(F18:L18)</f>
        <v>1</v>
      </c>
      <c r="F18" s="97">
        <f>'Page 2.2'!E43</f>
        <v>1.4515869722860574E-2</v>
      </c>
      <c r="G18" s="97">
        <f>'Page 2.2'!F43</f>
        <v>0.25409559689255523</v>
      </c>
      <c r="H18" s="97">
        <f>'Page 2.2'!G43</f>
        <v>7.965316026403986E-2</v>
      </c>
      <c r="I18" s="97">
        <f>'Page 2.2'!J43</f>
        <v>0.1496671205667835</v>
      </c>
      <c r="J18" s="97">
        <f>'Page 2.2'!H43</f>
        <v>0.4410878386697254</v>
      </c>
      <c r="K18" s="97">
        <f>'Page 2.2'!I43</f>
        <v>6.0648213217119627E-2</v>
      </c>
      <c r="L18" s="97">
        <f>'Page 2.2'!K43</f>
        <v>3.3220066691593345E-4</v>
      </c>
      <c r="M18" s="122"/>
      <c r="N18" s="112"/>
    </row>
    <row r="19" spans="1:14" ht="13.5" thickBot="1" x14ac:dyDescent="0.25">
      <c r="A19" s="95"/>
      <c r="B19" s="95"/>
      <c r="C19" s="95"/>
      <c r="D19" s="120"/>
      <c r="E19" s="121"/>
      <c r="F19" s="97"/>
      <c r="G19" s="97"/>
      <c r="H19" s="97"/>
      <c r="I19" s="97"/>
      <c r="J19" s="97"/>
      <c r="K19" s="97"/>
      <c r="L19" s="97"/>
    </row>
    <row r="20" spans="1:14" x14ac:dyDescent="0.2">
      <c r="A20" s="89" t="str">
        <f>"Actual Jan - Dec "&amp;YEAR(A3)-1&amp;" REC Rev - Eligible for CA/OR/WA RPS"</f>
        <v>Actual Jan - Dec 2018 REC Rev - Eligible for CA/OR/WA RPS</v>
      </c>
      <c r="B20" s="95"/>
      <c r="C20" s="123"/>
      <c r="D20" s="123" t="s">
        <v>82</v>
      </c>
      <c r="E20" s="124">
        <f>D8</f>
        <v>399006</v>
      </c>
      <c r="F20" s="125">
        <f>$E$20*F18</f>
        <v>5791.9191146397061</v>
      </c>
      <c r="G20" s="125">
        <f t="shared" ref="G20:L20" si="0">$E$20*G18</f>
        <v>101385.6677337109</v>
      </c>
      <c r="H20" s="126">
        <f t="shared" si="0"/>
        <v>31782.088864313489</v>
      </c>
      <c r="I20" s="127">
        <f t="shared" si="0"/>
        <v>59718.079108870013</v>
      </c>
      <c r="J20" s="127">
        <f t="shared" si="0"/>
        <v>175996.69415625246</v>
      </c>
      <c r="K20" s="127">
        <f t="shared" si="0"/>
        <v>24199.000962910035</v>
      </c>
      <c r="L20" s="128">
        <f t="shared" si="0"/>
        <v>132.55005930345894</v>
      </c>
      <c r="M20" s="112"/>
    </row>
    <row r="21" spans="1:14" x14ac:dyDescent="0.2">
      <c r="A21" s="95"/>
      <c r="B21" s="95"/>
      <c r="C21" s="123"/>
      <c r="D21" s="123"/>
      <c r="E21" s="129"/>
      <c r="F21" s="130"/>
      <c r="G21" s="130"/>
      <c r="H21" s="131"/>
      <c r="I21" s="130"/>
      <c r="J21" s="130"/>
      <c r="K21" s="130"/>
      <c r="L21" s="132"/>
      <c r="M21" s="112"/>
    </row>
    <row r="22" spans="1:14" x14ac:dyDescent="0.2">
      <c r="A22" s="95"/>
      <c r="B22" s="133" t="s">
        <v>83</v>
      </c>
      <c r="C22" s="134"/>
      <c r="D22" s="123" t="s">
        <v>82</v>
      </c>
      <c r="E22" s="135">
        <f>(E20/(1-SUM($F$18:$H$18)))-E20</f>
        <v>213214.87438577646</v>
      </c>
      <c r="F22" s="130">
        <f t="shared" ref="F22:L22" si="1">$E$22*F18</f>
        <v>3094.9993395600131</v>
      </c>
      <c r="G22" s="130">
        <f t="shared" si="1"/>
        <v>54176.960773425053</v>
      </c>
      <c r="H22" s="131">
        <f t="shared" si="1"/>
        <v>16983.238560127382</v>
      </c>
      <c r="I22" s="130">
        <f t="shared" si="1"/>
        <v>31911.256311327605</v>
      </c>
      <c r="J22" s="130">
        <f t="shared" si="1"/>
        <v>94046.488115059139</v>
      </c>
      <c r="K22" s="130">
        <f t="shared" si="1"/>
        <v>12931.10116280995</v>
      </c>
      <c r="L22" s="132">
        <f t="shared" si="1"/>
        <v>70.83012346735191</v>
      </c>
      <c r="M22" s="112"/>
    </row>
    <row r="23" spans="1:14" x14ac:dyDescent="0.2">
      <c r="A23" s="95"/>
      <c r="B23" s="133" t="s">
        <v>83</v>
      </c>
      <c r="C23" s="134"/>
      <c r="D23" s="134" t="s">
        <v>84</v>
      </c>
      <c r="E23" s="136">
        <f>-E22</f>
        <v>-213214.87438577646</v>
      </c>
      <c r="F23" s="137">
        <f>-SUM(F20:F22)</f>
        <v>-8886.9184541997201</v>
      </c>
      <c r="G23" s="137">
        <f>-SUM(G20:G22)</f>
        <v>-155562.62850713596</v>
      </c>
      <c r="H23" s="138">
        <f>-SUM(H20:H22)</f>
        <v>-48765.327424440868</v>
      </c>
      <c r="I23" s="139"/>
      <c r="J23" s="139"/>
      <c r="K23" s="139"/>
      <c r="L23" s="140"/>
      <c r="M23" s="112"/>
    </row>
    <row r="24" spans="1:14" x14ac:dyDescent="0.2">
      <c r="A24" s="95"/>
      <c r="B24" s="133"/>
      <c r="C24" s="134"/>
      <c r="D24" s="134"/>
      <c r="E24" s="129"/>
      <c r="F24" s="141"/>
      <c r="G24" s="141"/>
      <c r="H24" s="142"/>
      <c r="I24" s="105"/>
      <c r="J24" s="105"/>
      <c r="K24" s="105"/>
      <c r="L24" s="143"/>
      <c r="M24" s="112"/>
    </row>
    <row r="25" spans="1:14" ht="13.5" thickBot="1" x14ac:dyDescent="0.25">
      <c r="A25" s="144" t="str">
        <f>"Actual Jan - Dec "&amp;YEAR(A3)-1&amp;" REC Revenues - Reallocated totals"</f>
        <v>Actual Jan - Dec 2018 REC Revenues - Reallocated totals</v>
      </c>
      <c r="B25" s="95"/>
      <c r="C25" s="104"/>
      <c r="D25" s="104"/>
      <c r="E25" s="145">
        <f t="shared" ref="E25:L25" si="2">SUM(E20:E23)</f>
        <v>399006</v>
      </c>
      <c r="F25" s="146">
        <f t="shared" si="2"/>
        <v>0</v>
      </c>
      <c r="G25" s="146">
        <f t="shared" si="2"/>
        <v>0</v>
      </c>
      <c r="H25" s="147">
        <f t="shared" si="2"/>
        <v>0</v>
      </c>
      <c r="I25" s="139">
        <f t="shared" si="2"/>
        <v>91629.335420197618</v>
      </c>
      <c r="J25" s="139">
        <f t="shared" si="2"/>
        <v>270043.18227131158</v>
      </c>
      <c r="K25" s="139">
        <f t="shared" si="2"/>
        <v>37130.102125719983</v>
      </c>
      <c r="L25" s="140">
        <f t="shared" si="2"/>
        <v>203.38018277081085</v>
      </c>
      <c r="M25" s="112"/>
    </row>
    <row r="26" spans="1:14" ht="13.5" thickBot="1" x14ac:dyDescent="0.25">
      <c r="A26" s="95"/>
      <c r="B26" s="95"/>
      <c r="C26" s="95"/>
      <c r="D26" s="95"/>
      <c r="E26" s="148"/>
      <c r="F26" s="148"/>
      <c r="G26" s="148"/>
      <c r="H26" s="105"/>
      <c r="I26" s="105"/>
      <c r="J26" s="105"/>
      <c r="K26" s="105"/>
      <c r="L26" s="105"/>
      <c r="M26" s="112"/>
    </row>
    <row r="27" spans="1:14" x14ac:dyDescent="0.2">
      <c r="A27" s="89" t="str">
        <f>"Actual Jan - Dec "&amp;YEAR(A3)-1&amp;" REC Rev - Eligible for CA/OR RPS"</f>
        <v>Actual Jan - Dec 2018 REC Rev - Eligible for CA/OR RPS</v>
      </c>
      <c r="B27" s="95"/>
      <c r="C27" s="123"/>
      <c r="D27" s="123" t="s">
        <v>82</v>
      </c>
      <c r="E27" s="124">
        <f>D10</f>
        <v>1552999.28</v>
      </c>
      <c r="F27" s="125">
        <f t="shared" ref="F27:L27" si="3">$E$27*F18</f>
        <v>22543.13522817627</v>
      </c>
      <c r="G27" s="126">
        <f t="shared" si="3"/>
        <v>394610.2790253085</v>
      </c>
      <c r="H27" s="127">
        <f t="shared" si="3"/>
        <v>123701.30053977852</v>
      </c>
      <c r="I27" s="127">
        <f t="shared" si="3"/>
        <v>232432.93047988796</v>
      </c>
      <c r="J27" s="127">
        <f t="shared" si="3"/>
        <v>685009.09587083966</v>
      </c>
      <c r="K27" s="127">
        <f t="shared" si="3"/>
        <v>94186.631459473268</v>
      </c>
      <c r="L27" s="128">
        <f t="shared" si="3"/>
        <v>515.90739653596449</v>
      </c>
      <c r="M27" s="112"/>
    </row>
    <row r="28" spans="1:14" x14ac:dyDescent="0.2">
      <c r="A28" s="89"/>
      <c r="B28" s="95"/>
      <c r="C28" s="123"/>
      <c r="D28" s="123"/>
      <c r="E28" s="129"/>
      <c r="F28" s="130"/>
      <c r="G28" s="131"/>
      <c r="H28" s="130"/>
      <c r="I28" s="130"/>
      <c r="J28" s="130"/>
      <c r="K28" s="130"/>
      <c r="L28" s="132"/>
      <c r="M28" s="112"/>
    </row>
    <row r="29" spans="1:14" x14ac:dyDescent="0.2">
      <c r="A29" s="89"/>
      <c r="B29" s="133" t="s">
        <v>83</v>
      </c>
      <c r="C29" s="134"/>
      <c r="D29" s="123" t="s">
        <v>82</v>
      </c>
      <c r="E29" s="135">
        <f>(E27/(1-SUM(F18:G18)))-E27</f>
        <v>570358.15467745927</v>
      </c>
      <c r="F29" s="130">
        <f t="shared" ref="F29:L29" si="4">$E$29*F18</f>
        <v>8279.2446686691601</v>
      </c>
      <c r="G29" s="131">
        <f t="shared" si="4"/>
        <v>144925.49575530537</v>
      </c>
      <c r="H29" s="130">
        <f t="shared" si="4"/>
        <v>45430.829502425702</v>
      </c>
      <c r="I29" s="130">
        <f t="shared" si="4"/>
        <v>85363.862702359445</v>
      </c>
      <c r="J29" s="130">
        <f t="shared" si="4"/>
        <v>251578.04571433345</v>
      </c>
      <c r="K29" s="130">
        <f t="shared" si="4"/>
        <v>34591.202975001448</v>
      </c>
      <c r="L29" s="132">
        <f t="shared" si="4"/>
        <v>189.47335936479308</v>
      </c>
      <c r="M29" s="112"/>
    </row>
    <row r="30" spans="1:14" x14ac:dyDescent="0.2">
      <c r="A30" s="89"/>
      <c r="B30" s="133" t="s">
        <v>83</v>
      </c>
      <c r="C30" s="134"/>
      <c r="D30" s="134" t="s">
        <v>84</v>
      </c>
      <c r="E30" s="136">
        <f>-E29</f>
        <v>-570358.15467745927</v>
      </c>
      <c r="F30" s="137">
        <f>-SUM(F27:F29)</f>
        <v>-30822.379896845428</v>
      </c>
      <c r="G30" s="138">
        <f>-SUM(G27:G29)</f>
        <v>-539535.77478061384</v>
      </c>
      <c r="H30" s="139"/>
      <c r="I30" s="139"/>
      <c r="J30" s="139"/>
      <c r="K30" s="139"/>
      <c r="L30" s="140"/>
      <c r="M30" s="112"/>
    </row>
    <row r="31" spans="1:14" x14ac:dyDescent="0.2">
      <c r="A31" s="89"/>
      <c r="B31" s="95"/>
      <c r="C31" s="123"/>
      <c r="D31" s="123"/>
      <c r="E31" s="129"/>
      <c r="F31" s="141"/>
      <c r="G31" s="142"/>
      <c r="H31" s="130"/>
      <c r="I31" s="105"/>
      <c r="J31" s="105"/>
      <c r="K31" s="105"/>
      <c r="L31" s="143"/>
      <c r="M31" s="112"/>
    </row>
    <row r="32" spans="1:14" ht="13.5" thickBot="1" x14ac:dyDescent="0.25">
      <c r="A32" s="144" t="str">
        <f>"Actual Jan - Dec "&amp;YEAR(A3)-1&amp;" REC Revenues - Reallocated totals"</f>
        <v>Actual Jan - Dec 2018 REC Revenues - Reallocated totals</v>
      </c>
      <c r="B32" s="95"/>
      <c r="C32" s="95"/>
      <c r="D32" s="95"/>
      <c r="E32" s="145">
        <f t="shared" ref="E32:L32" si="5">SUM(E27:E30)</f>
        <v>1552999.28</v>
      </c>
      <c r="F32" s="146">
        <f>SUM(F27:F30)</f>
        <v>0</v>
      </c>
      <c r="G32" s="147">
        <f t="shared" si="5"/>
        <v>0</v>
      </c>
      <c r="H32" s="139">
        <f t="shared" si="5"/>
        <v>169132.13004220423</v>
      </c>
      <c r="I32" s="139">
        <f t="shared" si="5"/>
        <v>317796.79318224743</v>
      </c>
      <c r="J32" s="139">
        <f t="shared" si="5"/>
        <v>936587.14158517309</v>
      </c>
      <c r="K32" s="139">
        <f t="shared" si="5"/>
        <v>128777.83443447472</v>
      </c>
      <c r="L32" s="140">
        <f t="shared" si="5"/>
        <v>705.38075590075755</v>
      </c>
      <c r="M32" s="112"/>
    </row>
    <row r="33" spans="1:13" ht="13.5" thickBot="1" x14ac:dyDescent="0.25">
      <c r="A33" s="95"/>
      <c r="B33" s="95"/>
      <c r="C33" s="95"/>
      <c r="D33" s="95"/>
      <c r="E33" s="148"/>
      <c r="F33" s="148"/>
      <c r="G33" s="148"/>
      <c r="H33" s="105"/>
      <c r="I33" s="105"/>
      <c r="J33" s="105"/>
      <c r="K33" s="105"/>
      <c r="L33" s="105"/>
      <c r="M33" s="141"/>
    </row>
    <row r="34" spans="1:13" x14ac:dyDescent="0.2">
      <c r="A34" s="89" t="str">
        <f>"Actual Jan - Dec "&amp;YEAR(A3)-1&amp;" REC Rev - Eligible for CA RPS Only"</f>
        <v>Actual Jan - Dec 2018 REC Rev - Eligible for CA RPS Only</v>
      </c>
      <c r="B34" s="95"/>
      <c r="C34" s="123"/>
      <c r="D34" s="123" t="s">
        <v>82</v>
      </c>
      <c r="E34" s="149">
        <f>D12</f>
        <v>164576.29999999999</v>
      </c>
      <c r="F34" s="150">
        <f t="shared" ref="F34:L34" si="6">$E$34*F18</f>
        <v>2388.9681302704184</v>
      </c>
      <c r="G34" s="127">
        <f t="shared" si="6"/>
        <v>41818.113182868234</v>
      </c>
      <c r="H34" s="127">
        <f t="shared" si="6"/>
        <v>13109.022399562702</v>
      </c>
      <c r="I34" s="127">
        <f t="shared" si="6"/>
        <v>24631.660934535128</v>
      </c>
      <c r="J34" s="127">
        <f t="shared" si="6"/>
        <v>72592.60446326033</v>
      </c>
      <c r="K34" s="127">
        <f t="shared" si="6"/>
        <v>9981.2585328846435</v>
      </c>
      <c r="L34" s="127">
        <f t="shared" si="6"/>
        <v>54.672356618556734</v>
      </c>
      <c r="M34" s="151">
        <f>$E$32*M18</f>
        <v>0</v>
      </c>
    </row>
    <row r="35" spans="1:13" x14ac:dyDescent="0.2">
      <c r="A35" s="95"/>
      <c r="B35" s="95"/>
      <c r="C35" s="123"/>
      <c r="D35" s="123"/>
      <c r="E35" s="129"/>
      <c r="F35" s="152"/>
      <c r="G35" s="153"/>
      <c r="H35" s="153"/>
      <c r="I35" s="153"/>
      <c r="J35" s="153"/>
      <c r="K35" s="153"/>
      <c r="L35" s="153"/>
      <c r="M35" s="154"/>
    </row>
    <row r="36" spans="1:13" x14ac:dyDescent="0.2">
      <c r="A36" s="95"/>
      <c r="B36" s="133" t="s">
        <v>83</v>
      </c>
      <c r="C36" s="134"/>
      <c r="D36" s="123" t="s">
        <v>82</v>
      </c>
      <c r="E36" s="155">
        <f>(E34/(1-$F$18))-E34</f>
        <v>2424.1568756653578</v>
      </c>
      <c r="F36" s="152">
        <f t="shared" ref="F36:L36" si="7">$E$36*F18</f>
        <v>35.188745394935054</v>
      </c>
      <c r="G36" s="153">
        <f t="shared" si="7"/>
        <v>615.96758828338091</v>
      </c>
      <c r="H36" s="153">
        <f t="shared" si="7"/>
        <v>193.09175612254688</v>
      </c>
      <c r="I36" s="153">
        <f t="shared" si="7"/>
        <v>362.8165793830043</v>
      </c>
      <c r="J36" s="153">
        <f t="shared" si="7"/>
        <v>1069.2661168835868</v>
      </c>
      <c r="K36" s="153">
        <f t="shared" si="7"/>
        <v>147.02078306709916</v>
      </c>
      <c r="L36" s="153">
        <f t="shared" si="7"/>
        <v>0.80530653080487746</v>
      </c>
      <c r="M36" s="154"/>
    </row>
    <row r="37" spans="1:13" x14ac:dyDescent="0.2">
      <c r="A37" s="95"/>
      <c r="B37" s="133" t="s">
        <v>83</v>
      </c>
      <c r="C37" s="134"/>
      <c r="D37" s="134" t="s">
        <v>84</v>
      </c>
      <c r="E37" s="156">
        <f>-E36</f>
        <v>-2424.1568756653578</v>
      </c>
      <c r="F37" s="157">
        <f>-SUM(F34:F36)</f>
        <v>-2424.1568756653537</v>
      </c>
      <c r="G37" s="158">
        <v>-42434.080771151617</v>
      </c>
      <c r="H37" s="159"/>
      <c r="I37" s="159"/>
      <c r="J37" s="159"/>
      <c r="K37" s="159"/>
      <c r="L37" s="159"/>
      <c r="M37" s="160">
        <f>-G37</f>
        <v>42434.080771151617</v>
      </c>
    </row>
    <row r="38" spans="1:13" x14ac:dyDescent="0.2">
      <c r="A38" s="95"/>
      <c r="B38" s="133"/>
      <c r="C38" s="134"/>
      <c r="D38" s="134"/>
      <c r="E38" s="129"/>
      <c r="F38" s="142"/>
      <c r="G38" s="141"/>
      <c r="H38" s="161"/>
      <c r="I38" s="161"/>
      <c r="J38" s="161"/>
      <c r="K38" s="161"/>
      <c r="L38" s="161"/>
      <c r="M38" s="162"/>
    </row>
    <row r="39" spans="1:13" ht="13.5" thickBot="1" x14ac:dyDescent="0.25">
      <c r="A39" s="144" t="str">
        <f>"Actual Jan - Dec "&amp;YEAR(A3)-1&amp;" REC Revenues - Reallocated totals"</f>
        <v>Actual Jan - Dec 2018 REC Revenues - Reallocated totals</v>
      </c>
      <c r="B39" s="95"/>
      <c r="C39" s="95"/>
      <c r="D39" s="95"/>
      <c r="E39" s="163">
        <f t="shared" ref="E39:M39" si="8">SUM(E34:E37)</f>
        <v>164576.29999999999</v>
      </c>
      <c r="F39" s="164">
        <f t="shared" si="8"/>
        <v>0</v>
      </c>
      <c r="G39" s="159">
        <f>SUM(G34:G37)</f>
        <v>0</v>
      </c>
      <c r="H39" s="159">
        <f t="shared" si="8"/>
        <v>13302.114155685249</v>
      </c>
      <c r="I39" s="159">
        <f t="shared" si="8"/>
        <v>24994.477513918133</v>
      </c>
      <c r="J39" s="159">
        <f t="shared" si="8"/>
        <v>73661.870580143921</v>
      </c>
      <c r="K39" s="159">
        <f t="shared" si="8"/>
        <v>10128.279315951742</v>
      </c>
      <c r="L39" s="159">
        <f t="shared" si="8"/>
        <v>55.477663149361611</v>
      </c>
      <c r="M39" s="160">
        <f t="shared" si="8"/>
        <v>42434.080771151617</v>
      </c>
    </row>
    <row r="40" spans="1:13" x14ac:dyDescent="0.2">
      <c r="A40" s="95"/>
      <c r="B40" s="95" t="s">
        <v>72</v>
      </c>
      <c r="C40" s="95"/>
      <c r="D40" s="95"/>
      <c r="E40" s="165"/>
      <c r="F40" s="165"/>
      <c r="G40" s="165"/>
      <c r="H40" s="159"/>
      <c r="I40" s="159"/>
      <c r="J40" s="159"/>
      <c r="K40" s="159"/>
      <c r="L40" s="159"/>
      <c r="M40" s="166"/>
    </row>
    <row r="41" spans="1:13" x14ac:dyDescent="0.2">
      <c r="A41" s="89" t="str">
        <f>"Reallocated REC Revenues for Jan - Dec "&amp;YEAR(A3)-1</f>
        <v>Reallocated REC Revenues for Jan - Dec 2018</v>
      </c>
      <c r="D41" s="123" t="s">
        <v>82</v>
      </c>
      <c r="E41" s="167">
        <f>E29+E22+E36</f>
        <v>785997.18593890104</v>
      </c>
      <c r="F41" s="168">
        <f t="shared" ref="F41:M42" si="9">F29+F22+F36</f>
        <v>11409.432753624107</v>
      </c>
      <c r="G41" s="168">
        <f t="shared" si="9"/>
        <v>199718.42411701381</v>
      </c>
      <c r="H41" s="168">
        <f t="shared" si="9"/>
        <v>62607.159818675624</v>
      </c>
      <c r="I41" s="168">
        <f t="shared" si="9"/>
        <v>117637.93559307004</v>
      </c>
      <c r="J41" s="168">
        <f t="shared" si="9"/>
        <v>346693.79994627618</v>
      </c>
      <c r="K41" s="168">
        <f t="shared" si="9"/>
        <v>47669.324920878498</v>
      </c>
      <c r="L41" s="168">
        <f t="shared" si="9"/>
        <v>261.10878936294989</v>
      </c>
      <c r="M41" s="169">
        <f>M29+M22+M36</f>
        <v>0</v>
      </c>
    </row>
    <row r="42" spans="1:13" x14ac:dyDescent="0.2">
      <c r="D42" s="134" t="s">
        <v>84</v>
      </c>
      <c r="E42" s="170">
        <f>E30+E23+E37</f>
        <v>-785997.18593890104</v>
      </c>
      <c r="F42" s="171">
        <f t="shared" si="9"/>
        <v>-42133.455226710495</v>
      </c>
      <c r="G42" s="171">
        <f t="shared" si="9"/>
        <v>-737532.48405890132</v>
      </c>
      <c r="H42" s="171">
        <f t="shared" si="9"/>
        <v>-48765.327424440868</v>
      </c>
      <c r="I42" s="171">
        <f t="shared" si="9"/>
        <v>0</v>
      </c>
      <c r="J42" s="171">
        <f t="shared" si="9"/>
        <v>0</v>
      </c>
      <c r="K42" s="171">
        <f t="shared" si="9"/>
        <v>0</v>
      </c>
      <c r="L42" s="171">
        <f t="shared" si="9"/>
        <v>0</v>
      </c>
      <c r="M42" s="172">
        <f t="shared" si="9"/>
        <v>42434.080771151617</v>
      </c>
    </row>
    <row r="43" spans="1:13" x14ac:dyDescent="0.2">
      <c r="E43" s="173"/>
      <c r="F43" s="174"/>
      <c r="G43" s="174"/>
      <c r="H43" s="174"/>
      <c r="I43" s="174"/>
      <c r="J43" s="174"/>
      <c r="K43" s="174"/>
      <c r="L43" s="174"/>
      <c r="M43" s="175"/>
    </row>
    <row r="44" spans="1:13" x14ac:dyDescent="0.2">
      <c r="A44" s="176" t="str">
        <f>"Actual Jan - Dec "&amp;YEAR(A3)-1&amp;" REC Revenues - Total Reallocated"</f>
        <v>Actual Jan - Dec 2018 REC Revenues - Total Reallocated</v>
      </c>
      <c r="B44" s="177"/>
      <c r="C44" s="177"/>
      <c r="D44" s="177"/>
      <c r="E44" s="178">
        <f>E32+E25+E39</f>
        <v>2116581.58</v>
      </c>
      <c r="F44" s="179">
        <f t="shared" ref="F44:M44" si="10">F32+F25+F39</f>
        <v>0</v>
      </c>
      <c r="G44" s="179">
        <f t="shared" si="10"/>
        <v>0</v>
      </c>
      <c r="H44" s="179">
        <f t="shared" si="10"/>
        <v>182434.24419788946</v>
      </c>
      <c r="I44" s="179">
        <f t="shared" si="10"/>
        <v>434420.6061163632</v>
      </c>
      <c r="J44" s="180">
        <f t="shared" si="10"/>
        <v>1280292.1944366286</v>
      </c>
      <c r="K44" s="181">
        <f t="shared" si="10"/>
        <v>176036.21587614645</v>
      </c>
      <c r="L44" s="179">
        <f t="shared" si="10"/>
        <v>964.23860182093006</v>
      </c>
      <c r="M44" s="182">
        <f t="shared" si="10"/>
        <v>42434.080771151617</v>
      </c>
    </row>
    <row r="45" spans="1:13" x14ac:dyDescent="0.2">
      <c r="E45" s="183" t="s">
        <v>85</v>
      </c>
      <c r="F45" s="184"/>
      <c r="G45" s="184"/>
      <c r="H45" s="184"/>
      <c r="I45" s="185"/>
      <c r="J45" s="183" t="s">
        <v>86</v>
      </c>
      <c r="K45" s="186"/>
    </row>
    <row r="46" spans="1:13" x14ac:dyDescent="0.2">
      <c r="A46" s="112"/>
      <c r="H46" s="187"/>
      <c r="I46" s="188"/>
    </row>
    <row r="47" spans="1:13" x14ac:dyDescent="0.2">
      <c r="A47" s="185"/>
      <c r="B47" s="185"/>
      <c r="C47" s="185"/>
      <c r="D47" s="185"/>
      <c r="E47" s="189"/>
      <c r="F47" s="190" t="s">
        <v>12</v>
      </c>
    </row>
    <row r="48" spans="1:13" x14ac:dyDescent="0.2">
      <c r="A48" s="191" t="str">
        <f>"Utah % of Actual CY "&amp;YEAR(A3)-1&amp;" REC sales"</f>
        <v>Utah % of Actual CY 2018 REC sales</v>
      </c>
      <c r="B48" s="185"/>
      <c r="C48" s="185"/>
      <c r="D48" s="185"/>
      <c r="E48" s="192">
        <f>J44/E44</f>
        <v>0.60488676956010767</v>
      </c>
      <c r="F48" s="193" t="s">
        <v>87</v>
      </c>
      <c r="K48" s="194"/>
      <c r="L48" s="194"/>
      <c r="M48" s="194"/>
    </row>
    <row r="49" spans="1:6" x14ac:dyDescent="0.2">
      <c r="A49" s="3" t="str">
        <f>"Utah allocated CY "&amp;YEAR(A3)-1&amp;" REC revenue"</f>
        <v>Utah allocated CY 2018 REC revenue</v>
      </c>
      <c r="B49" s="185"/>
      <c r="C49" s="185"/>
      <c r="D49" s="185"/>
      <c r="E49" s="195">
        <f>E48*E44</f>
        <v>1280292.1944366286</v>
      </c>
      <c r="F49" s="193" t="s">
        <v>88</v>
      </c>
    </row>
    <row r="50" spans="1:6" x14ac:dyDescent="0.2">
      <c r="A50" s="3"/>
      <c r="B50" s="185"/>
      <c r="C50" s="185"/>
      <c r="D50" s="185"/>
      <c r="E50" s="195"/>
      <c r="F50" s="193"/>
    </row>
    <row r="51" spans="1:6" x14ac:dyDescent="0.2">
      <c r="A51" s="3"/>
      <c r="B51" s="185"/>
      <c r="C51" s="185"/>
      <c r="D51" s="185"/>
    </row>
    <row r="52" spans="1:6" x14ac:dyDescent="0.2">
      <c r="A52" s="196"/>
      <c r="B52" s="185"/>
      <c r="C52" s="185"/>
      <c r="D52" s="197" t="s">
        <v>89</v>
      </c>
      <c r="E52" s="197" t="s">
        <v>29</v>
      </c>
    </row>
    <row r="53" spans="1:6" x14ac:dyDescent="0.2">
      <c r="A53" s="3" t="s">
        <v>90</v>
      </c>
      <c r="B53" s="185"/>
      <c r="C53" s="185"/>
      <c r="D53" s="185"/>
      <c r="E53" s="194">
        <v>7909.9</v>
      </c>
    </row>
    <row r="54" spans="1:6" x14ac:dyDescent="0.2">
      <c r="A54" s="3" t="s">
        <v>91</v>
      </c>
      <c r="B54" s="185"/>
      <c r="C54" s="185"/>
      <c r="D54" s="198">
        <f>'Page 2.2'!H43</f>
        <v>0.4410878386697254</v>
      </c>
      <c r="E54" s="199">
        <f>E53*D54</f>
        <v>3488.9606950936609</v>
      </c>
    </row>
    <row r="55" spans="1:6" x14ac:dyDescent="0.2">
      <c r="A55" s="3"/>
      <c r="B55" s="185"/>
      <c r="C55" s="185"/>
      <c r="D55" s="185"/>
    </row>
    <row r="104" spans="2:2" x14ac:dyDescent="0.2">
      <c r="B104" s="90">
        <f>EDATE(B101,1)</f>
        <v>31</v>
      </c>
    </row>
    <row r="105" spans="2:2" x14ac:dyDescent="0.2">
      <c r="B105" s="90">
        <f>EDATE(B104,1)</f>
        <v>59</v>
      </c>
    </row>
    <row r="106" spans="2:2" x14ac:dyDescent="0.2">
      <c r="B106" s="90">
        <f t="shared" ref="B106:B115" si="11">EDATE(B105,1)</f>
        <v>88</v>
      </c>
    </row>
    <row r="107" spans="2:2" x14ac:dyDescent="0.2">
      <c r="B107" s="90">
        <f t="shared" si="11"/>
        <v>119</v>
      </c>
    </row>
    <row r="108" spans="2:2" x14ac:dyDescent="0.2">
      <c r="B108" s="90">
        <f t="shared" si="11"/>
        <v>149</v>
      </c>
    </row>
    <row r="109" spans="2:2" x14ac:dyDescent="0.2">
      <c r="B109" s="90">
        <f t="shared" si="11"/>
        <v>180</v>
      </c>
    </row>
    <row r="110" spans="2:2" x14ac:dyDescent="0.2">
      <c r="B110" s="90">
        <f t="shared" si="11"/>
        <v>210</v>
      </c>
    </row>
    <row r="111" spans="2:2" x14ac:dyDescent="0.2">
      <c r="B111" s="90">
        <f t="shared" si="11"/>
        <v>241</v>
      </c>
    </row>
    <row r="112" spans="2:2" x14ac:dyDescent="0.2">
      <c r="B112" s="90">
        <f t="shared" si="11"/>
        <v>272</v>
      </c>
    </row>
    <row r="113" spans="2:2" x14ac:dyDescent="0.2">
      <c r="B113" s="90">
        <f t="shared" si="11"/>
        <v>302</v>
      </c>
    </row>
    <row r="114" spans="2:2" x14ac:dyDescent="0.2">
      <c r="B114" s="90">
        <f t="shared" si="11"/>
        <v>333</v>
      </c>
    </row>
    <row r="115" spans="2:2" x14ac:dyDescent="0.2">
      <c r="B115" s="90">
        <f t="shared" si="11"/>
        <v>363</v>
      </c>
    </row>
  </sheetData>
  <pageMargins left="0.5" right="0.5" top="1" bottom="0.75" header="0.3" footer="0.3"/>
  <pageSetup scale="63" orientation="landscape" r:id="rId1"/>
  <headerFooter>
    <oddFooter>&amp;C&amp;"Arial,Regular"&amp;10Page 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53"/>
  <sheetViews>
    <sheetView zoomScaleNormal="100" workbookViewId="0"/>
  </sheetViews>
  <sheetFormatPr defaultColWidth="9.140625" defaultRowHeight="12.75" x14ac:dyDescent="0.2"/>
  <cols>
    <col min="1" max="1" width="28.42578125" style="201" customWidth="1"/>
    <col min="2" max="2" width="11.42578125" style="201" customWidth="1"/>
    <col min="3" max="3" width="9.42578125" style="201" bestFit="1" customWidth="1"/>
    <col min="4" max="4" width="10.42578125" style="201" bestFit="1" customWidth="1"/>
    <col min="5" max="5" width="10.5703125" style="201" bestFit="1" customWidth="1"/>
    <col min="6" max="6" width="12.7109375" style="201" bestFit="1" customWidth="1"/>
    <col min="7" max="7" width="12.42578125" style="201" bestFit="1" customWidth="1"/>
    <col min="8" max="8" width="13.28515625" style="201" bestFit="1" customWidth="1"/>
    <col min="9" max="9" width="11.85546875" style="201" bestFit="1" customWidth="1"/>
    <col min="10" max="10" width="12.42578125" style="201" bestFit="1" customWidth="1"/>
    <col min="11" max="11" width="9.7109375" style="201" bestFit="1" customWidth="1"/>
    <col min="12" max="12" width="12.42578125" style="201" bestFit="1" customWidth="1"/>
    <col min="13" max="13" width="9.140625" style="201"/>
    <col min="14" max="14" width="12.140625" style="201" bestFit="1" customWidth="1"/>
    <col min="15" max="15" width="12.7109375" style="201" bestFit="1" customWidth="1"/>
    <col min="16" max="17" width="11.5703125" style="201" bestFit="1" customWidth="1"/>
    <col min="18" max="18" width="13.42578125" style="201" bestFit="1" customWidth="1"/>
    <col min="19" max="19" width="11.85546875" style="201" bestFit="1" customWidth="1"/>
    <col min="20" max="20" width="11.5703125" style="201" bestFit="1" customWidth="1"/>
    <col min="21" max="21" width="9.42578125" style="201" bestFit="1" customWidth="1"/>
    <col min="22" max="22" width="14.85546875" style="201" bestFit="1" customWidth="1"/>
    <col min="23" max="23" width="9.28515625" style="201" bestFit="1" customWidth="1"/>
    <col min="24" max="16384" width="9.140625" style="201"/>
  </cols>
  <sheetData>
    <row r="1" spans="1:35" ht="15.75" x14ac:dyDescent="0.25">
      <c r="A1" s="200" t="str">
        <f>'RMP_(THS-2)'!A1</f>
        <v>Rocky Mountain Power</v>
      </c>
      <c r="H1" s="202"/>
      <c r="I1" s="203"/>
    </row>
    <row r="2" spans="1:35" x14ac:dyDescent="0.2">
      <c r="A2" s="200" t="str">
        <f>'RMP_(THS-2)'!A2</f>
        <v>Utah REC Balancing Account</v>
      </c>
    </row>
    <row r="3" spans="1:35" ht="15.75" x14ac:dyDescent="0.25">
      <c r="A3" s="204" t="s">
        <v>120</v>
      </c>
      <c r="H3" s="202"/>
      <c r="I3" s="203"/>
    </row>
    <row r="4" spans="1:35" x14ac:dyDescent="0.2">
      <c r="C4" s="200"/>
    </row>
    <row r="5" spans="1:35" x14ac:dyDescent="0.2">
      <c r="A5" s="93" t="str">
        <f>"Calculation of Utah CY "&amp;YEAR(A3)-1&amp;" Actual Allocation Factors"</f>
        <v>Calculation of Utah CY 2018 Actual Allocation Factors</v>
      </c>
      <c r="C5" s="200"/>
    </row>
    <row r="6" spans="1:35" x14ac:dyDescent="0.2">
      <c r="X6" s="205"/>
      <c r="Y6" s="205"/>
      <c r="Z6" s="205"/>
      <c r="AA6" s="205"/>
      <c r="AB6" s="205"/>
      <c r="AC6" s="205"/>
      <c r="AD6" s="205"/>
      <c r="AE6" s="205"/>
      <c r="AF6" s="205"/>
      <c r="AG6" s="205"/>
    </row>
    <row r="7" spans="1:35" x14ac:dyDescent="0.2">
      <c r="A7" s="201" t="s">
        <v>92</v>
      </c>
      <c r="H7" s="206"/>
      <c r="N7" s="207"/>
      <c r="O7" s="207"/>
      <c r="P7" s="207"/>
      <c r="Q7" s="207"/>
      <c r="R7" s="207"/>
      <c r="S7" s="207"/>
      <c r="T7" s="207"/>
      <c r="U7" s="207"/>
      <c r="V7" s="207"/>
      <c r="W7" s="207"/>
      <c r="X7" s="205"/>
      <c r="Y7" s="205"/>
      <c r="Z7" s="207"/>
      <c r="AA7" s="207"/>
      <c r="AB7" s="207"/>
      <c r="AC7" s="207"/>
      <c r="AD7" s="207"/>
      <c r="AE7" s="207"/>
      <c r="AF7" s="207"/>
      <c r="AG7" s="207"/>
      <c r="AH7" s="207"/>
      <c r="AI7" s="205"/>
    </row>
    <row r="8" spans="1:35" x14ac:dyDescent="0.2">
      <c r="A8" s="208" t="s">
        <v>93</v>
      </c>
      <c r="B8" s="208" t="s">
        <v>94</v>
      </c>
      <c r="C8" s="208" t="s">
        <v>95</v>
      </c>
      <c r="D8" s="208" t="s">
        <v>96</v>
      </c>
      <c r="E8" s="208" t="s">
        <v>97</v>
      </c>
      <c r="F8" s="208" t="s">
        <v>98</v>
      </c>
      <c r="G8" s="208" t="s">
        <v>99</v>
      </c>
      <c r="H8" s="208" t="s">
        <v>100</v>
      </c>
      <c r="I8" s="208" t="s">
        <v>101</v>
      </c>
      <c r="J8" s="208" t="s">
        <v>102</v>
      </c>
      <c r="K8" s="208" t="s">
        <v>80</v>
      </c>
      <c r="L8" s="208" t="s">
        <v>29</v>
      </c>
      <c r="N8" s="209" t="s">
        <v>97</v>
      </c>
      <c r="O8" s="209" t="s">
        <v>98</v>
      </c>
      <c r="P8" s="209" t="s">
        <v>99</v>
      </c>
      <c r="Q8" s="209" t="s">
        <v>103</v>
      </c>
      <c r="R8" s="209" t="s">
        <v>100</v>
      </c>
      <c r="S8" s="209" t="s">
        <v>101</v>
      </c>
      <c r="T8" s="209" t="s">
        <v>104</v>
      </c>
      <c r="U8" s="209" t="s">
        <v>80</v>
      </c>
      <c r="V8" s="207" t="s">
        <v>105</v>
      </c>
      <c r="W8" s="207"/>
      <c r="X8" s="207"/>
      <c r="Y8" s="205"/>
      <c r="Z8" s="207"/>
      <c r="AA8" s="207"/>
      <c r="AB8" s="207"/>
      <c r="AC8" s="207"/>
      <c r="AD8" s="207"/>
      <c r="AE8" s="207"/>
      <c r="AF8" s="207"/>
      <c r="AG8" s="207"/>
      <c r="AH8" s="207"/>
      <c r="AI8" s="207"/>
    </row>
    <row r="9" spans="1:35" x14ac:dyDescent="0.2">
      <c r="A9" s="201">
        <f>YEAR($A$3)-1</f>
        <v>2018</v>
      </c>
      <c r="B9" s="201">
        <v>1</v>
      </c>
      <c r="C9" s="201">
        <v>2</v>
      </c>
      <c r="D9" s="201">
        <v>18</v>
      </c>
      <c r="E9" s="203">
        <f>N9</f>
        <v>122.542367</v>
      </c>
      <c r="F9" s="203">
        <f t="shared" ref="F9:G20" si="0">O9</f>
        <v>2203.69398</v>
      </c>
      <c r="G9" s="203">
        <f t="shared" si="0"/>
        <v>728.23330999999996</v>
      </c>
      <c r="H9" s="203">
        <f>R9</f>
        <v>3303.1721292499997</v>
      </c>
      <c r="I9" s="203">
        <f>S9</f>
        <v>463.83073999999999</v>
      </c>
      <c r="J9" s="203">
        <f>Q9+T9</f>
        <v>1242.928136</v>
      </c>
      <c r="K9" s="210">
        <v>2.6818799999999974</v>
      </c>
      <c r="L9" s="203">
        <f t="shared" ref="L9:L20" si="1">SUM(E9:K9)</f>
        <v>8067.0825422500002</v>
      </c>
      <c r="N9" s="211">
        <v>122.542367</v>
      </c>
      <c r="O9" s="201">
        <v>2203.69398</v>
      </c>
      <c r="P9" s="210">
        <v>728.23330999999996</v>
      </c>
      <c r="Q9" s="210">
        <v>1036.4350280000001</v>
      </c>
      <c r="R9" s="210">
        <v>3303.1721292499997</v>
      </c>
      <c r="S9" s="210">
        <v>463.83073999999999</v>
      </c>
      <c r="T9" s="210">
        <v>206.49310800000001</v>
      </c>
      <c r="U9" s="210">
        <v>2.6818799999999974</v>
      </c>
      <c r="V9" s="210">
        <v>0</v>
      </c>
      <c r="W9" s="210"/>
      <c r="X9" s="210"/>
      <c r="Y9" s="205"/>
      <c r="Z9" s="212"/>
      <c r="AA9" s="213"/>
      <c r="AB9" s="213"/>
      <c r="AC9" s="205"/>
      <c r="AD9" s="213"/>
      <c r="AE9" s="214"/>
      <c r="AF9" s="213"/>
      <c r="AG9" s="213"/>
      <c r="AH9" s="213"/>
      <c r="AI9" s="214"/>
    </row>
    <row r="10" spans="1:35" x14ac:dyDescent="0.2">
      <c r="A10" s="201">
        <f t="shared" ref="A10:A20" si="2">YEAR($A$3)-1</f>
        <v>2018</v>
      </c>
      <c r="B10" s="201">
        <v>2</v>
      </c>
      <c r="C10" s="201">
        <v>23</v>
      </c>
      <c r="D10" s="201">
        <v>8</v>
      </c>
      <c r="E10" s="203">
        <f t="shared" ref="E10:E20" si="3">N10</f>
        <v>154.92610999999999</v>
      </c>
      <c r="F10" s="203">
        <f t="shared" si="0"/>
        <v>2607.8004110000002</v>
      </c>
      <c r="G10" s="203">
        <f t="shared" si="0"/>
        <v>784.35666800000001</v>
      </c>
      <c r="H10" s="203">
        <f t="shared" ref="H10:I20" si="4">R10</f>
        <v>3207.735721</v>
      </c>
      <c r="I10" s="203">
        <f t="shared" si="4"/>
        <v>433.374999</v>
      </c>
      <c r="J10" s="203">
        <f>Q10+T10</f>
        <v>1244.7014369999999</v>
      </c>
      <c r="K10" s="210">
        <v>2.6315600000000012</v>
      </c>
      <c r="L10" s="203">
        <f t="shared" si="1"/>
        <v>8435.5269059999991</v>
      </c>
      <c r="N10" s="211">
        <v>154.92610999999999</v>
      </c>
      <c r="O10" s="201">
        <v>2607.8004110000002</v>
      </c>
      <c r="P10" s="210">
        <v>784.35666800000001</v>
      </c>
      <c r="Q10" s="210">
        <v>1032.2292649999999</v>
      </c>
      <c r="R10" s="210">
        <v>3207.735721</v>
      </c>
      <c r="S10" s="210">
        <v>433.374999</v>
      </c>
      <c r="T10" s="210">
        <v>212.472172</v>
      </c>
      <c r="U10" s="210">
        <v>2.6315600000000012</v>
      </c>
      <c r="V10" s="210">
        <v>0</v>
      </c>
      <c r="W10" s="210"/>
      <c r="X10" s="210"/>
      <c r="Y10" s="205"/>
      <c r="Z10" s="212"/>
      <c r="AA10" s="213"/>
      <c r="AB10" s="213"/>
      <c r="AC10" s="205"/>
      <c r="AD10" s="213"/>
      <c r="AE10" s="214"/>
      <c r="AF10" s="213"/>
      <c r="AG10" s="213"/>
      <c r="AH10" s="213"/>
      <c r="AI10" s="214"/>
    </row>
    <row r="11" spans="1:35" x14ac:dyDescent="0.2">
      <c r="A11" s="201">
        <f t="shared" si="2"/>
        <v>2018</v>
      </c>
      <c r="B11" s="201">
        <v>3</v>
      </c>
      <c r="C11" s="201">
        <v>6</v>
      </c>
      <c r="D11" s="201">
        <v>8</v>
      </c>
      <c r="E11" s="203">
        <f t="shared" si="3"/>
        <v>137.61792399999999</v>
      </c>
      <c r="F11" s="203">
        <f t="shared" si="0"/>
        <v>2339.1659840000002</v>
      </c>
      <c r="G11" s="203">
        <f t="shared" si="0"/>
        <v>649.09202300000004</v>
      </c>
      <c r="H11" s="203">
        <f t="shared" si="4"/>
        <v>3079.2769899999998</v>
      </c>
      <c r="I11" s="203">
        <f t="shared" si="4"/>
        <v>456.69215200000002</v>
      </c>
      <c r="J11" s="203">
        <f t="shared" ref="J11:J20" si="5">Q11+T11</f>
        <v>1207.012692</v>
      </c>
      <c r="K11" s="210">
        <v>2.6965200000000005</v>
      </c>
      <c r="L11" s="203">
        <f t="shared" si="1"/>
        <v>7871.5542850000011</v>
      </c>
      <c r="N11" s="211">
        <v>137.61792399999999</v>
      </c>
      <c r="O11" s="201">
        <v>2339.1659840000002</v>
      </c>
      <c r="P11" s="210">
        <v>649.09202300000004</v>
      </c>
      <c r="Q11" s="210">
        <v>1002.16935</v>
      </c>
      <c r="R11" s="210">
        <v>3079.2769899999998</v>
      </c>
      <c r="S11" s="210">
        <v>456.69215200000002</v>
      </c>
      <c r="T11" s="210">
        <v>204.84334200000001</v>
      </c>
      <c r="U11" s="210">
        <v>2.6965200000000005</v>
      </c>
      <c r="V11" s="210">
        <v>0</v>
      </c>
      <c r="W11" s="210"/>
      <c r="X11" s="210"/>
      <c r="Y11" s="205"/>
      <c r="Z11" s="212"/>
      <c r="AA11" s="213"/>
      <c r="AB11" s="213"/>
      <c r="AC11" s="205"/>
      <c r="AD11" s="213"/>
      <c r="AE11" s="214"/>
      <c r="AF11" s="213"/>
      <c r="AG11" s="213"/>
      <c r="AH11" s="213"/>
      <c r="AI11" s="214"/>
    </row>
    <row r="12" spans="1:35" x14ac:dyDescent="0.2">
      <c r="A12" s="201">
        <f t="shared" si="2"/>
        <v>2018</v>
      </c>
      <c r="B12" s="201">
        <v>4</v>
      </c>
      <c r="C12" s="201">
        <v>3</v>
      </c>
      <c r="D12" s="201">
        <v>8</v>
      </c>
      <c r="E12" s="203">
        <f t="shared" si="3"/>
        <v>122.868889</v>
      </c>
      <c r="F12" s="203">
        <f t="shared" si="0"/>
        <v>2196.1071139999999</v>
      </c>
      <c r="G12" s="203">
        <f t="shared" si="0"/>
        <v>583.68811200000005</v>
      </c>
      <c r="H12" s="203">
        <f t="shared" si="4"/>
        <v>2911.8488469999998</v>
      </c>
      <c r="I12" s="203">
        <f t="shared" si="4"/>
        <v>437.32397200000003</v>
      </c>
      <c r="J12" s="203">
        <f t="shared" si="5"/>
        <v>1192.045942</v>
      </c>
      <c r="K12" s="210">
        <v>2.4628799999999975</v>
      </c>
      <c r="L12" s="203">
        <f t="shared" si="1"/>
        <v>7446.3457559999988</v>
      </c>
      <c r="N12" s="211">
        <v>122.868889</v>
      </c>
      <c r="O12" s="201">
        <v>2196.1071139999999</v>
      </c>
      <c r="P12" s="210">
        <v>583.68811200000005</v>
      </c>
      <c r="Q12" s="210">
        <v>990.94360600000005</v>
      </c>
      <c r="R12" s="210">
        <v>2911.8488469999998</v>
      </c>
      <c r="S12" s="210">
        <v>437.32397200000003</v>
      </c>
      <c r="T12" s="210">
        <v>201.10233600000001</v>
      </c>
      <c r="U12" s="210">
        <v>2.4628799999999975</v>
      </c>
      <c r="V12" s="210">
        <v>0</v>
      </c>
      <c r="W12" s="210"/>
      <c r="X12" s="210"/>
      <c r="Y12" s="205"/>
      <c r="Z12" s="212"/>
      <c r="AA12" s="213"/>
      <c r="AB12" s="213"/>
      <c r="AC12" s="205"/>
      <c r="AD12" s="213"/>
      <c r="AE12" s="214"/>
      <c r="AF12" s="213"/>
      <c r="AG12" s="213"/>
      <c r="AH12" s="213"/>
      <c r="AI12" s="214"/>
    </row>
    <row r="13" spans="1:35" x14ac:dyDescent="0.2">
      <c r="A13" s="201">
        <f t="shared" si="2"/>
        <v>2018</v>
      </c>
      <c r="B13" s="201">
        <v>5</v>
      </c>
      <c r="C13" s="201">
        <v>24</v>
      </c>
      <c r="D13" s="201">
        <v>18</v>
      </c>
      <c r="E13" s="203">
        <f t="shared" si="3"/>
        <v>96.114286000000007</v>
      </c>
      <c r="F13" s="203">
        <f t="shared" si="0"/>
        <v>1783.552498</v>
      </c>
      <c r="G13" s="203">
        <f t="shared" si="0"/>
        <v>619.17309299999999</v>
      </c>
      <c r="H13" s="203">
        <f t="shared" si="4"/>
        <v>3635.2044540000002</v>
      </c>
      <c r="I13" s="203">
        <f t="shared" si="4"/>
        <v>442.608473</v>
      </c>
      <c r="J13" s="203">
        <f t="shared" si="5"/>
        <v>1148.3029690000001</v>
      </c>
      <c r="K13" s="210">
        <v>2.3193999999999977</v>
      </c>
      <c r="L13" s="203">
        <f t="shared" si="1"/>
        <v>7727.2751730000009</v>
      </c>
      <c r="N13" s="211">
        <v>96.114286000000007</v>
      </c>
      <c r="O13" s="201">
        <v>1783.552498</v>
      </c>
      <c r="P13" s="210">
        <v>619.17309299999999</v>
      </c>
      <c r="Q13" s="210">
        <v>964.71580900000004</v>
      </c>
      <c r="R13" s="210">
        <v>3635.2044540000002</v>
      </c>
      <c r="S13" s="210">
        <v>442.608473</v>
      </c>
      <c r="T13" s="210">
        <v>183.58716000000001</v>
      </c>
      <c r="U13" s="210">
        <v>2.3193999999999977</v>
      </c>
      <c r="V13" s="210">
        <v>0</v>
      </c>
      <c r="W13" s="210"/>
      <c r="X13" s="210"/>
      <c r="Y13" s="205"/>
      <c r="Z13" s="212"/>
      <c r="AA13" s="213"/>
      <c r="AB13" s="213"/>
      <c r="AC13" s="205"/>
      <c r="AD13" s="213"/>
      <c r="AE13" s="214"/>
      <c r="AF13" s="213"/>
      <c r="AG13" s="213"/>
      <c r="AH13" s="213"/>
      <c r="AI13" s="214"/>
    </row>
    <row r="14" spans="1:35" x14ac:dyDescent="0.2">
      <c r="A14" s="201">
        <f t="shared" si="2"/>
        <v>2018</v>
      </c>
      <c r="B14" s="201">
        <v>6</v>
      </c>
      <c r="C14" s="201">
        <v>27</v>
      </c>
      <c r="D14" s="201">
        <v>17</v>
      </c>
      <c r="E14" s="203">
        <f t="shared" si="3"/>
        <v>125.003747</v>
      </c>
      <c r="F14" s="203">
        <f t="shared" si="0"/>
        <v>1913.847792</v>
      </c>
      <c r="G14" s="203">
        <f t="shared" si="0"/>
        <v>640.05907000000002</v>
      </c>
      <c r="H14" s="203">
        <f t="shared" si="4"/>
        <v>4828.9532547500003</v>
      </c>
      <c r="I14" s="203">
        <f t="shared" si="4"/>
        <v>744.41809899999998</v>
      </c>
      <c r="J14" s="203">
        <f t="shared" si="5"/>
        <v>1230.201037</v>
      </c>
      <c r="K14" s="210">
        <v>3.5865199999999966</v>
      </c>
      <c r="L14" s="203">
        <f t="shared" si="1"/>
        <v>9486.0695197500027</v>
      </c>
      <c r="N14" s="211">
        <v>125.003747</v>
      </c>
      <c r="O14" s="201">
        <v>1913.847792</v>
      </c>
      <c r="P14" s="210">
        <v>640.05907000000002</v>
      </c>
      <c r="Q14" s="210">
        <v>1031.898465</v>
      </c>
      <c r="R14" s="210">
        <v>4828.9532547500003</v>
      </c>
      <c r="S14" s="210">
        <v>744.41809899999998</v>
      </c>
      <c r="T14" s="210">
        <v>198.302572</v>
      </c>
      <c r="U14" s="210">
        <v>3.5865199999999966</v>
      </c>
      <c r="V14" s="210">
        <v>0</v>
      </c>
      <c r="W14" s="210"/>
      <c r="X14" s="210"/>
      <c r="Y14" s="205"/>
      <c r="Z14" s="212"/>
      <c r="AA14" s="213"/>
      <c r="AB14" s="213"/>
      <c r="AC14" s="205"/>
      <c r="AD14" s="213"/>
      <c r="AE14" s="214"/>
      <c r="AF14" s="213"/>
      <c r="AG14" s="213"/>
      <c r="AH14" s="213"/>
      <c r="AI14" s="214"/>
    </row>
    <row r="15" spans="1:35" x14ac:dyDescent="0.2">
      <c r="A15" s="201">
        <f t="shared" si="2"/>
        <v>2018</v>
      </c>
      <c r="B15" s="201">
        <v>7</v>
      </c>
      <c r="C15" s="201">
        <v>16</v>
      </c>
      <c r="D15" s="201">
        <v>17</v>
      </c>
      <c r="E15" s="203">
        <f t="shared" si="3"/>
        <v>125.975133</v>
      </c>
      <c r="F15" s="203">
        <f t="shared" si="0"/>
        <v>2525.634556</v>
      </c>
      <c r="G15" s="203">
        <f t="shared" si="0"/>
        <v>790.07236</v>
      </c>
      <c r="H15" s="203">
        <f t="shared" si="4"/>
        <v>4954.2654285999997</v>
      </c>
      <c r="I15" s="203">
        <f t="shared" si="4"/>
        <v>669.16230899999994</v>
      </c>
      <c r="J15" s="203">
        <f t="shared" si="5"/>
        <v>1294.506809</v>
      </c>
      <c r="K15" s="210">
        <v>3.2010400000000008</v>
      </c>
      <c r="L15" s="203">
        <f t="shared" si="1"/>
        <v>10362.817635599999</v>
      </c>
      <c r="N15" s="211">
        <v>125.975133</v>
      </c>
      <c r="O15" s="201">
        <v>2525.634556</v>
      </c>
      <c r="P15" s="210">
        <v>790.07236</v>
      </c>
      <c r="Q15" s="210">
        <v>1082.492945</v>
      </c>
      <c r="R15" s="210">
        <v>4954.2654285999997</v>
      </c>
      <c r="S15" s="210">
        <v>669.16230899999994</v>
      </c>
      <c r="T15" s="210">
        <v>212.01386400000001</v>
      </c>
      <c r="U15" s="210">
        <v>3.2010400000000008</v>
      </c>
      <c r="V15" s="210">
        <v>0</v>
      </c>
      <c r="W15" s="210"/>
      <c r="X15" s="210"/>
      <c r="Y15" s="205"/>
      <c r="Z15" s="212"/>
      <c r="AA15" s="213"/>
      <c r="AB15" s="213"/>
      <c r="AC15" s="205"/>
      <c r="AD15" s="213"/>
      <c r="AE15" s="214"/>
      <c r="AF15" s="213"/>
      <c r="AG15" s="213"/>
      <c r="AH15" s="213"/>
      <c r="AI15" s="214"/>
    </row>
    <row r="16" spans="1:35" x14ac:dyDescent="0.2">
      <c r="A16" s="201">
        <f t="shared" si="2"/>
        <v>2018</v>
      </c>
      <c r="B16" s="201">
        <v>8</v>
      </c>
      <c r="C16" s="201">
        <v>9</v>
      </c>
      <c r="D16" s="201">
        <v>16</v>
      </c>
      <c r="E16" s="203">
        <f t="shared" si="3"/>
        <v>133.22586799999999</v>
      </c>
      <c r="F16" s="203">
        <f t="shared" si="0"/>
        <v>2491.1907449999999</v>
      </c>
      <c r="G16" s="203">
        <f t="shared" si="0"/>
        <v>839.87825899999996</v>
      </c>
      <c r="H16" s="203">
        <f t="shared" si="4"/>
        <v>4842.79345595</v>
      </c>
      <c r="I16" s="203">
        <f t="shared" si="4"/>
        <v>566.91101200000003</v>
      </c>
      <c r="J16" s="203">
        <f t="shared" si="5"/>
        <v>1272.3112649999998</v>
      </c>
      <c r="K16" s="210">
        <v>3.7933600000000007</v>
      </c>
      <c r="L16" s="203">
        <f t="shared" si="1"/>
        <v>10150.10396495</v>
      </c>
      <c r="N16" s="211">
        <v>133.22586799999999</v>
      </c>
      <c r="O16" s="201">
        <v>2491.1907449999999</v>
      </c>
      <c r="P16" s="210">
        <v>839.87825899999996</v>
      </c>
      <c r="Q16" s="210">
        <v>1077.6613159999999</v>
      </c>
      <c r="R16" s="210">
        <v>4842.79345595</v>
      </c>
      <c r="S16" s="210">
        <v>566.91101200000003</v>
      </c>
      <c r="T16" s="210">
        <v>194.64994899999999</v>
      </c>
      <c r="U16" s="210">
        <v>3.7933600000000007</v>
      </c>
      <c r="V16" s="210">
        <v>0</v>
      </c>
      <c r="W16" s="210"/>
      <c r="X16" s="210"/>
      <c r="Y16" s="205"/>
      <c r="Z16" s="212"/>
      <c r="AA16" s="213"/>
      <c r="AB16" s="213"/>
      <c r="AC16" s="205"/>
      <c r="AD16" s="213"/>
      <c r="AE16" s="214"/>
      <c r="AF16" s="213"/>
      <c r="AG16" s="213"/>
      <c r="AH16" s="213"/>
      <c r="AI16" s="214"/>
    </row>
    <row r="17" spans="1:35" x14ac:dyDescent="0.2">
      <c r="A17" s="201">
        <f t="shared" si="2"/>
        <v>2018</v>
      </c>
      <c r="B17" s="201">
        <v>9</v>
      </c>
      <c r="C17" s="201">
        <v>7</v>
      </c>
      <c r="D17" s="201">
        <v>17</v>
      </c>
      <c r="E17" s="203">
        <f t="shared" si="3"/>
        <v>103.434673</v>
      </c>
      <c r="F17" s="203">
        <f t="shared" si="0"/>
        <v>1933.790117</v>
      </c>
      <c r="G17" s="203">
        <f t="shared" si="0"/>
        <v>694.39269300000001</v>
      </c>
      <c r="H17" s="203">
        <f t="shared" si="4"/>
        <v>4319.7224706999996</v>
      </c>
      <c r="I17" s="203">
        <f t="shared" si="4"/>
        <v>531.14670000000001</v>
      </c>
      <c r="J17" s="203">
        <f t="shared" si="5"/>
        <v>1181.0903699999999</v>
      </c>
      <c r="K17" s="210">
        <v>2.5930400000000007</v>
      </c>
      <c r="L17" s="203">
        <f t="shared" si="1"/>
        <v>8766.1700636999994</v>
      </c>
      <c r="N17" s="211">
        <v>103.434673</v>
      </c>
      <c r="O17" s="201">
        <v>1933.790117</v>
      </c>
      <c r="P17" s="210">
        <v>694.39269300000001</v>
      </c>
      <c r="Q17" s="210">
        <v>987.07255299999997</v>
      </c>
      <c r="R17" s="210">
        <v>4319.7224706999996</v>
      </c>
      <c r="S17" s="210">
        <v>531.14670000000001</v>
      </c>
      <c r="T17" s="210">
        <v>194.01781700000001</v>
      </c>
      <c r="U17" s="210">
        <v>2.5930400000000007</v>
      </c>
      <c r="V17" s="210">
        <v>0</v>
      </c>
      <c r="W17" s="210"/>
      <c r="X17" s="210"/>
      <c r="Y17" s="205"/>
      <c r="Z17" s="212"/>
      <c r="AA17" s="213"/>
      <c r="AB17" s="213"/>
      <c r="AC17" s="205"/>
      <c r="AD17" s="213"/>
      <c r="AE17" s="214"/>
      <c r="AF17" s="213"/>
      <c r="AG17" s="213"/>
      <c r="AH17" s="213"/>
      <c r="AI17" s="214"/>
    </row>
    <row r="18" spans="1:35" x14ac:dyDescent="0.2">
      <c r="A18" s="201">
        <f t="shared" si="2"/>
        <v>2018</v>
      </c>
      <c r="B18" s="201">
        <v>10</v>
      </c>
      <c r="C18" s="201">
        <v>1</v>
      </c>
      <c r="D18" s="201">
        <v>20</v>
      </c>
      <c r="E18" s="203">
        <f t="shared" si="3"/>
        <v>97.349031999999994</v>
      </c>
      <c r="F18" s="203">
        <f t="shared" si="0"/>
        <v>1656.4599519999999</v>
      </c>
      <c r="G18" s="203">
        <f t="shared" si="0"/>
        <v>547.09491000000003</v>
      </c>
      <c r="H18" s="203">
        <f t="shared" si="4"/>
        <v>3356.6651149999998</v>
      </c>
      <c r="I18" s="203">
        <f t="shared" si="4"/>
        <v>439.33160800000002</v>
      </c>
      <c r="J18" s="203">
        <f t="shared" si="5"/>
        <v>1150.5489030000001</v>
      </c>
      <c r="K18" s="210">
        <v>2.2175599999999975</v>
      </c>
      <c r="L18" s="203">
        <f t="shared" si="1"/>
        <v>7249.6670800000002</v>
      </c>
      <c r="N18" s="211">
        <v>97.349031999999994</v>
      </c>
      <c r="O18" s="201">
        <v>1656.4599519999999</v>
      </c>
      <c r="P18" s="210">
        <v>547.09491000000003</v>
      </c>
      <c r="Q18" s="210">
        <v>952.51979600000004</v>
      </c>
      <c r="R18" s="210">
        <v>3356.6651149999998</v>
      </c>
      <c r="S18" s="210">
        <v>439.33160800000002</v>
      </c>
      <c r="T18" s="210">
        <v>198.02910700000001</v>
      </c>
      <c r="U18" s="210">
        <v>2.2175599999999975</v>
      </c>
      <c r="V18" s="210">
        <v>0</v>
      </c>
      <c r="W18" s="210"/>
      <c r="X18" s="210"/>
      <c r="Y18" s="205"/>
      <c r="Z18" s="212"/>
      <c r="AA18" s="213"/>
      <c r="AB18" s="213"/>
      <c r="AC18" s="205"/>
      <c r="AD18" s="213"/>
      <c r="AE18" s="214"/>
      <c r="AF18" s="213"/>
      <c r="AG18" s="213"/>
      <c r="AH18" s="213"/>
      <c r="AI18" s="214"/>
    </row>
    <row r="19" spans="1:35" x14ac:dyDescent="0.2">
      <c r="A19" s="201">
        <f t="shared" si="2"/>
        <v>2018</v>
      </c>
      <c r="B19" s="201">
        <v>11</v>
      </c>
      <c r="C19" s="201">
        <v>20</v>
      </c>
      <c r="D19" s="201">
        <v>8</v>
      </c>
      <c r="E19" s="203">
        <f t="shared" si="3"/>
        <v>130.85122100000001</v>
      </c>
      <c r="F19" s="203">
        <f t="shared" si="0"/>
        <v>2231.3215970000001</v>
      </c>
      <c r="G19" s="203">
        <f t="shared" si="0"/>
        <v>720.69091800000001</v>
      </c>
      <c r="H19" s="203">
        <f t="shared" si="4"/>
        <v>3111.3270729999999</v>
      </c>
      <c r="I19" s="203">
        <f t="shared" si="4"/>
        <v>436.765872</v>
      </c>
      <c r="J19" s="203">
        <f t="shared" si="5"/>
        <v>1218.00857</v>
      </c>
      <c r="K19" s="210">
        <v>2.7598799999999972</v>
      </c>
      <c r="L19" s="203">
        <f t="shared" si="1"/>
        <v>7851.7251309999992</v>
      </c>
      <c r="N19" s="211">
        <v>130.85122100000001</v>
      </c>
      <c r="O19" s="201">
        <v>2231.3215970000001</v>
      </c>
      <c r="P19" s="210">
        <v>720.69091800000001</v>
      </c>
      <c r="Q19" s="210">
        <v>1034.3805199999999</v>
      </c>
      <c r="R19" s="210">
        <v>3111.3270729999999</v>
      </c>
      <c r="S19" s="210">
        <v>436.765872</v>
      </c>
      <c r="T19" s="210">
        <v>183.62805</v>
      </c>
      <c r="U19" s="210">
        <v>2.7598799999999972</v>
      </c>
      <c r="V19" s="210">
        <v>0</v>
      </c>
      <c r="W19" s="210"/>
      <c r="X19" s="210"/>
      <c r="Y19" s="205"/>
      <c r="Z19" s="212"/>
      <c r="AA19" s="213"/>
      <c r="AB19" s="213"/>
      <c r="AC19" s="205"/>
      <c r="AD19" s="213"/>
      <c r="AE19" s="214"/>
      <c r="AF19" s="213"/>
      <c r="AG19" s="213"/>
      <c r="AH19" s="213"/>
      <c r="AI19" s="214"/>
    </row>
    <row r="20" spans="1:35" x14ac:dyDescent="0.2">
      <c r="A20" s="201">
        <f t="shared" si="2"/>
        <v>2018</v>
      </c>
      <c r="B20" s="201">
        <v>12</v>
      </c>
      <c r="C20" s="201">
        <v>7</v>
      </c>
      <c r="D20" s="201">
        <v>8</v>
      </c>
      <c r="E20" s="203">
        <f t="shared" si="3"/>
        <v>138.106269</v>
      </c>
      <c r="F20" s="203">
        <f t="shared" si="0"/>
        <v>2475.9628509999998</v>
      </c>
      <c r="G20" s="203">
        <f t="shared" si="0"/>
        <v>699.31513099999995</v>
      </c>
      <c r="H20" s="203">
        <f t="shared" si="4"/>
        <v>3280.223148</v>
      </c>
      <c r="I20" s="203">
        <f t="shared" si="4"/>
        <v>397.94795600000003</v>
      </c>
      <c r="J20" s="203">
        <f t="shared" si="5"/>
        <v>1251.951675</v>
      </c>
      <c r="K20" s="210">
        <v>2.7558399999999965</v>
      </c>
      <c r="L20" s="203">
        <f t="shared" si="1"/>
        <v>8246.2628699999987</v>
      </c>
      <c r="N20" s="211">
        <v>138.106269</v>
      </c>
      <c r="O20" s="201">
        <v>2475.9628509999998</v>
      </c>
      <c r="P20" s="210">
        <v>699.31513099999995</v>
      </c>
      <c r="Q20" s="210">
        <v>1047.0686439999999</v>
      </c>
      <c r="R20" s="210">
        <v>3280.223148</v>
      </c>
      <c r="S20" s="210">
        <v>397.94795600000003</v>
      </c>
      <c r="T20" s="210">
        <v>204.88303099999999</v>
      </c>
      <c r="U20" s="210">
        <v>2.7558399999999965</v>
      </c>
      <c r="V20" s="210">
        <v>0</v>
      </c>
      <c r="W20" s="210"/>
      <c r="X20" s="210"/>
      <c r="Y20" s="205"/>
      <c r="Z20" s="212"/>
      <c r="AA20" s="213"/>
      <c r="AB20" s="213"/>
      <c r="AC20" s="205"/>
      <c r="AD20" s="213"/>
      <c r="AE20" s="214"/>
      <c r="AF20" s="213"/>
      <c r="AG20" s="213"/>
      <c r="AH20" s="213"/>
      <c r="AI20" s="214"/>
    </row>
    <row r="21" spans="1:35" ht="13.5" thickBot="1" x14ac:dyDescent="0.25">
      <c r="B21" s="201" t="s">
        <v>106</v>
      </c>
      <c r="E21" s="215">
        <f>SUM(E9:E20)</f>
        <v>1488.015519</v>
      </c>
      <c r="F21" s="215">
        <f>SUM(F9:F20)</f>
        <v>26358.527597000004</v>
      </c>
      <c r="G21" s="215">
        <f>SUM(G9:G20)</f>
        <v>8296.0465469999999</v>
      </c>
      <c r="H21" s="215">
        <f t="shared" ref="H21:K21" si="6">SUM(H9:H20)</f>
        <v>44831.188087250004</v>
      </c>
      <c r="I21" s="215">
        <f>SUM(I9:I20)</f>
        <v>6019.5138919999999</v>
      </c>
      <c r="J21" s="215">
        <f t="shared" si="6"/>
        <v>14633.609805000002</v>
      </c>
      <c r="K21" s="215">
        <f t="shared" si="6"/>
        <v>33.699479999999987</v>
      </c>
      <c r="L21" s="215">
        <f>SUM(L9:L20)</f>
        <v>101660.60092724999</v>
      </c>
      <c r="N21" s="215">
        <f t="shared" ref="N21:V21" si="7">SUM(N9:N20)</f>
        <v>1488.015519</v>
      </c>
      <c r="O21" s="215">
        <f t="shared" si="7"/>
        <v>26358.527597000004</v>
      </c>
      <c r="P21" s="215">
        <f t="shared" si="7"/>
        <v>8296.0465469999999</v>
      </c>
      <c r="Q21" s="215">
        <f t="shared" si="7"/>
        <v>12239.587297000002</v>
      </c>
      <c r="R21" s="215">
        <f t="shared" si="7"/>
        <v>44831.188087250004</v>
      </c>
      <c r="S21" s="215">
        <f t="shared" si="7"/>
        <v>6019.5138919999999</v>
      </c>
      <c r="T21" s="215">
        <f t="shared" si="7"/>
        <v>2394.022508</v>
      </c>
      <c r="U21" s="215">
        <f t="shared" si="7"/>
        <v>33.699479999999987</v>
      </c>
      <c r="V21" s="215">
        <f t="shared" si="7"/>
        <v>0</v>
      </c>
      <c r="W21" s="205"/>
      <c r="X21" s="205"/>
      <c r="Y21" s="205"/>
      <c r="Z21" s="212"/>
      <c r="AA21" s="213"/>
      <c r="AB21" s="213"/>
      <c r="AC21" s="205"/>
      <c r="AD21" s="213"/>
      <c r="AE21" s="214"/>
      <c r="AF21" s="213"/>
      <c r="AG21" s="213"/>
      <c r="AH21" s="213"/>
      <c r="AI21" s="214"/>
    </row>
    <row r="22" spans="1:35" ht="13.5" thickTop="1" x14ac:dyDescent="0.2">
      <c r="L22" s="216"/>
      <c r="N22" s="217"/>
      <c r="O22" s="217"/>
      <c r="P22" s="217"/>
      <c r="Q22" s="217"/>
      <c r="R22" s="217"/>
      <c r="S22" s="217"/>
      <c r="T22" s="217"/>
      <c r="U22" s="217"/>
      <c r="V22" s="217"/>
      <c r="W22" s="205"/>
      <c r="X22" s="205"/>
      <c r="Y22" s="205"/>
      <c r="Z22" s="205"/>
      <c r="AA22" s="205"/>
      <c r="AB22" s="205"/>
      <c r="AC22" s="205"/>
      <c r="AD22" s="205"/>
      <c r="AE22" s="205"/>
      <c r="AF22" s="205"/>
      <c r="AG22" s="205"/>
      <c r="AH22" s="205"/>
      <c r="AI22" s="205"/>
    </row>
    <row r="23" spans="1:35" x14ac:dyDescent="0.2">
      <c r="A23" s="201" t="s">
        <v>107</v>
      </c>
      <c r="E23" s="218">
        <f>E21/$L$21</f>
        <v>1.4637091512619018E-2</v>
      </c>
      <c r="F23" s="218">
        <f>F21/$L$21</f>
        <v>0.25927967527816015</v>
      </c>
      <c r="G23" s="218">
        <f>G21/$L$21</f>
        <v>8.160532665881827E-2</v>
      </c>
      <c r="H23" s="218">
        <f t="shared" ref="H23:K23" si="8">H21/$L$21</f>
        <v>0.44098881649668725</v>
      </c>
      <c r="I23" s="218">
        <f>I21/$L$21</f>
        <v>5.9211866122133819E-2</v>
      </c>
      <c r="J23" s="218">
        <f t="shared" si="8"/>
        <v>0.14394573385880391</v>
      </c>
      <c r="K23" s="218">
        <f t="shared" si="8"/>
        <v>3.3149007277771152E-4</v>
      </c>
      <c r="L23" s="218">
        <f>SUM(E23:K23)</f>
        <v>1</v>
      </c>
      <c r="N23" s="205"/>
      <c r="P23" s="205"/>
      <c r="Q23" s="205"/>
      <c r="R23" s="205"/>
      <c r="S23" s="205"/>
      <c r="T23" s="205"/>
      <c r="U23" s="205"/>
      <c r="V23" s="205"/>
      <c r="W23" s="205"/>
      <c r="X23" s="205"/>
      <c r="Y23" s="205"/>
      <c r="Z23" s="219"/>
      <c r="AA23" s="220"/>
      <c r="AB23" s="220"/>
      <c r="AC23" s="205"/>
      <c r="AD23" s="205"/>
      <c r="AE23" s="221"/>
      <c r="AF23" s="205"/>
      <c r="AG23" s="205"/>
      <c r="AH23" s="205"/>
      <c r="AI23" s="205"/>
    </row>
    <row r="24" spans="1:35" x14ac:dyDescent="0.2">
      <c r="E24" s="222"/>
      <c r="F24" s="222"/>
      <c r="G24" s="222"/>
      <c r="H24" s="222"/>
      <c r="I24" s="222"/>
      <c r="J24" s="222"/>
      <c r="K24" s="222"/>
      <c r="O24" s="210"/>
    </row>
    <row r="25" spans="1:35" x14ac:dyDescent="0.2">
      <c r="O25" s="210"/>
    </row>
    <row r="26" spans="1:35" x14ac:dyDescent="0.2">
      <c r="A26" s="201" t="s">
        <v>108</v>
      </c>
      <c r="F26" s="206"/>
      <c r="K26" s="223"/>
      <c r="L26" s="223"/>
      <c r="O26" s="210"/>
    </row>
    <row r="27" spans="1:35" x14ac:dyDescent="0.2">
      <c r="A27" s="208" t="s">
        <v>93</v>
      </c>
      <c r="B27" s="208" t="s">
        <v>94</v>
      </c>
      <c r="E27" s="208" t="s">
        <v>97</v>
      </c>
      <c r="F27" s="208" t="s">
        <v>98</v>
      </c>
      <c r="G27" s="208" t="s">
        <v>99</v>
      </c>
      <c r="H27" s="208" t="s">
        <v>100</v>
      </c>
      <c r="I27" s="208" t="s">
        <v>101</v>
      </c>
      <c r="J27" s="208" t="s">
        <v>102</v>
      </c>
      <c r="K27" s="208" t="s">
        <v>80</v>
      </c>
      <c r="L27" s="208" t="s">
        <v>29</v>
      </c>
      <c r="N27" s="209" t="s">
        <v>97</v>
      </c>
      <c r="O27" s="209" t="s">
        <v>98</v>
      </c>
      <c r="P27" s="209" t="s">
        <v>99</v>
      </c>
      <c r="Q27" s="209" t="s">
        <v>103</v>
      </c>
      <c r="R27" s="209" t="s">
        <v>100</v>
      </c>
      <c r="S27" s="209" t="s">
        <v>101</v>
      </c>
      <c r="T27" s="209" t="s">
        <v>104</v>
      </c>
      <c r="U27" s="209" t="s">
        <v>80</v>
      </c>
      <c r="V27" s="201" t="s">
        <v>105</v>
      </c>
    </row>
    <row r="28" spans="1:35" x14ac:dyDescent="0.2">
      <c r="A28" s="201">
        <f t="shared" ref="A28:A39" si="9">YEAR($A$3)-1</f>
        <v>2018</v>
      </c>
      <c r="B28" s="201">
        <v>1</v>
      </c>
      <c r="E28" s="224">
        <f>N28</f>
        <v>75613.017325999986</v>
      </c>
      <c r="F28" s="224">
        <f t="shared" ref="F28:G39" si="10">O28</f>
        <v>1297035.7083739978</v>
      </c>
      <c r="G28" s="224">
        <f t="shared" si="10"/>
        <v>416625.97248899977</v>
      </c>
      <c r="H28" s="224">
        <f>R28</f>
        <v>2120800.24608</v>
      </c>
      <c r="I28" s="224">
        <f>S28</f>
        <v>303510.88105899986</v>
      </c>
      <c r="J28" s="224">
        <f>Q28+T28</f>
        <v>867711.36152100167</v>
      </c>
      <c r="K28" s="224">
        <f>U28</f>
        <v>1747.8435599999466</v>
      </c>
      <c r="L28" s="224">
        <f>SUM(E28:K28)</f>
        <v>5083045.0304089999</v>
      </c>
      <c r="M28" s="224"/>
      <c r="N28" s="224">
        <v>75613.017325999986</v>
      </c>
      <c r="O28" s="201">
        <v>1297035.7083739978</v>
      </c>
      <c r="P28" s="201">
        <v>416625.97248899977</v>
      </c>
      <c r="Q28" s="201">
        <v>716900.33115100162</v>
      </c>
      <c r="R28" s="201">
        <v>2120800.24608</v>
      </c>
      <c r="S28" s="201">
        <v>303510.88105899986</v>
      </c>
      <c r="T28" s="201">
        <v>150811.03036999999</v>
      </c>
      <c r="U28" s="201">
        <v>1747.8435599999466</v>
      </c>
      <c r="V28" s="203">
        <v>0</v>
      </c>
    </row>
    <row r="29" spans="1:35" x14ac:dyDescent="0.2">
      <c r="A29" s="201">
        <f t="shared" si="9"/>
        <v>2018</v>
      </c>
      <c r="B29" s="201">
        <v>2</v>
      </c>
      <c r="E29" s="224">
        <f t="shared" ref="E29:E39" si="11">N29</f>
        <v>69393.990025999985</v>
      </c>
      <c r="F29" s="224">
        <f t="shared" si="10"/>
        <v>1190218.6072759987</v>
      </c>
      <c r="G29" s="224">
        <f t="shared" si="10"/>
        <v>358564.046042</v>
      </c>
      <c r="H29" s="224">
        <f t="shared" ref="H29:I39" si="12">R29</f>
        <v>1880545.9639610003</v>
      </c>
      <c r="I29" s="224">
        <f t="shared" si="12"/>
        <v>249831.91975599976</v>
      </c>
      <c r="J29" s="224">
        <f>Q29+T29</f>
        <v>790333.35710299911</v>
      </c>
      <c r="K29" s="224">
        <f t="shared" ref="K29:K39" si="13">U29</f>
        <v>1502.9363199999966</v>
      </c>
      <c r="L29" s="224">
        <f t="shared" ref="L29:L39" si="14">SUM(E29:K29)</f>
        <v>4540390.8204839984</v>
      </c>
      <c r="N29" s="224">
        <v>69393.990025999985</v>
      </c>
      <c r="O29" s="201">
        <v>1190218.6072759987</v>
      </c>
      <c r="P29" s="201">
        <v>358564.046042</v>
      </c>
      <c r="Q29" s="201">
        <v>657265.88972899923</v>
      </c>
      <c r="R29" s="201">
        <v>1880545.9639610003</v>
      </c>
      <c r="S29" s="201">
        <v>249831.91975599976</v>
      </c>
      <c r="T29" s="201">
        <v>133067.46737399991</v>
      </c>
      <c r="U29" s="201">
        <v>1502.9363199999966</v>
      </c>
      <c r="V29" s="203">
        <v>0</v>
      </c>
    </row>
    <row r="30" spans="1:35" x14ac:dyDescent="0.2">
      <c r="A30" s="201">
        <f t="shared" si="9"/>
        <v>2018</v>
      </c>
      <c r="B30" s="201">
        <v>3</v>
      </c>
      <c r="E30" s="224">
        <f t="shared" si="11"/>
        <v>73387.150880999892</v>
      </c>
      <c r="F30" s="224">
        <f t="shared" si="10"/>
        <v>1233276.5080300008</v>
      </c>
      <c r="G30" s="224">
        <f t="shared" si="10"/>
        <v>352032.29393099959</v>
      </c>
      <c r="H30" s="224">
        <f t="shared" si="12"/>
        <v>2000252.9431900005</v>
      </c>
      <c r="I30" s="224">
        <f t="shared" si="12"/>
        <v>294938.14706799976</v>
      </c>
      <c r="J30" s="224">
        <f t="shared" ref="J30:J39" si="15">Q30+T30</f>
        <v>841976.29635100078</v>
      </c>
      <c r="K30" s="224">
        <f t="shared" si="13"/>
        <v>1567.42</v>
      </c>
      <c r="L30" s="224">
        <f t="shared" si="14"/>
        <v>4797430.7594510019</v>
      </c>
      <c r="N30" s="224">
        <v>73387.150880999892</v>
      </c>
      <c r="O30" s="201">
        <v>1233276.5080300008</v>
      </c>
      <c r="P30" s="201">
        <v>352032.29393099959</v>
      </c>
      <c r="Q30" s="201">
        <v>694712.63628200081</v>
      </c>
      <c r="R30" s="201">
        <v>2000252.9431900005</v>
      </c>
      <c r="S30" s="201">
        <v>294938.14706799976</v>
      </c>
      <c r="T30" s="201">
        <v>147263.66006900001</v>
      </c>
      <c r="U30" s="201">
        <v>1567.42</v>
      </c>
      <c r="V30" s="203">
        <v>0</v>
      </c>
    </row>
    <row r="31" spans="1:35" x14ac:dyDescent="0.2">
      <c r="A31" s="201">
        <f t="shared" si="9"/>
        <v>2018</v>
      </c>
      <c r="B31" s="201">
        <v>4</v>
      </c>
      <c r="E31" s="224">
        <f t="shared" si="11"/>
        <v>62320.23500700001</v>
      </c>
      <c r="F31" s="224">
        <f t="shared" si="10"/>
        <v>1074496.692889001</v>
      </c>
      <c r="G31" s="224">
        <f t="shared" si="10"/>
        <v>313247.68275699986</v>
      </c>
      <c r="H31" s="224">
        <f t="shared" si="12"/>
        <v>1880211.188118</v>
      </c>
      <c r="I31" s="224">
        <f t="shared" si="12"/>
        <v>275123.50950099947</v>
      </c>
      <c r="J31" s="224">
        <f t="shared" si="15"/>
        <v>775871.99761899957</v>
      </c>
      <c r="K31" s="224">
        <f t="shared" si="13"/>
        <v>1413.6267199999465</v>
      </c>
      <c r="L31" s="224">
        <f t="shared" si="14"/>
        <v>4382684.9326109998</v>
      </c>
      <c r="N31" s="224">
        <v>62320.23500700001</v>
      </c>
      <c r="O31" s="201">
        <v>1074496.692889001</v>
      </c>
      <c r="P31" s="201">
        <v>313247.68275699986</v>
      </c>
      <c r="Q31" s="201">
        <v>641975.80545099953</v>
      </c>
      <c r="R31" s="201">
        <v>1880211.188118</v>
      </c>
      <c r="S31" s="201">
        <v>275123.50950099947</v>
      </c>
      <c r="T31" s="201">
        <v>133896.19216799998</v>
      </c>
      <c r="U31" s="201">
        <v>1413.6267199999465</v>
      </c>
      <c r="V31" s="203">
        <v>0</v>
      </c>
    </row>
    <row r="32" spans="1:35" x14ac:dyDescent="0.2">
      <c r="A32" s="201">
        <f t="shared" si="9"/>
        <v>2018</v>
      </c>
      <c r="B32" s="201">
        <v>5</v>
      </c>
      <c r="E32" s="224">
        <f t="shared" si="11"/>
        <v>67753.994869000002</v>
      </c>
      <c r="F32" s="224">
        <f t="shared" si="10"/>
        <v>1056174.5840109992</v>
      </c>
      <c r="G32" s="224">
        <f t="shared" si="10"/>
        <v>314365.79684199934</v>
      </c>
      <c r="H32" s="224">
        <f t="shared" si="12"/>
        <v>2016077.7219830023</v>
      </c>
      <c r="I32" s="224">
        <f t="shared" si="12"/>
        <v>309974.36615699966</v>
      </c>
      <c r="J32" s="224">
        <f t="shared" si="15"/>
        <v>796456.02863300033</v>
      </c>
      <c r="K32" s="224">
        <f t="shared" si="13"/>
        <v>1458.198280000031</v>
      </c>
      <c r="L32" s="224">
        <f t="shared" si="14"/>
        <v>4562260.6907750005</v>
      </c>
      <c r="N32" s="224">
        <v>67753.994869000002</v>
      </c>
      <c r="O32" s="201">
        <v>1056174.5840109992</v>
      </c>
      <c r="P32" s="201">
        <v>314365.79684199934</v>
      </c>
      <c r="Q32" s="201">
        <v>657093.05933000031</v>
      </c>
      <c r="R32" s="201">
        <v>2016077.7219830023</v>
      </c>
      <c r="S32" s="201">
        <v>309974.36615699966</v>
      </c>
      <c r="T32" s="201">
        <v>139362.96930299996</v>
      </c>
      <c r="U32" s="201">
        <v>1458.198280000031</v>
      </c>
      <c r="V32" s="203">
        <v>0</v>
      </c>
    </row>
    <row r="33" spans="1:22" x14ac:dyDescent="0.2">
      <c r="A33" s="201">
        <f t="shared" si="9"/>
        <v>2018</v>
      </c>
      <c r="B33" s="201">
        <v>6</v>
      </c>
      <c r="E33" s="224">
        <f t="shared" si="11"/>
        <v>68258.64483099991</v>
      </c>
      <c r="F33" s="224">
        <f t="shared" si="10"/>
        <v>1079091.253859</v>
      </c>
      <c r="G33" s="224">
        <f t="shared" si="10"/>
        <v>337310.15116599976</v>
      </c>
      <c r="H33" s="224">
        <f t="shared" si="12"/>
        <v>2346066.8153664027</v>
      </c>
      <c r="I33" s="224">
        <f t="shared" si="12"/>
        <v>400420.36264200037</v>
      </c>
      <c r="J33" s="224">
        <f t="shared" si="15"/>
        <v>793292.35627699993</v>
      </c>
      <c r="K33" s="224">
        <f t="shared" si="13"/>
        <v>1661.5851200000532</v>
      </c>
      <c r="L33" s="224">
        <f t="shared" si="14"/>
        <v>5026101.1692614025</v>
      </c>
      <c r="N33" s="224">
        <v>68258.64483099991</v>
      </c>
      <c r="O33" s="201">
        <v>1079091.253859</v>
      </c>
      <c r="P33" s="201">
        <v>337310.15116599976</v>
      </c>
      <c r="Q33" s="201">
        <v>658944.02025599999</v>
      </c>
      <c r="R33" s="201">
        <v>2346066.8153664027</v>
      </c>
      <c r="S33" s="201">
        <v>400420.36264200037</v>
      </c>
      <c r="T33" s="201">
        <v>134348.33602099991</v>
      </c>
      <c r="U33" s="201">
        <v>1661.5851200000532</v>
      </c>
      <c r="V33" s="203">
        <v>0</v>
      </c>
    </row>
    <row r="34" spans="1:22" x14ac:dyDescent="0.2">
      <c r="A34" s="201">
        <f t="shared" si="9"/>
        <v>2018</v>
      </c>
      <c r="B34" s="201">
        <v>7</v>
      </c>
      <c r="E34" s="224">
        <f t="shared" si="11"/>
        <v>80309.68609900013</v>
      </c>
      <c r="F34" s="224">
        <f t="shared" si="10"/>
        <v>1280714.4341970002</v>
      </c>
      <c r="G34" s="224">
        <f t="shared" si="10"/>
        <v>412454.17001699976</v>
      </c>
      <c r="H34" s="224">
        <f t="shared" si="12"/>
        <v>2794975.9903756003</v>
      </c>
      <c r="I34" s="224">
        <f t="shared" si="12"/>
        <v>469109.74836399988</v>
      </c>
      <c r="J34" s="224">
        <f t="shared" si="15"/>
        <v>865845.80380800087</v>
      </c>
      <c r="K34" s="224">
        <f t="shared" si="13"/>
        <v>1991.4605199999996</v>
      </c>
      <c r="L34" s="224">
        <f t="shared" si="14"/>
        <v>5905401.2933806013</v>
      </c>
      <c r="N34" s="224">
        <v>80309.68609900013</v>
      </c>
      <c r="O34" s="201">
        <v>1280714.4341970002</v>
      </c>
      <c r="P34" s="201">
        <v>412454.17001699976</v>
      </c>
      <c r="Q34" s="201">
        <v>729432.78325900098</v>
      </c>
      <c r="R34" s="201">
        <v>2794975.9903756003</v>
      </c>
      <c r="S34" s="201">
        <v>469109.74836399988</v>
      </c>
      <c r="T34" s="201">
        <v>136413.02054899983</v>
      </c>
      <c r="U34" s="201">
        <v>1991.4605199999996</v>
      </c>
      <c r="V34" s="203">
        <v>0</v>
      </c>
    </row>
    <row r="35" spans="1:22" x14ac:dyDescent="0.2">
      <c r="A35" s="201">
        <f t="shared" si="9"/>
        <v>2018</v>
      </c>
      <c r="B35" s="201">
        <v>8</v>
      </c>
      <c r="E35" s="224">
        <f t="shared" si="11"/>
        <v>77748.09520099996</v>
      </c>
      <c r="F35" s="224">
        <f t="shared" si="10"/>
        <v>1231543.922492001</v>
      </c>
      <c r="G35" s="224">
        <f t="shared" si="10"/>
        <v>397083.9779469996</v>
      </c>
      <c r="H35" s="224">
        <f t="shared" si="12"/>
        <v>2605347.2930721007</v>
      </c>
      <c r="I35" s="224">
        <f t="shared" si="12"/>
        <v>373825.53828300047</v>
      </c>
      <c r="J35" s="224">
        <f t="shared" si="15"/>
        <v>821128.44827999978</v>
      </c>
      <c r="K35" s="224">
        <f t="shared" si="13"/>
        <v>1888.6553999999762</v>
      </c>
      <c r="L35" s="224">
        <f t="shared" si="14"/>
        <v>5508565.9306751015</v>
      </c>
      <c r="N35" s="224">
        <v>77748.09520099996</v>
      </c>
      <c r="O35" s="201">
        <v>1231543.922492001</v>
      </c>
      <c r="P35" s="201">
        <v>397083.9779469996</v>
      </c>
      <c r="Q35" s="201">
        <v>683164.97471299965</v>
      </c>
      <c r="R35" s="201">
        <v>2605347.2930721007</v>
      </c>
      <c r="S35" s="201">
        <v>373825.53828300047</v>
      </c>
      <c r="T35" s="201">
        <v>137963.4735670001</v>
      </c>
      <c r="U35" s="201">
        <v>1888.6553999999762</v>
      </c>
      <c r="V35" s="203">
        <v>0</v>
      </c>
    </row>
    <row r="36" spans="1:22" x14ac:dyDescent="0.2">
      <c r="A36" s="201">
        <f t="shared" si="9"/>
        <v>2018</v>
      </c>
      <c r="B36" s="201">
        <v>9</v>
      </c>
      <c r="E36" s="224">
        <f t="shared" si="11"/>
        <v>60193.778173000035</v>
      </c>
      <c r="F36" s="224">
        <f t="shared" si="10"/>
        <v>1034682.4672589998</v>
      </c>
      <c r="G36" s="224">
        <f t="shared" si="10"/>
        <v>338818.79230499995</v>
      </c>
      <c r="H36" s="224">
        <f t="shared" si="12"/>
        <v>2210801.2499771998</v>
      </c>
      <c r="I36" s="224">
        <f t="shared" si="12"/>
        <v>314324.84115300037</v>
      </c>
      <c r="J36" s="224">
        <f t="shared" si="15"/>
        <v>771037.8023620001</v>
      </c>
      <c r="K36" s="224">
        <f t="shared" si="13"/>
        <v>1534.3278400000333</v>
      </c>
      <c r="L36" s="224">
        <f t="shared" si="14"/>
        <v>4731393.2590692006</v>
      </c>
      <c r="N36" s="224">
        <v>60193.778173000035</v>
      </c>
      <c r="O36" s="201">
        <v>1034682.4672589998</v>
      </c>
      <c r="P36" s="201">
        <v>338818.79230499995</v>
      </c>
      <c r="Q36" s="201">
        <v>637754.98538200022</v>
      </c>
      <c r="R36" s="201">
        <v>2210801.2499771998</v>
      </c>
      <c r="S36" s="201">
        <v>314324.84115300037</v>
      </c>
      <c r="T36" s="201">
        <v>133282.81697999986</v>
      </c>
      <c r="U36" s="201">
        <v>1534.3278400000333</v>
      </c>
      <c r="V36" s="203">
        <v>0</v>
      </c>
    </row>
    <row r="37" spans="1:22" x14ac:dyDescent="0.2">
      <c r="A37" s="201">
        <f t="shared" si="9"/>
        <v>2018</v>
      </c>
      <c r="B37" s="201">
        <v>10</v>
      </c>
      <c r="E37" s="224">
        <f t="shared" si="11"/>
        <v>59119.019081999933</v>
      </c>
      <c r="F37" s="224">
        <f t="shared" si="10"/>
        <v>1081870.11467</v>
      </c>
      <c r="G37" s="224">
        <f t="shared" si="10"/>
        <v>332397.81391400006</v>
      </c>
      <c r="H37" s="224">
        <f t="shared" si="12"/>
        <v>1988193.6839940005</v>
      </c>
      <c r="I37" s="224">
        <f t="shared" si="12"/>
        <v>274638.25982500013</v>
      </c>
      <c r="J37" s="224">
        <f t="shared" si="15"/>
        <v>822154.89183099987</v>
      </c>
      <c r="K37" s="224">
        <f t="shared" si="13"/>
        <v>1434.5124399999715</v>
      </c>
      <c r="L37" s="224">
        <f t="shared" si="14"/>
        <v>4559808.2957560001</v>
      </c>
      <c r="N37" s="224">
        <v>59119.019081999933</v>
      </c>
      <c r="O37" s="201">
        <v>1081870.11467</v>
      </c>
      <c r="P37" s="201">
        <v>332397.81391400006</v>
      </c>
      <c r="Q37" s="201">
        <v>682209.57357300003</v>
      </c>
      <c r="R37" s="201">
        <v>1988193.6839940005</v>
      </c>
      <c r="S37" s="201">
        <v>274638.25982500013</v>
      </c>
      <c r="T37" s="201">
        <v>139945.31825799987</v>
      </c>
      <c r="U37" s="201">
        <v>1434.5124399999715</v>
      </c>
      <c r="V37" s="203">
        <v>0</v>
      </c>
    </row>
    <row r="38" spans="1:22" x14ac:dyDescent="0.2">
      <c r="A38" s="201">
        <f t="shared" si="9"/>
        <v>2018</v>
      </c>
      <c r="B38" s="201">
        <v>11</v>
      </c>
      <c r="E38" s="224">
        <f t="shared" si="11"/>
        <v>66082.44900099987</v>
      </c>
      <c r="F38" s="224">
        <f t="shared" si="10"/>
        <v>1190889.2880509996</v>
      </c>
      <c r="G38" s="224">
        <f t="shared" si="10"/>
        <v>372582.11306500004</v>
      </c>
      <c r="H38" s="224">
        <f t="shared" si="12"/>
        <v>2015625.8731420008</v>
      </c>
      <c r="I38" s="224">
        <f t="shared" si="12"/>
        <v>273886.00717500033</v>
      </c>
      <c r="J38" s="224">
        <f t="shared" si="15"/>
        <v>818493.72414599953</v>
      </c>
      <c r="K38" s="224">
        <f t="shared" si="13"/>
        <v>1637.5078799999653</v>
      </c>
      <c r="L38" s="224">
        <f t="shared" si="14"/>
        <v>4739196.9624600001</v>
      </c>
      <c r="N38" s="224">
        <v>66082.44900099987</v>
      </c>
      <c r="O38" s="201">
        <v>1190889.2880509996</v>
      </c>
      <c r="P38" s="201">
        <v>372582.11306500004</v>
      </c>
      <c r="Q38" s="201">
        <v>688812.28669899958</v>
      </c>
      <c r="R38" s="201">
        <v>2015625.8731420008</v>
      </c>
      <c r="S38" s="201">
        <v>273886.00717500033</v>
      </c>
      <c r="T38" s="201">
        <v>129681.43744699999</v>
      </c>
      <c r="U38" s="201">
        <v>1637.5078799999653</v>
      </c>
      <c r="V38" s="203">
        <v>0</v>
      </c>
    </row>
    <row r="39" spans="1:22" x14ac:dyDescent="0.2">
      <c r="A39" s="201">
        <f t="shared" si="9"/>
        <v>2018</v>
      </c>
      <c r="B39" s="201">
        <v>12</v>
      </c>
      <c r="E39" s="224">
        <f t="shared" si="11"/>
        <v>76181.495432999989</v>
      </c>
      <c r="F39" s="224">
        <f t="shared" si="10"/>
        <v>1347350.7048579997</v>
      </c>
      <c r="G39" s="224">
        <f t="shared" si="10"/>
        <v>415724.01928299962</v>
      </c>
      <c r="H39" s="224">
        <f t="shared" si="12"/>
        <v>2225897.2111881478</v>
      </c>
      <c r="I39" s="224">
        <f t="shared" si="12"/>
        <v>299235.38225999981</v>
      </c>
      <c r="J39" s="224">
        <f t="shared" si="15"/>
        <v>895029.10126399971</v>
      </c>
      <c r="K39" s="224">
        <f t="shared" si="13"/>
        <v>1920.1770400000178</v>
      </c>
      <c r="L39" s="224">
        <f t="shared" si="14"/>
        <v>5261338.0913261473</v>
      </c>
      <c r="N39" s="224">
        <v>76181.495432999989</v>
      </c>
      <c r="O39" s="201">
        <v>1347350.7048579997</v>
      </c>
      <c r="P39" s="201">
        <v>415724.01928299962</v>
      </c>
      <c r="Q39" s="201">
        <v>745070.75867099967</v>
      </c>
      <c r="R39" s="201">
        <v>2225897.2111881478</v>
      </c>
      <c r="S39" s="201">
        <v>299235.38225999981</v>
      </c>
      <c r="T39" s="201">
        <v>149958.3425930001</v>
      </c>
      <c r="U39" s="201">
        <v>1920.1770400000178</v>
      </c>
      <c r="V39" s="203">
        <v>0</v>
      </c>
    </row>
    <row r="40" spans="1:22" ht="13.5" thickBot="1" x14ac:dyDescent="0.25">
      <c r="B40" s="201" t="s">
        <v>109</v>
      </c>
      <c r="E40" s="225">
        <f>SUM(E28:E39)</f>
        <v>836361.55592899979</v>
      </c>
      <c r="F40" s="225">
        <f>SUM(F28:F39)</f>
        <v>14097344.285965998</v>
      </c>
      <c r="G40" s="225">
        <f>SUM(G28:G39)</f>
        <v>4361206.8297579978</v>
      </c>
      <c r="H40" s="225">
        <f t="shared" ref="H40:L40" si="16">SUM(H28:H39)</f>
        <v>26084796.180447455</v>
      </c>
      <c r="I40" s="225">
        <f>SUM(I28:I39)</f>
        <v>3838818.9632430002</v>
      </c>
      <c r="J40" s="225">
        <f t="shared" si="16"/>
        <v>9859331.1691950019</v>
      </c>
      <c r="K40" s="225">
        <f t="shared" si="16"/>
        <v>19758.251119999935</v>
      </c>
      <c r="L40" s="225">
        <f t="shared" si="16"/>
        <v>59097617.235658452</v>
      </c>
      <c r="N40" s="225">
        <v>836361.55592899979</v>
      </c>
      <c r="O40" s="225">
        <v>14097344.285965998</v>
      </c>
      <c r="P40" s="225">
        <v>4361206.8297579978</v>
      </c>
      <c r="Q40" s="225">
        <v>8193337.1044960013</v>
      </c>
      <c r="R40" s="225">
        <v>26084796.180447455</v>
      </c>
      <c r="S40" s="225">
        <v>3838818.9632430002</v>
      </c>
      <c r="T40" s="225">
        <v>1665994.0646989997</v>
      </c>
      <c r="U40" s="225">
        <v>19758.251119999935</v>
      </c>
    </row>
    <row r="41" spans="1:22" ht="14.25" thickTop="1" thickBot="1" x14ac:dyDescent="0.25">
      <c r="C41" s="224"/>
      <c r="D41" s="224"/>
      <c r="E41" s="224"/>
      <c r="F41" s="224"/>
      <c r="G41" s="224"/>
      <c r="H41" s="224"/>
      <c r="I41" s="224"/>
    </row>
    <row r="42" spans="1:22" x14ac:dyDescent="0.2">
      <c r="A42" s="201" t="s">
        <v>110</v>
      </c>
      <c r="E42" s="218">
        <f>E40/$L$40</f>
        <v>1.4152204353585243E-2</v>
      </c>
      <c r="F42" s="218">
        <f>F40/$L$40</f>
        <v>0.23854336173574034</v>
      </c>
      <c r="G42" s="218">
        <f>G40/$L$40</f>
        <v>7.3796661079704631E-2</v>
      </c>
      <c r="H42" s="226">
        <f t="shared" ref="H42:K42" si="17">H40/$L$40</f>
        <v>0.44138490518883988</v>
      </c>
      <c r="I42" s="218">
        <f>I40/$L$40</f>
        <v>6.4957254502077039E-2</v>
      </c>
      <c r="J42" s="218">
        <f t="shared" si="17"/>
        <v>0.16683128069072228</v>
      </c>
      <c r="K42" s="218">
        <f t="shared" si="17"/>
        <v>3.3433244933059938E-4</v>
      </c>
      <c r="L42" s="227">
        <f>SUM(E42:K42)</f>
        <v>1</v>
      </c>
    </row>
    <row r="43" spans="1:22" ht="13.5" thickBot="1" x14ac:dyDescent="0.25">
      <c r="A43" s="201" t="s">
        <v>111</v>
      </c>
      <c r="E43" s="218">
        <f>(E42*0.25)+(E23*0.75)</f>
        <v>1.4515869722860574E-2</v>
      </c>
      <c r="F43" s="218">
        <f>(F42*0.25)+(F23*0.75)</f>
        <v>0.25409559689255523</v>
      </c>
      <c r="G43" s="218">
        <f>(G42*0.25)+(G23*0.75)</f>
        <v>7.965316026403986E-2</v>
      </c>
      <c r="H43" s="228">
        <f t="shared" ref="H43:K43" si="18">(H42*0.25)+(H23*0.75)</f>
        <v>0.4410878386697254</v>
      </c>
      <c r="I43" s="218">
        <f>(I42*0.25)+(I23*0.75)</f>
        <v>6.0648213217119627E-2</v>
      </c>
      <c r="J43" s="218">
        <f>(J42*0.25)+(J23*0.75)</f>
        <v>0.1496671205667835</v>
      </c>
      <c r="K43" s="218">
        <f t="shared" si="18"/>
        <v>3.3220066691593345E-4</v>
      </c>
      <c r="L43" s="227">
        <f>SUM(E43:K43)</f>
        <v>1.0000000000000002</v>
      </c>
    </row>
    <row r="45" spans="1:22" x14ac:dyDescent="0.2">
      <c r="E45" s="222"/>
      <c r="F45" s="222"/>
      <c r="G45" s="222"/>
      <c r="H45" s="222"/>
      <c r="I45" s="222"/>
      <c r="J45" s="222"/>
      <c r="K45" s="222"/>
      <c r="L45" s="229"/>
    </row>
    <row r="46" spans="1:22" x14ac:dyDescent="0.2">
      <c r="A46" s="201" t="s">
        <v>112</v>
      </c>
    </row>
    <row r="47" spans="1:22" x14ac:dyDescent="0.2">
      <c r="A47" s="201" t="s">
        <v>113</v>
      </c>
    </row>
    <row r="48" spans="1:22" x14ac:dyDescent="0.2">
      <c r="A48" s="201" t="s">
        <v>107</v>
      </c>
      <c r="E48" s="230">
        <v>0</v>
      </c>
      <c r="F48" s="230">
        <v>0</v>
      </c>
      <c r="G48" s="230">
        <v>0</v>
      </c>
      <c r="H48" s="230">
        <v>0</v>
      </c>
      <c r="I48" s="230">
        <v>0</v>
      </c>
      <c r="J48" s="230">
        <v>0</v>
      </c>
      <c r="K48" s="230">
        <v>0</v>
      </c>
      <c r="L48" s="230">
        <v>0</v>
      </c>
    </row>
    <row r="49" spans="1:12" x14ac:dyDescent="0.2">
      <c r="A49" s="201" t="s">
        <v>110</v>
      </c>
      <c r="E49" s="229">
        <v>0</v>
      </c>
      <c r="F49" s="229">
        <v>0</v>
      </c>
      <c r="G49" s="229">
        <v>0</v>
      </c>
      <c r="H49" s="229">
        <v>0</v>
      </c>
      <c r="I49" s="229">
        <v>0</v>
      </c>
      <c r="J49" s="229">
        <v>0</v>
      </c>
      <c r="K49" s="229">
        <v>0</v>
      </c>
      <c r="L49" s="229">
        <v>0</v>
      </c>
    </row>
    <row r="50" spans="1:12" x14ac:dyDescent="0.2">
      <c r="A50" s="201" t="s">
        <v>111</v>
      </c>
      <c r="E50" s="229">
        <v>0</v>
      </c>
      <c r="F50" s="229">
        <v>0</v>
      </c>
      <c r="G50" s="229">
        <v>0</v>
      </c>
      <c r="H50" s="229">
        <v>0</v>
      </c>
      <c r="I50" s="229">
        <v>0</v>
      </c>
      <c r="J50" s="229">
        <v>0</v>
      </c>
      <c r="K50" s="229">
        <v>0</v>
      </c>
      <c r="L50" s="229">
        <v>0</v>
      </c>
    </row>
    <row r="52" spans="1:12" x14ac:dyDescent="0.2">
      <c r="A52" s="201" t="s">
        <v>114</v>
      </c>
      <c r="E52" s="224">
        <v>0</v>
      </c>
      <c r="F52" s="224">
        <v>0</v>
      </c>
      <c r="G52" s="224">
        <v>0</v>
      </c>
      <c r="H52" s="224">
        <v>0</v>
      </c>
      <c r="I52" s="224">
        <v>0</v>
      </c>
      <c r="J52" s="224">
        <v>0</v>
      </c>
      <c r="K52" s="231">
        <v>0</v>
      </c>
      <c r="L52" s="224">
        <v>0</v>
      </c>
    </row>
    <row r="53" spans="1:12" x14ac:dyDescent="0.2">
      <c r="A53" s="201" t="s">
        <v>109</v>
      </c>
      <c r="E53" s="224">
        <v>0</v>
      </c>
      <c r="F53" s="224">
        <v>0</v>
      </c>
      <c r="G53" s="224">
        <v>0</v>
      </c>
      <c r="H53" s="224">
        <v>0</v>
      </c>
      <c r="I53" s="224">
        <v>0</v>
      </c>
      <c r="J53" s="224">
        <v>0</v>
      </c>
      <c r="K53" s="224">
        <v>0</v>
      </c>
      <c r="L53" s="224">
        <v>0</v>
      </c>
    </row>
  </sheetData>
  <pageMargins left="0.7" right="0.7" top="0.75" bottom="0.75" header="0.3" footer="0.3"/>
  <pageSetup scale="79" orientation="landscape" r:id="rId1"/>
  <headerFooter>
    <oddFooter>&amp;C&amp;"Arial,Regular"&amp;10Page 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Index</vt:lpstr>
      <vt:lpstr>RMP_(THS-1)</vt:lpstr>
      <vt:lpstr>RMP_(THS-2)</vt:lpstr>
      <vt:lpstr>Page 2.1</vt:lpstr>
      <vt:lpstr>Page 2.2</vt:lpstr>
      <vt:lpstr>'Page 2.1'!Print_Area</vt:lpstr>
      <vt:lpstr>'Page 2.2'!Print_Area</vt:lpstr>
      <vt:lpstr>'RMP_(THS-1)'!Print_Area</vt:lpstr>
      <vt:lpstr>'RMP_(THS-2)'!Print_Area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2019-03-14T19:08:49Z</dcterms:created>
  <dcterms:modified xsi:type="dcterms:W3CDTF">2019-03-15T19:56:07Z</dcterms:modified>
  <cp:contentStatus/>
</cp:coreProperties>
</file>