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45" windowHeight="11505"/>
  </bookViews>
  <sheets>
    <sheet name="Summary" sheetId="2" r:id="rId1"/>
    <sheet name="2017 Dashboard" sheetId="1" r:id="rId2"/>
    <sheet name="2018 Dashboard" sheetId="4" r:id="rId3"/>
    <sheet name="Solar Credits Donated"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2" l="1"/>
  <c r="B25" i="2"/>
  <c r="B24" i="2"/>
  <c r="B30" i="2" l="1"/>
  <c r="E26" i="5"/>
  <c r="E25" i="5"/>
  <c r="E22" i="5"/>
  <c r="D22" i="5"/>
  <c r="F22" i="5" s="1"/>
  <c r="E21" i="5"/>
  <c r="D21" i="5"/>
  <c r="F21" i="5" s="1"/>
  <c r="B12" i="5"/>
  <c r="B10" i="5"/>
  <c r="B6" i="5"/>
  <c r="B14" i="5" s="1"/>
  <c r="B26" i="5" l="1"/>
  <c r="D26" i="5" s="1"/>
  <c r="F26" i="5" s="1"/>
  <c r="B25" i="5"/>
  <c r="D25" i="5" s="1"/>
  <c r="F25" i="5" s="1"/>
  <c r="F29" i="5" s="1"/>
  <c r="F31" i="5" s="1"/>
  <c r="C30" i="2" s="1"/>
  <c r="B19" i="2" l="1"/>
  <c r="E17" i="2" l="1"/>
  <c r="H7" i="4" l="1"/>
  <c r="K7" i="4" s="1"/>
  <c r="H8" i="4"/>
  <c r="K8" i="4" s="1"/>
  <c r="H9" i="4"/>
  <c r="K9" i="4" s="1"/>
  <c r="H10" i="4"/>
  <c r="K10" i="4" s="1"/>
  <c r="H11" i="4"/>
  <c r="K11" i="4" s="1"/>
  <c r="H12" i="4"/>
  <c r="K12" i="4" s="1"/>
  <c r="H13" i="4"/>
  <c r="K13" i="4" s="1"/>
  <c r="H14" i="4"/>
  <c r="K14" i="4" s="1"/>
  <c r="H15" i="4"/>
  <c r="K15" i="4" s="1"/>
  <c r="H16" i="4"/>
  <c r="K16" i="4" s="1"/>
  <c r="H17" i="4"/>
  <c r="K17" i="4" s="1"/>
  <c r="G7" i="4"/>
  <c r="J7" i="4" s="1"/>
  <c r="G8" i="4"/>
  <c r="J8" i="4" s="1"/>
  <c r="G9" i="4"/>
  <c r="J9" i="4" s="1"/>
  <c r="G10" i="4"/>
  <c r="J10" i="4" s="1"/>
  <c r="G11" i="4"/>
  <c r="J11" i="4" s="1"/>
  <c r="G12" i="4"/>
  <c r="J12" i="4" s="1"/>
  <c r="G13" i="4"/>
  <c r="J13" i="4" s="1"/>
  <c r="G14" i="4"/>
  <c r="J14" i="4" s="1"/>
  <c r="G15" i="4"/>
  <c r="J15" i="4" s="1"/>
  <c r="G16" i="4"/>
  <c r="J16" i="4" s="1"/>
  <c r="G17" i="4"/>
  <c r="J17" i="4" s="1"/>
  <c r="P7" i="4" l="1"/>
  <c r="P8" i="4"/>
  <c r="P9" i="4"/>
  <c r="P10" i="4"/>
  <c r="P11" i="4"/>
  <c r="P12" i="4"/>
  <c r="P13" i="4"/>
  <c r="P14" i="4"/>
  <c r="P15" i="4"/>
  <c r="P16" i="4"/>
  <c r="P17" i="4"/>
  <c r="P6" i="4"/>
  <c r="F84" i="4"/>
  <c r="E84" i="4"/>
  <c r="G82" i="4"/>
  <c r="G81" i="4"/>
  <c r="G80" i="4"/>
  <c r="G79" i="4"/>
  <c r="G78" i="4"/>
  <c r="G77" i="4"/>
  <c r="G76" i="4"/>
  <c r="G75" i="4"/>
  <c r="G74" i="4"/>
  <c r="G73" i="4"/>
  <c r="G72" i="4"/>
  <c r="G71" i="4"/>
  <c r="G84" i="4" l="1"/>
  <c r="K62" i="4" l="1"/>
  <c r="K61" i="4"/>
  <c r="K60" i="4"/>
  <c r="K59" i="4"/>
  <c r="K58" i="4"/>
  <c r="K57" i="4"/>
  <c r="K56" i="4"/>
  <c r="K55" i="4"/>
  <c r="K54" i="4"/>
  <c r="K53" i="4"/>
  <c r="K52" i="4"/>
  <c r="K51" i="4"/>
  <c r="G62" i="4"/>
  <c r="G61" i="4"/>
  <c r="G60" i="4"/>
  <c r="G59" i="4"/>
  <c r="G58" i="4"/>
  <c r="G57" i="4"/>
  <c r="G56" i="4"/>
  <c r="G55" i="4"/>
  <c r="G54" i="4"/>
  <c r="G53" i="4"/>
  <c r="G52" i="4"/>
  <c r="G51" i="4"/>
  <c r="M63" i="4"/>
  <c r="E19" i="2" s="1"/>
  <c r="J63" i="4"/>
  <c r="I63" i="4"/>
  <c r="H63" i="4"/>
  <c r="F63" i="4"/>
  <c r="D63" i="4"/>
  <c r="B63" i="4"/>
  <c r="L54" i="4" l="1"/>
  <c r="N54" i="4" s="1"/>
  <c r="L58" i="4"/>
  <c r="N58" i="4" s="1"/>
  <c r="L62" i="4"/>
  <c r="N62" i="4" s="1"/>
  <c r="G63" i="4"/>
  <c r="E15" i="2" s="1"/>
  <c r="K63" i="4"/>
  <c r="E16" i="2" s="1"/>
  <c r="L55" i="4"/>
  <c r="N55" i="4" s="1"/>
  <c r="L59" i="4"/>
  <c r="N59" i="4" s="1"/>
  <c r="L52" i="4"/>
  <c r="N52" i="4" s="1"/>
  <c r="L56" i="4"/>
  <c r="N56" i="4" s="1"/>
  <c r="L60" i="4"/>
  <c r="N60" i="4" s="1"/>
  <c r="L53" i="4"/>
  <c r="N53" i="4" s="1"/>
  <c r="L57" i="4"/>
  <c r="N57" i="4" s="1"/>
  <c r="L61" i="4"/>
  <c r="N61" i="4" s="1"/>
  <c r="L51" i="4"/>
  <c r="E18" i="2" l="1"/>
  <c r="L63" i="4"/>
  <c r="N63" i="4" s="1"/>
  <c r="N51" i="4"/>
  <c r="E20" i="2" l="1"/>
  <c r="M50" i="4"/>
  <c r="D19" i="2" s="1"/>
  <c r="J50" i="4"/>
  <c r="I50" i="4"/>
  <c r="H50" i="4"/>
  <c r="F50" i="4"/>
  <c r="F65" i="4" s="1"/>
  <c r="D50" i="4"/>
  <c r="B50" i="4"/>
  <c r="K49" i="4"/>
  <c r="G49" i="4"/>
  <c r="K48" i="4"/>
  <c r="G48" i="4"/>
  <c r="K47" i="4"/>
  <c r="G47" i="4"/>
  <c r="K46" i="4"/>
  <c r="G46" i="4"/>
  <c r="K45" i="4"/>
  <c r="G45" i="4"/>
  <c r="K44" i="4"/>
  <c r="G44" i="4"/>
  <c r="K43" i="4"/>
  <c r="G43" i="4"/>
  <c r="K42" i="4"/>
  <c r="G42" i="4"/>
  <c r="K41" i="4"/>
  <c r="G41" i="4"/>
  <c r="K40" i="4"/>
  <c r="G40" i="4"/>
  <c r="K39" i="4"/>
  <c r="G39" i="4"/>
  <c r="K38" i="4"/>
  <c r="G38" i="4"/>
  <c r="M37" i="4"/>
  <c r="C19" i="2" s="1"/>
  <c r="J37" i="4"/>
  <c r="I37" i="4"/>
  <c r="H37" i="4"/>
  <c r="F37" i="4"/>
  <c r="D37" i="4"/>
  <c r="B37" i="4"/>
  <c r="K36" i="4"/>
  <c r="L36" i="4" s="1"/>
  <c r="N36" i="4" s="1"/>
  <c r="G36" i="4"/>
  <c r="K35" i="4"/>
  <c r="G35" i="4"/>
  <c r="K34" i="4"/>
  <c r="G34" i="4"/>
  <c r="K33" i="4"/>
  <c r="G33" i="4"/>
  <c r="K32" i="4"/>
  <c r="G32" i="4"/>
  <c r="K31" i="4"/>
  <c r="G31" i="4"/>
  <c r="K30" i="4"/>
  <c r="G30" i="4"/>
  <c r="K29" i="4"/>
  <c r="G29" i="4"/>
  <c r="K28" i="4"/>
  <c r="G28" i="4"/>
  <c r="K27" i="4"/>
  <c r="G27" i="4"/>
  <c r="K26" i="4"/>
  <c r="G26" i="4"/>
  <c r="K25" i="4"/>
  <c r="G25" i="4"/>
  <c r="K24" i="4"/>
  <c r="G24" i="4"/>
  <c r="P19" i="4"/>
  <c r="O19" i="4"/>
  <c r="N19" i="4"/>
  <c r="F18" i="4"/>
  <c r="F19" i="4" s="1"/>
  <c r="E18" i="4"/>
  <c r="E19" i="4" s="1"/>
  <c r="D18" i="4"/>
  <c r="D19" i="4" s="1"/>
  <c r="C18" i="4"/>
  <c r="C19" i="4" s="1"/>
  <c r="B18" i="4"/>
  <c r="B19" i="4" s="1"/>
  <c r="L14" i="4"/>
  <c r="L10" i="4"/>
  <c r="H6" i="4"/>
  <c r="H18" i="4" s="1"/>
  <c r="G6" i="4"/>
  <c r="B65" i="4" l="1"/>
  <c r="D65" i="4"/>
  <c r="G37" i="4"/>
  <c r="L29" i="4"/>
  <c r="N29" i="4" s="1"/>
  <c r="L31" i="4"/>
  <c r="N31" i="4" s="1"/>
  <c r="J65" i="4"/>
  <c r="L24" i="4"/>
  <c r="L28" i="4"/>
  <c r="N28" i="4" s="1"/>
  <c r="L32" i="4"/>
  <c r="N32" i="4" s="1"/>
  <c r="F19" i="2"/>
  <c r="L26" i="4"/>
  <c r="N26" i="4" s="1"/>
  <c r="L33" i="4"/>
  <c r="N33" i="4" s="1"/>
  <c r="L35" i="4"/>
  <c r="N35" i="4" s="1"/>
  <c r="L30" i="4"/>
  <c r="N30" i="4" s="1"/>
  <c r="G50" i="4"/>
  <c r="G65" i="4" s="1"/>
  <c r="L25" i="4"/>
  <c r="N25" i="4" s="1"/>
  <c r="L27" i="4"/>
  <c r="N27" i="4" s="1"/>
  <c r="L34" i="4"/>
  <c r="N34" i="4" s="1"/>
  <c r="N24" i="4"/>
  <c r="K37" i="4"/>
  <c r="G18" i="4"/>
  <c r="J6" i="4"/>
  <c r="J19" i="4" s="1"/>
  <c r="L39" i="4"/>
  <c r="N39" i="4" s="1"/>
  <c r="L41" i="4"/>
  <c r="N41" i="4" s="1"/>
  <c r="L43" i="4"/>
  <c r="N43" i="4" s="1"/>
  <c r="L45" i="4"/>
  <c r="N45" i="4" s="1"/>
  <c r="L47" i="4"/>
  <c r="N47" i="4" s="1"/>
  <c r="L49" i="4"/>
  <c r="N49" i="4" s="1"/>
  <c r="K50" i="4"/>
  <c r="L12" i="4"/>
  <c r="L16" i="4"/>
  <c r="H65" i="4"/>
  <c r="M65" i="4"/>
  <c r="L9" i="4"/>
  <c r="L11" i="4"/>
  <c r="L13" i="4"/>
  <c r="L15" i="4"/>
  <c r="L17" i="4"/>
  <c r="L38" i="4"/>
  <c r="N38" i="4" s="1"/>
  <c r="L40" i="4"/>
  <c r="N40" i="4" s="1"/>
  <c r="L42" i="4"/>
  <c r="N42" i="4" s="1"/>
  <c r="L44" i="4"/>
  <c r="N44" i="4" s="1"/>
  <c r="L46" i="4"/>
  <c r="N46" i="4" s="1"/>
  <c r="L48" i="4"/>
  <c r="N48" i="4" s="1"/>
  <c r="I65" i="4"/>
  <c r="C9" i="2"/>
  <c r="L8" i="4"/>
  <c r="G19" i="4"/>
  <c r="H19" i="4"/>
  <c r="K6" i="4"/>
  <c r="K19" i="4" s="1"/>
  <c r="L7" i="4"/>
  <c r="C18" i="1"/>
  <c r="D18" i="1"/>
  <c r="E18" i="1"/>
  <c r="F18" i="1"/>
  <c r="L37" i="4" l="1"/>
  <c r="N37" i="4" s="1"/>
  <c r="D9" i="2"/>
  <c r="D10" i="2"/>
  <c r="L50" i="4"/>
  <c r="K65" i="4"/>
  <c r="H20" i="4"/>
  <c r="L6" i="4"/>
  <c r="L19" i="4" s="1"/>
  <c r="C10" i="2"/>
  <c r="D17" i="2"/>
  <c r="C17" i="2"/>
  <c r="B17" i="2"/>
  <c r="E9" i="2" l="1"/>
  <c r="F17" i="2"/>
  <c r="E10" i="2"/>
  <c r="N50" i="4"/>
  <c r="N65" i="4" s="1"/>
  <c r="N66" i="4" s="1"/>
  <c r="L65" i="4"/>
  <c r="E71" i="1" l="1"/>
  <c r="M51" i="1" l="1"/>
  <c r="J51" i="1"/>
  <c r="I51" i="1"/>
  <c r="H51" i="1"/>
  <c r="F51" i="1"/>
  <c r="D51" i="1"/>
  <c r="B51" i="1"/>
  <c r="K50" i="1"/>
  <c r="G50" i="1"/>
  <c r="K49" i="1"/>
  <c r="G49" i="1"/>
  <c r="K48" i="1"/>
  <c r="G48" i="1"/>
  <c r="K47" i="1"/>
  <c r="G47" i="1"/>
  <c r="K46" i="1"/>
  <c r="G46" i="1"/>
  <c r="K45" i="1"/>
  <c r="G45" i="1"/>
  <c r="K44" i="1"/>
  <c r="G44" i="1"/>
  <c r="K43" i="1"/>
  <c r="G43" i="1"/>
  <c r="K42" i="1"/>
  <c r="G42" i="1"/>
  <c r="K41" i="1"/>
  <c r="G41" i="1"/>
  <c r="K40" i="1"/>
  <c r="G40" i="1"/>
  <c r="K39" i="1"/>
  <c r="G39" i="1"/>
  <c r="M38" i="1"/>
  <c r="J38" i="1"/>
  <c r="I38" i="1"/>
  <c r="H38" i="1"/>
  <c r="F38" i="1"/>
  <c r="D38" i="1"/>
  <c r="B38" i="1"/>
  <c r="K37" i="1"/>
  <c r="G37" i="1"/>
  <c r="K36" i="1"/>
  <c r="G36" i="1"/>
  <c r="K35" i="1"/>
  <c r="G35" i="1"/>
  <c r="K34" i="1"/>
  <c r="G34" i="1"/>
  <c r="K33" i="1"/>
  <c r="G33" i="1"/>
  <c r="K32" i="1"/>
  <c r="G32" i="1"/>
  <c r="K31" i="1"/>
  <c r="G31" i="1"/>
  <c r="K30" i="1"/>
  <c r="G30" i="1"/>
  <c r="K29" i="1"/>
  <c r="G29" i="1"/>
  <c r="K28" i="1"/>
  <c r="G28" i="1"/>
  <c r="K27" i="1"/>
  <c r="G27" i="1"/>
  <c r="K26" i="1"/>
  <c r="G26" i="1"/>
  <c r="K25" i="1"/>
  <c r="B16" i="2" s="1"/>
  <c r="G25" i="1"/>
  <c r="B15" i="2" s="1"/>
  <c r="P19" i="1"/>
  <c r="O19" i="1"/>
  <c r="N19" i="1"/>
  <c r="F19" i="1"/>
  <c r="E19" i="1"/>
  <c r="C19" i="1"/>
  <c r="B18" i="1"/>
  <c r="B19" i="1" s="1"/>
  <c r="K17" i="1"/>
  <c r="J17" i="1"/>
  <c r="K16" i="1"/>
  <c r="J16" i="1"/>
  <c r="K15" i="1"/>
  <c r="J15" i="1"/>
  <c r="K14" i="1"/>
  <c r="J14" i="1"/>
  <c r="K13" i="1"/>
  <c r="J13" i="1"/>
  <c r="K12" i="1"/>
  <c r="J12" i="1"/>
  <c r="K11" i="1"/>
  <c r="J11" i="1"/>
  <c r="K10" i="1"/>
  <c r="J10" i="1"/>
  <c r="K9" i="1"/>
  <c r="J9" i="1"/>
  <c r="K8" i="1"/>
  <c r="J8" i="1"/>
  <c r="K7" i="1"/>
  <c r="J7" i="1"/>
  <c r="H6" i="1"/>
  <c r="H18" i="1" s="1"/>
  <c r="G6" i="1"/>
  <c r="L11" i="1" l="1"/>
  <c r="L13" i="1"/>
  <c r="L15" i="1"/>
  <c r="L12" i="1"/>
  <c r="G51" i="1"/>
  <c r="D15" i="2" s="1"/>
  <c r="G18" i="1"/>
  <c r="G19" i="1" s="1"/>
  <c r="B18" i="2"/>
  <c r="B20" i="2" s="1"/>
  <c r="J19" i="1"/>
  <c r="D19" i="1"/>
  <c r="H53" i="1"/>
  <c r="G38" i="1"/>
  <c r="C15" i="2" s="1"/>
  <c r="I53" i="1"/>
  <c r="L10" i="1"/>
  <c r="K38" i="1"/>
  <c r="C16" i="2" s="1"/>
  <c r="D53" i="1"/>
  <c r="J53" i="1"/>
  <c r="L7" i="1"/>
  <c r="K6" i="1"/>
  <c r="L6" i="1" s="1"/>
  <c r="L8" i="1"/>
  <c r="L17" i="1"/>
  <c r="L28" i="1"/>
  <c r="N28" i="1" s="1"/>
  <c r="L30" i="1"/>
  <c r="N30" i="1" s="1"/>
  <c r="L32" i="1"/>
  <c r="N32" i="1" s="1"/>
  <c r="L34" i="1"/>
  <c r="N34" i="1" s="1"/>
  <c r="L36" i="1"/>
  <c r="N36" i="1" s="1"/>
  <c r="B53" i="1"/>
  <c r="L39" i="1"/>
  <c r="N39" i="1" s="1"/>
  <c r="L41" i="1"/>
  <c r="N41" i="1" s="1"/>
  <c r="L43" i="1"/>
  <c r="N43" i="1" s="1"/>
  <c r="L45" i="1"/>
  <c r="N45" i="1" s="1"/>
  <c r="L47" i="1"/>
  <c r="N47" i="1" s="1"/>
  <c r="L49" i="1"/>
  <c r="N49" i="1" s="1"/>
  <c r="L9" i="1"/>
  <c r="L14" i="1"/>
  <c r="L16" i="1"/>
  <c r="L27" i="1"/>
  <c r="N27" i="1" s="1"/>
  <c r="L29" i="1"/>
  <c r="N29" i="1" s="1"/>
  <c r="L31" i="1"/>
  <c r="N31" i="1" s="1"/>
  <c r="L33" i="1"/>
  <c r="N33" i="1" s="1"/>
  <c r="L35" i="1"/>
  <c r="N35" i="1" s="1"/>
  <c r="L37" i="1"/>
  <c r="N37" i="1" s="1"/>
  <c r="F53" i="1"/>
  <c r="L40" i="1"/>
  <c r="N40" i="1" s="1"/>
  <c r="L42" i="1"/>
  <c r="N42" i="1" s="1"/>
  <c r="L44" i="1"/>
  <c r="N44" i="1" s="1"/>
  <c r="L46" i="1"/>
  <c r="N46" i="1" s="1"/>
  <c r="L48" i="1"/>
  <c r="N48" i="1" s="1"/>
  <c r="L50" i="1"/>
  <c r="N50" i="1" s="1"/>
  <c r="H19" i="1"/>
  <c r="L25" i="1"/>
  <c r="L26" i="1"/>
  <c r="K51" i="1"/>
  <c r="D16" i="2" s="1"/>
  <c r="M53" i="1"/>
  <c r="D18" i="2" l="1"/>
  <c r="D20" i="2" s="1"/>
  <c r="F15" i="2"/>
  <c r="F16" i="2"/>
  <c r="G53" i="1"/>
  <c r="C18" i="2"/>
  <c r="C20" i="2" s="1"/>
  <c r="L51" i="1"/>
  <c r="K19" i="1"/>
  <c r="C11" i="2" s="1"/>
  <c r="L19" i="1"/>
  <c r="H20" i="1"/>
  <c r="L38" i="1"/>
  <c r="N26" i="1"/>
  <c r="K53" i="1"/>
  <c r="N25" i="1"/>
  <c r="F18" i="2" l="1"/>
  <c r="L53" i="1"/>
  <c r="N51" i="1"/>
  <c r="N38" i="1"/>
  <c r="D11" i="2"/>
  <c r="F20" i="2" l="1"/>
  <c r="N53" i="1"/>
  <c r="E11" i="2"/>
  <c r="C25" i="2"/>
  <c r="C26" i="2" s="1"/>
  <c r="B26" i="2"/>
</calcChain>
</file>

<file path=xl/sharedStrings.xml><?xml version="1.0" encoding="utf-8"?>
<sst xmlns="http://schemas.openxmlformats.org/spreadsheetml/2006/main" count="171" uniqueCount="116">
  <si>
    <t>2017 Subscriber Solar Dashboard</t>
  </si>
  <si>
    <t>BLOCKS INVOICED</t>
  </si>
  <si>
    <t>REVENUES</t>
  </si>
  <si>
    <t>ENERGY GENERATED</t>
  </si>
  <si>
    <t>RESIDENTIAL</t>
  </si>
  <si>
    <t>COMMERCIAL</t>
  </si>
  <si>
    <t>TOTAL BLOCKS</t>
  </si>
  <si>
    <t>6A</t>
  </si>
  <si>
    <t>TOTAL $</t>
  </si>
  <si>
    <t>ON PEAK</t>
  </si>
  <si>
    <t>OFF PEAK</t>
  </si>
  <si>
    <t>TOTAL KWH</t>
  </si>
  <si>
    <t>TOTAL Blocks</t>
  </si>
  <si>
    <t>Res and Comm KWH</t>
  </si>
  <si>
    <t>PROGRAM ADMIN &amp; BILLING SETUP</t>
  </si>
  <si>
    <t>MARKETING</t>
  </si>
  <si>
    <t>Program Mgmt</t>
  </si>
  <si>
    <t>Call Center</t>
  </si>
  <si>
    <t>I/T Billing</t>
  </si>
  <si>
    <t>TOTAL ADMIN</t>
  </si>
  <si>
    <t>Cust Outreach</t>
  </si>
  <si>
    <t>Prod/Collateral</t>
  </si>
  <si>
    <t>Website</t>
  </si>
  <si>
    <t>TOTAL MKTG</t>
  </si>
  <si>
    <t>TOTAL EXP</t>
  </si>
  <si>
    <t>TOTAL EXPENSE</t>
  </si>
  <si>
    <t>Original Budget</t>
  </si>
  <si>
    <t>Variance</t>
  </si>
  <si>
    <t>INTEREST EXPENSE</t>
  </si>
  <si>
    <t>Cancellation Fees</t>
  </si>
  <si>
    <t>Program Management Commentary</t>
  </si>
  <si>
    <t>Program Sales Summary</t>
  </si>
  <si>
    <t>Program Expenses Summary</t>
  </si>
  <si>
    <t>Generation Status</t>
  </si>
  <si>
    <t>Total Program Management/Admin Expenses</t>
  </si>
  <si>
    <t>Total Marketing Expenses</t>
  </si>
  <si>
    <t>Total Expenses</t>
  </si>
  <si>
    <t>Total Residential Block Revenues</t>
  </si>
  <si>
    <t>Total Program Revenues</t>
  </si>
  <si>
    <t>Variance to Budget</t>
  </si>
  <si>
    <t>COST OF GENERATION</t>
  </si>
  <si>
    <t>Unsold Generation</t>
  </si>
  <si>
    <t>Cost</t>
  </si>
  <si>
    <t xml:space="preserve">Generation Purchased </t>
  </si>
  <si>
    <t xml:space="preserve">Generation Sold </t>
  </si>
  <si>
    <t xml:space="preserve">TOTAL </t>
  </si>
  <si>
    <t>Total Interest Expense</t>
  </si>
  <si>
    <t>2018 Subscriber Solar Dashboard</t>
  </si>
  <si>
    <t>TOTAL</t>
  </si>
  <si>
    <t>Total Non-Residential Block Revenues</t>
  </si>
  <si>
    <t>2018 NEWSLETTER - PROGRAM IN REVIEW</t>
  </si>
  <si>
    <t>2018 Subscriber Solar Summary Report</t>
  </si>
  <si>
    <t>2018 Subscriber Solar Newsletter is in development and will be sent during April 2019.</t>
  </si>
  <si>
    <t>2018 CUSTOMER SURVEY</t>
  </si>
  <si>
    <t>Less Interest, plus cancellation fees</t>
  </si>
  <si>
    <t xml:space="preserve">The program is developing plans for a second solar plant. Customer survey results indicate customers are overall satisfied with program. Marketing and administration costs are lower than projected and a new offering of 100% solar is being proposed to enable customers to subscribe all of their usage to the program.  </t>
  </si>
  <si>
    <t>2018 % Sold</t>
  </si>
  <si>
    <t>Solar Credits Donated</t>
  </si>
  <si>
    <t>Donated</t>
  </si>
  <si>
    <t>Jan-Dec 2018 kWh</t>
  </si>
  <si>
    <t>Generation Purchased/Unused Credits</t>
  </si>
  <si>
    <t>Subscriber Solar Credit - Excess Energy Valuation</t>
  </si>
  <si>
    <t>Onpeak</t>
  </si>
  <si>
    <t>Hrs</t>
  </si>
  <si>
    <t>Hrs Per Day (6am to 10pm)</t>
  </si>
  <si>
    <t>Days Per Week</t>
  </si>
  <si>
    <t xml:space="preserve">  Total</t>
  </si>
  <si>
    <t>Offpeak (10pm to 6am)</t>
  </si>
  <si>
    <t>Days</t>
  </si>
  <si>
    <t>Sunday</t>
  </si>
  <si>
    <t>Total Hours</t>
  </si>
  <si>
    <t>Reconcile 7 * 24</t>
  </si>
  <si>
    <t>Uses volumetric winter and summer energy prices for on-peak and off-peak hours for non-levelized base load facilities</t>
  </si>
  <si>
    <t>2018 Winter (Oct-May) Advice No 17-08</t>
  </si>
  <si>
    <t>Percent</t>
  </si>
  <si>
    <t>Sch. 37</t>
  </si>
  <si>
    <t>Calc</t>
  </si>
  <si>
    <t>Allocation (8 mo)</t>
  </si>
  <si>
    <t>cents per kWh</t>
  </si>
  <si>
    <t>Onpeak Rate</t>
  </si>
  <si>
    <t>Offpeak Rate</t>
  </si>
  <si>
    <t>2018 Summer (Jun-Sep) Docket 17-035-T07</t>
  </si>
  <si>
    <t>Allocation (4 mo)</t>
  </si>
  <si>
    <t>Total Avoided Cost (per kWh)</t>
  </si>
  <si>
    <t>Annualized Billing Period (12 months)</t>
  </si>
  <si>
    <t>Click to see Solar Credits Donated Worksheet</t>
  </si>
  <si>
    <t>Return to Summary</t>
  </si>
  <si>
    <t>2018 KWH</t>
  </si>
  <si>
    <t>A survey was sent to all participants to gauge customer satisfaction and support of the program. Customer satisfaction ratings are high and more than 90% of the participants support expansion of the program and  71% are supportive of adding a 100% solar option.</t>
  </si>
  <si>
    <t>2018 Program Marketing and Communications Highlights</t>
  </si>
  <si>
    <t>2018 SUBSCRIPTIONS AND MARKETING</t>
  </si>
  <si>
    <t>Total Donated kWh value, 2018</t>
  </si>
  <si>
    <t>SOLAR PLANT PRODUCTION</t>
  </si>
  <si>
    <t>The solar plant generated 2,511,859 more kilowatt hours during 2018 than required by the power purchase agreement. Through 2019, the program will endeavor to apply performance forecast and subscribe all available production.</t>
  </si>
  <si>
    <t>Jan 2017-Dec 2018 kWh</t>
  </si>
  <si>
    <t>2015-2018 EXPENSE DETAIL</t>
  </si>
  <si>
    <t>2015-2017 EXPENSE DETAIL</t>
  </si>
  <si>
    <t>The program remained sold out throughout 2018 with only 123 of 240,000 unbilled blocks for the year, primarily due to cancellations and gaps between billing cycles of new customer subscriptions. Marketing costs were low and mainly focused on expanding awareness through co-marketing partnership opportunities with other programs was viable.</t>
  </si>
  <si>
    <t>Grand Total</t>
  </si>
  <si>
    <t>Customer Class</t>
  </si>
  <si>
    <t>Donation</t>
  </si>
  <si>
    <t>Commercial</t>
  </si>
  <si>
    <t>Industrial</t>
  </si>
  <si>
    <t>Residential</t>
  </si>
  <si>
    <t>Jan</t>
  </si>
  <si>
    <t>Feb</t>
  </si>
  <si>
    <t>Mar</t>
  </si>
  <si>
    <t>Apr</t>
  </si>
  <si>
    <t>May</t>
  </si>
  <si>
    <t>Jun</t>
  </si>
  <si>
    <t>Jul</t>
  </si>
  <si>
    <t>Aug</t>
  </si>
  <si>
    <t>Sep</t>
  </si>
  <si>
    <t>Oct</t>
  </si>
  <si>
    <t>Nov</t>
  </si>
  <si>
    <t>Dec</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</si>
</sst>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quot;$&quot;#,##0.00"/>
    <numFmt numFmtId="165" formatCode="&quot;$&quot;#,##0"/>
    <numFmt numFmtId="166" formatCode="[$-409]mmm\-yy;@"/>
    <numFmt numFmtId="167" formatCode="0.0%"/>
    <numFmt numFmtId="168" formatCode="0.000"/>
    <numFmt numFmtId="169" formatCode="&quot;$&quot;#,##0.0000_);\(&quot;$&quot;#,##0.0000\)"/>
    <numFmt numFmtId="170" formatCode="_(* #,##0_);_(* \(#,##0\);_(* &quot;-&quot;??_);_(@_)"/>
  </numFmts>
  <fonts count="30">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25"/>
      <color theme="0"/>
      <name val="Gill Sans MT"/>
      <family val="2"/>
    </font>
    <font>
      <sz val="25"/>
      <color theme="1"/>
      <name val="Calibri"/>
      <family val="2"/>
      <scheme val="minor"/>
    </font>
    <font>
      <b/>
      <sz val="15"/>
      <color theme="0"/>
      <name val="Gill Sans MT"/>
      <family val="2"/>
    </font>
    <font>
      <sz val="15"/>
      <color theme="0"/>
      <name val="Gill Sans MT"/>
      <family val="2"/>
    </font>
    <font>
      <sz val="11"/>
      <color theme="0"/>
      <name val="Gill Sans MT"/>
      <family val="2"/>
    </font>
    <font>
      <b/>
      <sz val="15"/>
      <name val="Calibri"/>
      <family val="2"/>
      <scheme val="minor"/>
    </font>
    <font>
      <sz val="15"/>
      <name val="Calibri"/>
      <family val="2"/>
      <scheme val="minor"/>
    </font>
    <font>
      <b/>
      <sz val="11"/>
      <name val="Calibri"/>
      <family val="2"/>
      <scheme val="minor"/>
    </font>
    <font>
      <b/>
      <sz val="17"/>
      <color theme="0"/>
      <name val="Gill Sans MT"/>
      <family val="2"/>
    </font>
    <font>
      <sz val="10"/>
      <name val="Arial"/>
      <family val="2"/>
    </font>
    <font>
      <b/>
      <sz val="12"/>
      <name val="GillSans"/>
      <family val="2"/>
    </font>
    <font>
      <sz val="10"/>
      <color rgb="FF0070C0"/>
      <name val="Gill Sans MT"/>
      <family val="2"/>
    </font>
    <font>
      <sz val="14"/>
      <color rgb="FF0070C0"/>
      <name val="Arial"/>
      <family val="2"/>
    </font>
    <font>
      <b/>
      <sz val="14"/>
      <name val="Arial"/>
      <family val="2"/>
    </font>
    <font>
      <sz val="11"/>
      <name val="GillSans"/>
      <family val="2"/>
    </font>
    <font>
      <sz val="10"/>
      <name val="Gill Sans MT"/>
      <family val="2"/>
    </font>
    <font>
      <b/>
      <sz val="12"/>
      <color theme="3" tint="-0.499984740745262"/>
      <name val="Calibri"/>
      <family val="2"/>
      <scheme val="minor"/>
    </font>
    <font>
      <u/>
      <sz val="11"/>
      <color theme="10"/>
      <name val="Calibri"/>
      <family val="2"/>
      <scheme val="minor"/>
    </font>
    <font>
      <u/>
      <sz val="11"/>
      <color rgb="FF7030A0"/>
      <name val="Calibri"/>
      <family val="2"/>
      <scheme val="minor"/>
    </font>
    <font>
      <b/>
      <sz val="12"/>
      <name val="Arial"/>
      <family val="2"/>
    </font>
    <font>
      <b/>
      <sz val="10"/>
      <name val="Gill Sans MT"/>
      <family val="2"/>
    </font>
    <font>
      <b/>
      <sz val="14"/>
      <color rgb="FF0070C0"/>
      <name val="Arial"/>
      <family val="2"/>
    </font>
    <font>
      <sz val="11"/>
      <color rgb="FF7030A0"/>
      <name val="Calibri"/>
      <family val="2"/>
      <scheme val="minor"/>
    </font>
    <font>
      <b/>
      <sz val="12"/>
      <color rgb="FF0070C0"/>
      <name val="Gill Sans MT"/>
      <family val="2"/>
    </font>
    <font>
      <b/>
      <sz val="12"/>
      <name val="Gill Sans MT"/>
      <family val="2"/>
    </font>
    <font>
      <b/>
      <sz val="14"/>
      <color rgb="FF0070C0"/>
      <name val="Gill Sans MT"/>
      <family val="2"/>
    </font>
  </fonts>
  <fills count="17">
    <fill>
      <patternFill patternType="none"/>
    </fill>
    <fill>
      <patternFill patternType="gray125"/>
    </fill>
    <fill>
      <patternFill patternType="solid">
        <fgColor rgb="FF00B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3" fillId="0" borderId="0"/>
    <xf numFmtId="0" fontId="21" fillId="0" borderId="0" applyNumberFormat="0" applyFill="0" applyBorder="0" applyAlignment="0" applyProtection="0"/>
    <xf numFmtId="43" fontId="1" fillId="0" borderId="0" applyFont="0" applyFill="0" applyBorder="0" applyAlignment="0" applyProtection="0"/>
  </cellStyleXfs>
  <cellXfs count="249">
    <xf numFmtId="0" fontId="0" fillId="0" borderId="0" xfId="0"/>
    <xf numFmtId="0" fontId="6" fillId="0" borderId="0" xfId="4" applyFont="1" applyFill="1" applyAlignment="1" applyProtection="1">
      <alignment vertical="center"/>
      <protection locked="0"/>
    </xf>
    <xf numFmtId="0" fontId="7" fillId="0" borderId="0" xfId="0" applyFont="1" applyFill="1" applyAlignment="1">
      <alignment vertical="center"/>
    </xf>
    <xf numFmtId="0" fontId="8" fillId="0" borderId="0" xfId="0" applyFont="1" applyFill="1" applyAlignment="1"/>
    <xf numFmtId="0" fontId="8" fillId="0" borderId="0" xfId="0" applyFont="1" applyFill="1" applyAlignment="1" applyProtection="1">
      <protection locked="0"/>
    </xf>
    <xf numFmtId="0" fontId="10" fillId="0" borderId="0" xfId="0" applyFont="1" applyFill="1" applyBorder="1" applyAlignment="1">
      <alignment horizontal="left" vertical="center"/>
    </xf>
    <xf numFmtId="0" fontId="0" fillId="0" borderId="10"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9" xfId="0" applyFont="1" applyFill="1" applyBorder="1" applyAlignment="1">
      <alignment horizontal="center"/>
    </xf>
    <xf numFmtId="0" fontId="3" fillId="0" borderId="8" xfId="0" applyFont="1" applyFill="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17" fontId="0" fillId="0" borderId="6" xfId="0" applyNumberFormat="1" applyFill="1" applyBorder="1" applyAlignment="1">
      <alignment horizontal="center" vertical="center"/>
    </xf>
    <xf numFmtId="3" fontId="0" fillId="4" borderId="1" xfId="0" applyNumberFormat="1" applyFill="1" applyBorder="1" applyAlignment="1">
      <alignment horizontal="center" vertical="center"/>
    </xf>
    <xf numFmtId="3" fontId="0" fillId="5"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64" fontId="0" fillId="4" borderId="1" xfId="2" applyNumberFormat="1" applyFont="1" applyFill="1" applyBorder="1" applyAlignment="1">
      <alignment horizontal="center" vertical="center"/>
    </xf>
    <xf numFmtId="164" fontId="0" fillId="5" borderId="1" xfId="2" applyNumberFormat="1" applyFont="1" applyFill="1" applyBorder="1" applyAlignment="1">
      <alignment horizontal="center" vertical="center"/>
    </xf>
    <xf numFmtId="164" fontId="3" fillId="0" borderId="5" xfId="0" applyNumberFormat="1" applyFont="1" applyBorder="1" applyAlignment="1">
      <alignment horizontal="center" vertical="center"/>
    </xf>
    <xf numFmtId="3" fontId="0" fillId="6" borderId="1" xfId="0" applyNumberFormat="1" applyFill="1" applyBorder="1" applyAlignment="1">
      <alignment horizontal="center" vertical="center"/>
    </xf>
    <xf numFmtId="3" fontId="3" fillId="0" borderId="5" xfId="0" applyNumberFormat="1" applyFont="1" applyBorder="1" applyAlignment="1">
      <alignment horizontal="center" vertical="center"/>
    </xf>
    <xf numFmtId="1" fontId="3" fillId="5" borderId="1" xfId="0" applyNumberFormat="1" applyFont="1" applyFill="1" applyBorder="1" applyAlignment="1">
      <alignment horizontal="center" vertical="center"/>
    </xf>
    <xf numFmtId="0" fontId="3" fillId="0" borderId="6" xfId="0" applyFont="1" applyFill="1" applyBorder="1" applyAlignment="1">
      <alignment horizontal="right" vertical="center"/>
    </xf>
    <xf numFmtId="3" fontId="3" fillId="0" borderId="0" xfId="0" applyNumberFormat="1" applyFont="1" applyFill="1" applyBorder="1" applyAlignment="1">
      <alignment horizontal="center" vertical="center"/>
    </xf>
    <xf numFmtId="0" fontId="0" fillId="0" borderId="0" xfId="0" applyAlignment="1">
      <alignment vertical="center"/>
    </xf>
    <xf numFmtId="164" fontId="0" fillId="0" borderId="0" xfId="0" applyNumberFormat="1" applyAlignment="1">
      <alignment horizontal="center" vertical="center"/>
    </xf>
    <xf numFmtId="164" fontId="0" fillId="0" borderId="0" xfId="0" applyNumberFormat="1" applyAlignment="1">
      <alignment vertical="center"/>
    </xf>
    <xf numFmtId="0" fontId="0" fillId="0" borderId="6" xfId="0" applyFill="1" applyBorder="1" applyAlignment="1">
      <alignment horizontal="left" vertical="center" indent="1"/>
    </xf>
    <xf numFmtId="3" fontId="0" fillId="0" borderId="0" xfId="0" applyNumberFormat="1" applyFill="1" applyBorder="1" applyAlignment="1">
      <alignment vertical="center"/>
    </xf>
    <xf numFmtId="10" fontId="0" fillId="0" borderId="0" xfId="0" applyNumberFormat="1" applyFill="1" applyBorder="1" applyAlignment="1">
      <alignment vertical="center"/>
    </xf>
    <xf numFmtId="0" fontId="3" fillId="0" borderId="6" xfId="0" applyFont="1" applyBorder="1" applyAlignment="1">
      <alignment horizontal="right"/>
    </xf>
    <xf numFmtId="3" fontId="3" fillId="0" borderId="0" xfId="0" applyNumberFormat="1" applyFont="1" applyFill="1" applyBorder="1" applyAlignment="1">
      <alignment horizontal="center"/>
    </xf>
    <xf numFmtId="3" fontId="3" fillId="0" borderId="5" xfId="0" applyNumberFormat="1" applyFont="1" applyFill="1" applyBorder="1" applyAlignment="1">
      <alignment horizontal="center"/>
    </xf>
    <xf numFmtId="4" fontId="3" fillId="0" borderId="0" xfId="0" applyNumberFormat="1" applyFont="1" applyFill="1" applyBorder="1" applyAlignment="1">
      <alignment vertical="center"/>
    </xf>
    <xf numFmtId="164" fontId="3"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164" fontId="11" fillId="7" borderId="1" xfId="0" applyNumberFormat="1" applyFont="1" applyFill="1" applyBorder="1" applyAlignment="1">
      <alignment horizontal="center" vertical="center"/>
    </xf>
    <xf numFmtId="3" fontId="3" fillId="8" borderId="0" xfId="0" applyNumberFormat="1" applyFont="1" applyFill="1" applyBorder="1" applyAlignment="1">
      <alignment horizontal="center"/>
    </xf>
    <xf numFmtId="3" fontId="3" fillId="7" borderId="5" xfId="0" applyNumberFormat="1" applyFont="1" applyFill="1" applyBorder="1" applyAlignment="1">
      <alignment horizontal="center"/>
    </xf>
    <xf numFmtId="0" fontId="0" fillId="0" borderId="6" xfId="0" applyBorder="1"/>
    <xf numFmtId="0" fontId="0" fillId="0" borderId="0" xfId="0" applyBorder="1"/>
    <xf numFmtId="0" fontId="0" fillId="0" borderId="0" xfId="0" applyFill="1" applyBorder="1" applyAlignment="1">
      <alignment horizontal="center" vertical="center"/>
    </xf>
    <xf numFmtId="3"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10" fontId="0" fillId="0" borderId="0" xfId="0" applyNumberFormat="1" applyFill="1" applyBorder="1" applyAlignment="1">
      <alignment horizontal="center" vertical="center"/>
    </xf>
    <xf numFmtId="0" fontId="0" fillId="0" borderId="0" xfId="0" applyBorder="1" applyAlignment="1">
      <alignment horizontal="right"/>
    </xf>
    <xf numFmtId="3" fontId="3" fillId="7" borderId="13" xfId="0" applyNumberFormat="1" applyFont="1" applyFill="1" applyBorder="1" applyAlignment="1">
      <alignment horizontal="center"/>
    </xf>
    <xf numFmtId="0" fontId="0" fillId="0" borderId="0" xfId="0" applyFill="1" applyAlignment="1">
      <alignment horizontal="left" vertical="center"/>
    </xf>
    <xf numFmtId="4" fontId="0" fillId="0" borderId="0" xfId="0" applyNumberFormat="1" applyFill="1" applyAlignment="1">
      <alignment vertical="center"/>
    </xf>
    <xf numFmtId="10" fontId="0" fillId="0" borderId="0" xfId="0" applyNumberFormat="1" applyFill="1" applyAlignment="1">
      <alignment vertical="center"/>
    </xf>
    <xf numFmtId="3" fontId="0" fillId="0" borderId="0" xfId="0" applyNumberFormat="1" applyFill="1" applyAlignment="1">
      <alignment vertical="center"/>
    </xf>
    <xf numFmtId="0" fontId="0" fillId="0" borderId="5" xfId="0" applyBorder="1"/>
    <xf numFmtId="0" fontId="0" fillId="0" borderId="6" xfId="0" applyFill="1" applyBorder="1" applyAlignment="1">
      <alignment horizontal="right" vertical="center"/>
    </xf>
    <xf numFmtId="0" fontId="0" fillId="0" borderId="12" xfId="0" applyBorder="1" applyAlignment="1">
      <alignment vertical="center"/>
    </xf>
    <xf numFmtId="0" fontId="0" fillId="0" borderId="11" xfId="0" applyBorder="1" applyAlignment="1">
      <alignment vertical="center"/>
    </xf>
    <xf numFmtId="0" fontId="0" fillId="0" borderId="0" xfId="0" applyAlignment="1"/>
    <xf numFmtId="0" fontId="0" fillId="0" borderId="0" xfId="0" applyAlignment="1">
      <alignment horizontal="center"/>
    </xf>
    <xf numFmtId="0" fontId="3" fillId="9" borderId="8" xfId="0" applyFont="1" applyFill="1" applyBorder="1" applyAlignment="1">
      <alignment horizontal="center"/>
    </xf>
    <xf numFmtId="0" fontId="3" fillId="10" borderId="7" xfId="0" applyFont="1" applyFill="1" applyBorder="1" applyAlignment="1">
      <alignment horizontal="center"/>
    </xf>
    <xf numFmtId="0" fontId="3" fillId="10" borderId="8" xfId="0" applyFont="1" applyFill="1" applyBorder="1" applyAlignment="1" applyProtection="1">
      <alignment horizontal="center"/>
      <protection locked="0"/>
    </xf>
    <xf numFmtId="0" fontId="3" fillId="0" borderId="2" xfId="0" applyFont="1" applyFill="1" applyBorder="1" applyAlignment="1">
      <alignment horizontal="center" vertical="center"/>
    </xf>
    <xf numFmtId="164" fontId="3" fillId="0" borderId="4" xfId="0" applyNumberFormat="1" applyFont="1" applyBorder="1" applyAlignment="1">
      <alignment horizontal="center"/>
    </xf>
    <xf numFmtId="164" fontId="3" fillId="0" borderId="7" xfId="0" applyNumberFormat="1" applyFont="1" applyBorder="1" applyAlignment="1">
      <alignment horizontal="center"/>
    </xf>
    <xf numFmtId="164" fontId="0" fillId="0" borderId="5" xfId="0" applyNumberForma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xf>
    <xf numFmtId="164" fontId="3" fillId="0" borderId="3" xfId="0" applyNumberFormat="1" applyFont="1" applyBorder="1" applyAlignment="1">
      <alignment horizontal="center"/>
    </xf>
    <xf numFmtId="164" fontId="3" fillId="0" borderId="2" xfId="0" applyNumberFormat="1" applyFont="1" applyBorder="1" applyAlignment="1">
      <alignment horizontal="center"/>
    </xf>
    <xf numFmtId="164" fontId="0" fillId="0" borderId="5"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3" fillId="0" borderId="0" xfId="0" applyFont="1" applyAlignment="1"/>
    <xf numFmtId="164" fontId="3" fillId="0" borderId="0" xfId="0" applyNumberFormat="1" applyFont="1" applyAlignment="1">
      <alignment horizontal="center"/>
    </xf>
    <xf numFmtId="0" fontId="3" fillId="9" borderId="7" xfId="0" applyFont="1" applyFill="1" applyBorder="1" applyAlignment="1">
      <alignment horizontal="center"/>
    </xf>
    <xf numFmtId="164" fontId="3" fillId="11" borderId="8" xfId="0" applyNumberFormat="1" applyFont="1" applyFill="1" applyBorder="1" applyAlignment="1">
      <alignment horizontal="center"/>
    </xf>
    <xf numFmtId="164" fontId="3" fillId="11" borderId="5" xfId="0" applyNumberFormat="1" applyFont="1" applyFill="1" applyBorder="1" applyAlignment="1">
      <alignment horizontal="center"/>
    </xf>
    <xf numFmtId="164" fontId="3" fillId="11" borderId="3" xfId="0" applyNumberFormat="1" applyFont="1" applyFill="1" applyBorder="1" applyAlignment="1">
      <alignment horizontal="center"/>
    </xf>
    <xf numFmtId="164" fontId="3" fillId="11" borderId="5" xfId="0" applyNumberFormat="1" applyFont="1" applyFill="1" applyBorder="1" applyAlignment="1">
      <alignment horizontal="center" vertical="center"/>
    </xf>
    <xf numFmtId="164" fontId="3" fillId="12" borderId="5" xfId="0" applyNumberFormat="1" applyFont="1" applyFill="1" applyBorder="1" applyAlignment="1">
      <alignment horizontal="center"/>
    </xf>
    <xf numFmtId="164" fontId="3" fillId="12" borderId="5" xfId="0" applyNumberFormat="1" applyFont="1" applyFill="1" applyBorder="1" applyAlignment="1">
      <alignment horizontal="center" vertical="center"/>
    </xf>
    <xf numFmtId="164" fontId="3" fillId="10" borderId="8" xfId="0" applyNumberFormat="1" applyFont="1" applyFill="1" applyBorder="1" applyAlignment="1">
      <alignment horizontal="center"/>
    </xf>
    <xf numFmtId="164" fontId="3" fillId="10" borderId="4" xfId="0" applyNumberFormat="1" applyFont="1" applyFill="1" applyBorder="1" applyAlignment="1">
      <alignment horizontal="center"/>
    </xf>
    <xf numFmtId="164" fontId="3" fillId="13" borderId="8" xfId="0" applyNumberFormat="1" applyFont="1" applyFill="1" applyBorder="1" applyAlignment="1">
      <alignment horizontal="center"/>
    </xf>
    <xf numFmtId="164" fontId="3" fillId="13" borderId="5" xfId="0" applyNumberFormat="1" applyFont="1" applyFill="1" applyBorder="1" applyAlignment="1">
      <alignment horizontal="center"/>
    </xf>
    <xf numFmtId="164" fontId="3" fillId="13" borderId="4" xfId="0" applyNumberFormat="1" applyFont="1" applyFill="1" applyBorder="1" applyAlignment="1">
      <alignment horizontal="center"/>
    </xf>
    <xf numFmtId="164" fontId="3" fillId="13" borderId="5" xfId="0" applyNumberFormat="1" applyFont="1" applyFill="1" applyBorder="1" applyAlignment="1">
      <alignment horizontal="center" vertical="center"/>
    </xf>
    <xf numFmtId="164" fontId="3" fillId="12" borderId="21" xfId="0" applyNumberFormat="1" applyFont="1" applyFill="1" applyBorder="1" applyAlignment="1">
      <alignment horizontal="center"/>
    </xf>
    <xf numFmtId="0" fontId="0" fillId="12" borderId="0" xfId="0" applyFill="1" applyAlignment="1" applyProtection="1">
      <alignment horizontal="center"/>
      <protection locked="0"/>
    </xf>
    <xf numFmtId="164" fontId="3" fillId="12" borderId="0" xfId="0" applyNumberFormat="1" applyFont="1" applyFill="1" applyAlignment="1">
      <alignment horizontal="center"/>
    </xf>
    <xf numFmtId="0" fontId="0" fillId="11" borderId="0" xfId="0" applyFill="1" applyAlignment="1">
      <alignment horizontal="center"/>
    </xf>
    <xf numFmtId="164" fontId="3" fillId="11" borderId="0" xfId="0" applyNumberFormat="1" applyFont="1" applyFill="1" applyAlignment="1">
      <alignment horizontal="center"/>
    </xf>
    <xf numFmtId="0" fontId="0" fillId="13" borderId="0" xfId="0" applyFill="1" applyAlignment="1" applyProtection="1">
      <alignment horizontal="center"/>
      <protection locked="0"/>
    </xf>
    <xf numFmtId="164" fontId="3" fillId="13" borderId="0" xfId="0" applyNumberFormat="1" applyFont="1" applyFill="1" applyAlignment="1">
      <alignment horizontal="center"/>
    </xf>
    <xf numFmtId="0" fontId="0" fillId="10" borderId="0" xfId="0" applyFill="1"/>
    <xf numFmtId="164" fontId="3" fillId="10" borderId="0" xfId="0" applyNumberFormat="1" applyFont="1" applyFill="1" applyBorder="1" applyAlignment="1">
      <alignment horizontal="center"/>
    </xf>
    <xf numFmtId="164" fontId="3" fillId="12" borderId="3" xfId="0" applyNumberFormat="1" applyFont="1" applyFill="1" applyBorder="1" applyAlignment="1">
      <alignment horizontal="center"/>
    </xf>
    <xf numFmtId="164" fontId="3" fillId="10" borderId="2" xfId="0" applyNumberFormat="1" applyFont="1" applyFill="1" applyBorder="1" applyAlignment="1">
      <alignment horizontal="center"/>
    </xf>
    <xf numFmtId="164" fontId="3" fillId="12" borderId="9" xfId="0" applyNumberFormat="1" applyFont="1" applyFill="1" applyBorder="1" applyAlignment="1">
      <alignment horizontal="center"/>
    </xf>
    <xf numFmtId="0" fontId="3" fillId="12" borderId="2" xfId="0" applyFont="1" applyFill="1" applyBorder="1" applyAlignment="1">
      <alignment horizontal="center"/>
    </xf>
    <xf numFmtId="164" fontId="3" fillId="10" borderId="9" xfId="0" applyNumberFormat="1" applyFont="1" applyFill="1" applyBorder="1" applyAlignment="1">
      <alignment horizontal="center"/>
    </xf>
    <xf numFmtId="0" fontId="3" fillId="10" borderId="2" xfId="0" applyFont="1" applyFill="1" applyBorder="1" applyAlignment="1">
      <alignment horizontal="center"/>
    </xf>
    <xf numFmtId="0" fontId="3" fillId="10" borderId="4" xfId="0" applyFont="1" applyFill="1" applyBorder="1" applyAlignment="1">
      <alignment horizontal="center"/>
    </xf>
    <xf numFmtId="0" fontId="3" fillId="0" borderId="6" xfId="0" applyFont="1" applyFill="1" applyBorder="1" applyAlignment="1">
      <alignment horizontal="center" vertical="center"/>
    </xf>
    <xf numFmtId="0" fontId="14" fillId="0" borderId="0" xfId="5" applyFont="1" applyFill="1" applyBorder="1" applyAlignment="1"/>
    <xf numFmtId="0" fontId="15" fillId="0" borderId="0" xfId="5" applyFont="1" applyFill="1" applyBorder="1" applyAlignment="1">
      <alignment horizontal="left"/>
    </xf>
    <xf numFmtId="0" fontId="15" fillId="0" borderId="0" xfId="5" applyFont="1" applyFill="1" applyBorder="1" applyAlignment="1">
      <alignment horizontal="center"/>
    </xf>
    <xf numFmtId="0" fontId="16" fillId="0" borderId="0" xfId="5" applyFont="1" applyFill="1" applyBorder="1" applyAlignment="1">
      <alignment horizontal="center"/>
    </xf>
    <xf numFmtId="166" fontId="15" fillId="0" borderId="0" xfId="5" applyNumberFormat="1" applyFont="1" applyFill="1" applyBorder="1"/>
    <xf numFmtId="0" fontId="15" fillId="0" borderId="0" xfId="5" applyFont="1" applyFill="1" applyBorder="1"/>
    <xf numFmtId="0" fontId="17" fillId="0" borderId="0" xfId="5" applyFont="1" applyFill="1" applyBorder="1" applyAlignment="1">
      <alignment horizontal="left"/>
    </xf>
    <xf numFmtId="0" fontId="0" fillId="0" borderId="0" xfId="0" applyFont="1" applyFill="1" applyAlignment="1">
      <alignment vertical="top"/>
    </xf>
    <xf numFmtId="0" fontId="17" fillId="3" borderId="0" xfId="5" applyFont="1" applyFill="1" applyBorder="1" applyAlignment="1">
      <alignment horizontal="left"/>
    </xf>
    <xf numFmtId="0" fontId="19" fillId="3" borderId="0" xfId="5" applyFont="1" applyFill="1" applyBorder="1" applyAlignment="1"/>
    <xf numFmtId="0" fontId="19" fillId="3" borderId="0" xfId="5" applyFont="1" applyFill="1" applyBorder="1" applyAlignment="1">
      <alignment horizontal="center"/>
    </xf>
    <xf numFmtId="0" fontId="16" fillId="3" borderId="0" xfId="5" applyFont="1" applyFill="1" applyBorder="1"/>
    <xf numFmtId="0" fontId="20" fillId="3"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3" fillId="0" borderId="7" xfId="5" applyFont="1" applyFill="1" applyBorder="1" applyAlignment="1">
      <alignment horizontal="center" vertical="center"/>
    </xf>
    <xf numFmtId="0" fontId="23" fillId="0" borderId="7" xfId="5" applyFont="1" applyFill="1" applyBorder="1" applyAlignment="1">
      <alignment horizontal="center"/>
    </xf>
    <xf numFmtId="0" fontId="24" fillId="0" borderId="0" xfId="5" applyFont="1" applyFill="1" applyBorder="1" applyAlignment="1"/>
    <xf numFmtId="167" fontId="25" fillId="0" borderId="10" xfId="3" applyNumberFormat="1" applyFont="1" applyFill="1" applyBorder="1" applyAlignment="1">
      <alignment horizontal="center"/>
    </xf>
    <xf numFmtId="167" fontId="25" fillId="0" borderId="0" xfId="3" applyNumberFormat="1" applyFont="1" applyFill="1" applyBorder="1" applyAlignment="1">
      <alignment horizontal="center"/>
    </xf>
    <xf numFmtId="165" fontId="19" fillId="0" borderId="0" xfId="1" applyNumberFormat="1" applyFont="1" applyFill="1" applyBorder="1" applyAlignment="1">
      <alignment horizontal="center" vertical="center"/>
    </xf>
    <xf numFmtId="165" fontId="15" fillId="0" borderId="0" xfId="5" applyNumberFormat="1" applyFont="1" applyFill="1" applyBorder="1" applyAlignment="1">
      <alignment horizontal="center"/>
    </xf>
    <xf numFmtId="165" fontId="16" fillId="0" borderId="0" xfId="5" applyNumberFormat="1" applyFont="1" applyFill="1" applyBorder="1" applyAlignment="1">
      <alignment horizontal="center"/>
    </xf>
    <xf numFmtId="166" fontId="15" fillId="0" borderId="0" xfId="5" applyNumberFormat="1" applyFont="1" applyFill="1" applyBorder="1" applyAlignment="1"/>
    <xf numFmtId="164" fontId="15" fillId="0" borderId="0" xfId="5" applyNumberFormat="1" applyFont="1" applyFill="1" applyBorder="1"/>
    <xf numFmtId="164" fontId="21" fillId="0" borderId="0" xfId="6" applyNumberFormat="1" applyFill="1" applyBorder="1"/>
    <xf numFmtId="0" fontId="23" fillId="0" borderId="0" xfId="5" applyFont="1" applyFill="1" applyBorder="1" applyAlignment="1">
      <alignment horizontal="center"/>
    </xf>
    <xf numFmtId="164" fontId="19" fillId="0" borderId="0" xfId="1" applyNumberFormat="1" applyFont="1" applyFill="1" applyBorder="1" applyAlignment="1">
      <alignment horizontal="center" vertical="center"/>
    </xf>
    <xf numFmtId="164" fontId="19" fillId="0" borderId="7" xfId="1" applyNumberFormat="1" applyFont="1" applyFill="1" applyBorder="1" applyAlignment="1">
      <alignment horizontal="center" vertical="center"/>
    </xf>
    <xf numFmtId="3" fontId="0" fillId="0" borderId="0" xfId="0" applyNumberFormat="1" applyAlignment="1">
      <alignment horizontal="center"/>
    </xf>
    <xf numFmtId="3" fontId="0" fillId="0" borderId="8" xfId="0" applyNumberFormat="1" applyBorder="1" applyAlignment="1">
      <alignment horizontal="center"/>
    </xf>
    <xf numFmtId="164" fontId="23" fillId="0" borderId="6" xfId="3" applyNumberFormat="1" applyFont="1" applyFill="1" applyBorder="1" applyAlignment="1">
      <alignment horizontal="center"/>
    </xf>
    <xf numFmtId="10" fontId="29" fillId="0" borderId="0" xfId="5" applyNumberFormat="1" applyFont="1" applyFill="1" applyBorder="1" applyAlignment="1">
      <alignment horizontal="center"/>
    </xf>
    <xf numFmtId="0" fontId="3" fillId="0" borderId="0" xfId="0" applyFont="1" applyBorder="1" applyAlignment="1">
      <alignment horizontal="center"/>
    </xf>
    <xf numFmtId="0" fontId="3" fillId="0" borderId="9" xfId="0" applyFont="1" applyFill="1" applyBorder="1" applyAlignment="1">
      <alignment horizontal="left" vertical="center"/>
    </xf>
    <xf numFmtId="164" fontId="3" fillId="0" borderId="7" xfId="2" applyNumberFormat="1" applyFont="1" applyFill="1" applyBorder="1" applyAlignment="1">
      <alignment horizontal="center" vertical="center"/>
    </xf>
    <xf numFmtId="0" fontId="3" fillId="0" borderId="6" xfId="0" applyFont="1" applyBorder="1" applyAlignment="1">
      <alignment horizontal="center"/>
    </xf>
    <xf numFmtId="0" fontId="3" fillId="0" borderId="9" xfId="0" applyFont="1" applyFill="1" applyBorder="1" applyAlignment="1">
      <alignment horizontal="center" vertical="center"/>
    </xf>
    <xf numFmtId="164" fontId="0" fillId="0" borderId="8" xfId="0" applyNumberFormat="1" applyBorder="1" applyAlignment="1">
      <alignment horizontal="center"/>
    </xf>
    <xf numFmtId="37" fontId="19" fillId="0" borderId="7" xfId="5" applyNumberFormat="1" applyFont="1" applyFill="1" applyBorder="1" applyAlignment="1">
      <alignment horizontal="center" vertical="center"/>
    </xf>
    <xf numFmtId="3" fontId="24" fillId="0" borderId="0" xfId="5" applyNumberFormat="1" applyFont="1" applyFill="1" applyBorder="1" applyAlignment="1">
      <alignment horizontal="center" vertical="center"/>
    </xf>
    <xf numFmtId="164" fontId="19" fillId="0" borderId="0" xfId="5" applyNumberFormat="1" applyFont="1" applyFill="1" applyBorder="1" applyAlignment="1">
      <alignment horizontal="center"/>
    </xf>
    <xf numFmtId="164" fontId="19" fillId="0" borderId="7" xfId="5" applyNumberFormat="1" applyFont="1" applyFill="1" applyBorder="1" applyAlignment="1">
      <alignment horizontal="center"/>
    </xf>
    <xf numFmtId="164" fontId="24" fillId="0" borderId="0" xfId="5" applyNumberFormat="1" applyFont="1" applyFill="1" applyBorder="1" applyAlignment="1">
      <alignment horizontal="center"/>
    </xf>
    <xf numFmtId="167" fontId="25" fillId="0" borderId="6" xfId="3" applyNumberFormat="1" applyFont="1" applyFill="1" applyBorder="1" applyAlignment="1">
      <alignment horizontal="center"/>
    </xf>
    <xf numFmtId="167" fontId="25" fillId="0" borderId="12" xfId="3" applyNumberFormat="1" applyFont="1" applyFill="1" applyBorder="1" applyAlignment="1">
      <alignment horizontal="center"/>
    </xf>
    <xf numFmtId="164" fontId="3" fillId="0" borderId="0" xfId="0" applyNumberFormat="1" applyFont="1" applyBorder="1" applyAlignment="1">
      <alignment horizontal="center"/>
    </xf>
    <xf numFmtId="164" fontId="3" fillId="11" borderId="13" xfId="0" applyNumberFormat="1" applyFont="1" applyFill="1" applyBorder="1" applyAlignment="1">
      <alignment horizontal="center" vertical="center"/>
    </xf>
    <xf numFmtId="164" fontId="3" fillId="11" borderId="21" xfId="0" applyNumberFormat="1" applyFont="1" applyFill="1" applyBorder="1" applyAlignment="1">
      <alignment horizontal="center" vertical="center"/>
    </xf>
    <xf numFmtId="164" fontId="3" fillId="11" borderId="22" xfId="0" applyNumberFormat="1" applyFont="1" applyFill="1" applyBorder="1" applyAlignment="1">
      <alignment horizontal="center" vertical="center"/>
    </xf>
    <xf numFmtId="164" fontId="0" fillId="6" borderId="0" xfId="2" applyNumberFormat="1" applyFont="1" applyFill="1" applyBorder="1" applyAlignment="1">
      <alignment horizontal="center" vertical="center"/>
    </xf>
    <xf numFmtId="0" fontId="9" fillId="0" borderId="10" xfId="0" applyFont="1" applyFill="1" applyBorder="1" applyAlignment="1" applyProtection="1">
      <alignment horizontal="left" vertical="center" wrapText="1"/>
      <protection locked="0"/>
    </xf>
    <xf numFmtId="0" fontId="10" fillId="0" borderId="12" xfId="0" applyFont="1" applyFill="1" applyBorder="1" applyAlignment="1">
      <alignment horizontal="left" vertical="center" wrapText="1"/>
    </xf>
    <xf numFmtId="0" fontId="0" fillId="0" borderId="11" xfId="0" applyBorder="1"/>
    <xf numFmtId="0" fontId="3" fillId="0" borderId="2" xfId="0" applyFont="1" applyFill="1" applyBorder="1" applyAlignment="1">
      <alignment horizontal="center"/>
    </xf>
    <xf numFmtId="164" fontId="0" fillId="0" borderId="4" xfId="0" applyNumberFormat="1" applyFill="1" applyBorder="1" applyAlignment="1">
      <alignment horizontal="center"/>
    </xf>
    <xf numFmtId="0" fontId="10" fillId="0" borderId="11" xfId="0" applyFont="1" applyFill="1" applyBorder="1" applyAlignment="1">
      <alignment horizontal="left" vertical="center" wrapText="1"/>
    </xf>
    <xf numFmtId="0" fontId="3" fillId="0" borderId="5" xfId="0" applyFont="1" applyBorder="1" applyAlignment="1">
      <alignment horizontal="center"/>
    </xf>
    <xf numFmtId="164" fontId="0" fillId="6" borderId="5" xfId="2" applyNumberFormat="1" applyFont="1" applyFill="1" applyBorder="1" applyAlignment="1">
      <alignment horizontal="center" vertical="center"/>
    </xf>
    <xf numFmtId="164" fontId="3" fillId="0" borderId="8" xfId="2" applyNumberFormat="1" applyFont="1" applyFill="1" applyBorder="1" applyAlignment="1">
      <alignment horizontal="center" vertical="center"/>
    </xf>
    <xf numFmtId="0" fontId="9" fillId="3" borderId="6" xfId="0" applyFont="1" applyFill="1" applyBorder="1" applyAlignment="1" applyProtection="1">
      <alignment horizontal="left" vertical="center"/>
      <protection locked="0"/>
    </xf>
    <xf numFmtId="0" fontId="10" fillId="3" borderId="0" xfId="0" applyFont="1" applyFill="1" applyBorder="1" applyAlignment="1">
      <alignment horizontal="left" vertical="center"/>
    </xf>
    <xf numFmtId="3" fontId="3" fillId="5" borderId="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3" fillId="10" borderId="1" xfId="0" applyFont="1" applyFill="1" applyBorder="1" applyAlignment="1">
      <alignment horizontal="center"/>
    </xf>
    <xf numFmtId="164" fontId="3" fillId="10" borderId="1" xfId="0" applyNumberFormat="1" applyFont="1" applyFill="1" applyBorder="1" applyAlignment="1">
      <alignment horizontal="center"/>
    </xf>
    <xf numFmtId="0" fontId="0" fillId="0" borderId="0" xfId="0" applyAlignment="1">
      <alignment horizontal="right"/>
    </xf>
    <xf numFmtId="164" fontId="28" fillId="0" borderId="1" xfId="1" applyNumberFormat="1" applyFont="1" applyFill="1" applyBorder="1" applyAlignment="1">
      <alignment horizontal="center" vertical="center"/>
    </xf>
    <xf numFmtId="164" fontId="0" fillId="0" borderId="0" xfId="0" applyNumberFormat="1" applyAlignment="1">
      <alignment horizontal="center"/>
    </xf>
    <xf numFmtId="0" fontId="0" fillId="10" borderId="7" xfId="0" applyFill="1" applyBorder="1" applyAlignment="1">
      <alignment horizontal="center"/>
    </xf>
    <xf numFmtId="0" fontId="0" fillId="0" borderId="7" xfId="0" applyBorder="1"/>
    <xf numFmtId="0" fontId="0" fillId="0" borderId="7" xfId="0" applyBorder="1" applyAlignment="1">
      <alignment horizontal="center"/>
    </xf>
    <xf numFmtId="2" fontId="0" fillId="0" borderId="0" xfId="0" applyNumberFormat="1" applyAlignment="1">
      <alignment horizontal="center"/>
    </xf>
    <xf numFmtId="168" fontId="0" fillId="0" borderId="0" xfId="0" applyNumberFormat="1" applyFill="1" applyAlignment="1">
      <alignment horizontal="center"/>
    </xf>
    <xf numFmtId="0" fontId="0" fillId="16" borderId="7" xfId="0" applyFill="1" applyBorder="1" applyAlignment="1">
      <alignment horizontal="left"/>
    </xf>
    <xf numFmtId="168" fontId="0" fillId="0" borderId="7" xfId="0" applyNumberFormat="1" applyBorder="1" applyAlignment="1">
      <alignment horizontal="center"/>
    </xf>
    <xf numFmtId="168" fontId="0" fillId="16" borderId="0" xfId="0" applyNumberFormat="1" applyFill="1" applyAlignment="1">
      <alignment horizontal="center"/>
    </xf>
    <xf numFmtId="168" fontId="0" fillId="0" borderId="0" xfId="0" applyNumberFormat="1"/>
    <xf numFmtId="0" fontId="0" fillId="13" borderId="23" xfId="0" applyFill="1" applyBorder="1"/>
    <xf numFmtId="0" fontId="0" fillId="13" borderId="23" xfId="0" applyFill="1" applyBorder="1" applyAlignment="1">
      <alignment horizontal="right"/>
    </xf>
    <xf numFmtId="169" fontId="0" fillId="13" borderId="23" xfId="2" applyNumberFormat="1" applyFont="1" applyFill="1" applyBorder="1" applyAlignment="1">
      <alignment horizontal="center"/>
    </xf>
    <xf numFmtId="44" fontId="0" fillId="10" borderId="23" xfId="0" applyNumberFormat="1" applyFill="1" applyBorder="1"/>
    <xf numFmtId="0" fontId="21" fillId="0" borderId="0" xfId="6"/>
    <xf numFmtId="0" fontId="0" fillId="0" borderId="0" xfId="0" applyAlignment="1">
      <alignment vertical="top" wrapText="1"/>
    </xf>
    <xf numFmtId="3" fontId="0" fillId="0" borderId="3" xfId="0" applyNumberFormat="1" applyBorder="1" applyAlignment="1">
      <alignment horizontal="center"/>
    </xf>
    <xf numFmtId="170" fontId="0" fillId="10" borderId="23" xfId="1" applyNumberFormat="1" applyFont="1" applyFill="1" applyBorder="1" applyAlignment="1">
      <alignment horizontal="right"/>
    </xf>
    <xf numFmtId="0" fontId="0" fillId="13" borderId="23" xfId="0" applyFill="1" applyBorder="1" applyAlignment="1">
      <alignment horizontal="center"/>
    </xf>
    <xf numFmtId="0" fontId="3" fillId="0" borderId="0" xfId="0" applyFont="1"/>
    <xf numFmtId="3" fontId="3" fillId="0" borderId="0" xfId="0" applyNumberFormat="1" applyFont="1" applyAlignment="1">
      <alignment horizontal="center"/>
    </xf>
    <xf numFmtId="0" fontId="18" fillId="0" borderId="0" xfId="5" applyFont="1" applyFill="1" applyBorder="1" applyAlignment="1">
      <alignment vertical="top" wrapText="1"/>
    </xf>
    <xf numFmtId="0" fontId="0" fillId="0" borderId="0" xfId="0" applyAlignment="1">
      <alignment wrapText="1"/>
    </xf>
    <xf numFmtId="164" fontId="21" fillId="3" borderId="0" xfId="6" applyNumberFormat="1" applyFill="1" applyBorder="1" applyAlignment="1">
      <alignment horizontal="right" wrapText="1"/>
    </xf>
    <xf numFmtId="0" fontId="21" fillId="3" borderId="0" xfId="6" applyFill="1" applyAlignment="1">
      <alignment horizontal="right" wrapText="1"/>
    </xf>
    <xf numFmtId="0" fontId="12" fillId="14" borderId="0" xfId="4" applyFont="1" applyFill="1" applyAlignment="1" applyProtection="1">
      <alignment vertical="center" wrapText="1"/>
      <protection locked="0"/>
    </xf>
    <xf numFmtId="164" fontId="22" fillId="3" borderId="0" xfId="6" applyNumberFormat="1" applyFont="1" applyFill="1" applyBorder="1" applyAlignment="1">
      <alignment horizontal="right" wrapText="1"/>
    </xf>
    <xf numFmtId="0" fontId="26" fillId="3" borderId="0" xfId="0" applyFont="1" applyFill="1" applyAlignment="1">
      <alignment horizontal="right" wrapText="1"/>
    </xf>
    <xf numFmtId="0" fontId="27" fillId="0" borderId="0" xfId="5" applyFont="1" applyFill="1" applyBorder="1" applyAlignment="1">
      <alignment wrapText="1"/>
    </xf>
    <xf numFmtId="0" fontId="0" fillId="0" borderId="0" xfId="0" applyBorder="1" applyAlignment="1">
      <alignment wrapText="1"/>
    </xf>
    <xf numFmtId="0" fontId="0" fillId="0" borderId="0" xfId="0" applyFont="1" applyFill="1" applyBorder="1" applyAlignment="1">
      <alignment vertical="top" wrapText="1"/>
    </xf>
    <xf numFmtId="0" fontId="12" fillId="14" borderId="0" xfId="4" applyFont="1" applyFill="1" applyBorder="1" applyAlignment="1" applyProtection="1">
      <alignment vertical="center" wrapText="1"/>
      <protection locked="0"/>
    </xf>
    <xf numFmtId="0" fontId="0" fillId="0" borderId="0" xfId="0" applyAlignment="1">
      <alignment vertical="top" wrapText="1"/>
    </xf>
    <xf numFmtId="164" fontId="0" fillId="0" borderId="0" xfId="0" applyNumberFormat="1" applyAlignment="1">
      <alignment horizontal="center" wrapText="1"/>
    </xf>
    <xf numFmtId="164" fontId="0" fillId="0" borderId="12" xfId="0" applyNumberFormat="1" applyBorder="1" applyAlignment="1">
      <alignment horizontal="center" wrapText="1"/>
    </xf>
    <xf numFmtId="0" fontId="9" fillId="3" borderId="20" xfId="0" applyFont="1" applyFill="1" applyBorder="1" applyAlignment="1" applyProtection="1">
      <alignment horizontal="left" wrapText="1"/>
      <protection locked="0"/>
    </xf>
    <xf numFmtId="0" fontId="10" fillId="3" borderId="17" xfId="0" applyFont="1" applyFill="1" applyBorder="1" applyAlignment="1">
      <alignment wrapText="1"/>
    </xf>
    <xf numFmtId="0" fontId="0" fillId="0" borderId="17" xfId="0" applyBorder="1" applyAlignment="1">
      <alignment wrapText="1"/>
    </xf>
    <xf numFmtId="0" fontId="0" fillId="0" borderId="19" xfId="0" applyBorder="1" applyAlignment="1">
      <alignment wrapText="1"/>
    </xf>
    <xf numFmtId="0" fontId="3" fillId="10" borderId="10" xfId="0" applyFont="1" applyFill="1" applyBorder="1" applyAlignment="1">
      <alignment horizontal="center" wrapText="1"/>
    </xf>
    <xf numFmtId="0" fontId="3" fillId="10" borderId="12" xfId="0" applyFont="1" applyFill="1" applyBorder="1" applyAlignment="1">
      <alignment horizontal="center" wrapText="1"/>
    </xf>
    <xf numFmtId="0" fontId="3" fillId="10" borderId="11" xfId="0" applyFont="1" applyFill="1" applyBorder="1" applyAlignment="1">
      <alignment horizontal="center" wrapText="1"/>
    </xf>
    <xf numFmtId="0" fontId="3" fillId="9" borderId="9" xfId="0" applyFont="1" applyFill="1" applyBorder="1" applyAlignment="1">
      <alignment horizontal="center" wrapText="1"/>
    </xf>
    <xf numFmtId="0" fontId="3" fillId="9" borderId="7" xfId="0" applyFont="1" applyFill="1" applyBorder="1" applyAlignment="1">
      <alignment horizontal="center" wrapText="1"/>
    </xf>
    <xf numFmtId="164" fontId="3" fillId="0" borderId="3" xfId="0" applyNumberFormat="1" applyFont="1" applyBorder="1" applyAlignment="1">
      <alignment horizontal="center" wrapText="1"/>
    </xf>
    <xf numFmtId="0" fontId="4" fillId="2" borderId="0" xfId="4" applyFont="1" applyFill="1" applyAlignment="1" applyProtection="1">
      <alignment vertical="center" wrapText="1"/>
      <protection locked="0"/>
    </xf>
    <xf numFmtId="0" fontId="5" fillId="2" borderId="0" xfId="0" applyFont="1" applyFill="1" applyAlignment="1">
      <alignment wrapText="1"/>
    </xf>
    <xf numFmtId="0" fontId="5" fillId="0" borderId="0" xfId="0" applyFont="1" applyAlignment="1">
      <alignment wrapText="1"/>
    </xf>
    <xf numFmtId="0" fontId="9" fillId="3" borderId="14" xfId="0" applyFont="1" applyFill="1" applyBorder="1" applyAlignment="1">
      <alignment horizontal="left" vertical="center" wrapText="1"/>
    </xf>
    <xf numFmtId="0" fontId="0" fillId="0" borderId="15" xfId="0" applyBorder="1" applyAlignment="1">
      <alignment vertical="center" wrapText="1"/>
    </xf>
    <xf numFmtId="0" fontId="9" fillId="3" borderId="16" xfId="0" applyFont="1" applyFill="1" applyBorder="1" applyAlignment="1" applyProtection="1">
      <alignment horizontal="left" vertical="center" wrapText="1"/>
      <protection locked="0"/>
    </xf>
    <xf numFmtId="0" fontId="10" fillId="3" borderId="17"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64" fontId="0" fillId="0" borderId="7" xfId="0" applyNumberFormat="1" applyBorder="1" applyAlignment="1">
      <alignment horizontal="center" wrapText="1"/>
    </xf>
    <xf numFmtId="164" fontId="0" fillId="0" borderId="12" xfId="0" applyNumberFormat="1" applyBorder="1" applyAlignment="1">
      <alignment horizontal="center" vertical="center" wrapText="1"/>
    </xf>
    <xf numFmtId="164" fontId="0" fillId="0" borderId="0" xfId="0" applyNumberFormat="1" applyAlignment="1">
      <alignment horizontal="center" vertical="center" wrapText="1"/>
    </xf>
    <xf numFmtId="164" fontId="3" fillId="0" borderId="0" xfId="0" applyNumberFormat="1" applyFont="1" applyAlignment="1">
      <alignment horizontal="center" wrapText="1"/>
    </xf>
    <xf numFmtId="0" fontId="3" fillId="9" borderId="10" xfId="0" applyFont="1" applyFill="1" applyBorder="1" applyAlignment="1">
      <alignment horizontal="center" wrapText="1"/>
    </xf>
    <xf numFmtId="0" fontId="3" fillId="9" borderId="12" xfId="0" applyFont="1" applyFill="1" applyBorder="1" applyAlignment="1">
      <alignment horizontal="center" wrapText="1"/>
    </xf>
    <xf numFmtId="0" fontId="0" fillId="0" borderId="11" xfId="0" applyBorder="1" applyAlignment="1">
      <alignment horizontal="center" wrapText="1"/>
    </xf>
    <xf numFmtId="0" fontId="9" fillId="3" borderId="2"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9" xfId="0" applyFont="1" applyFill="1" applyBorder="1" applyAlignment="1" applyProtection="1">
      <alignment horizontal="left" wrapText="1"/>
      <protection locked="0"/>
    </xf>
    <xf numFmtId="0" fontId="9" fillId="3" borderId="8" xfId="0" applyFont="1" applyFill="1" applyBorder="1" applyAlignment="1" applyProtection="1">
      <alignment horizontal="left" wrapText="1"/>
      <protection locked="0"/>
    </xf>
    <xf numFmtId="164" fontId="0" fillId="0" borderId="7" xfId="0" applyNumberFormat="1" applyBorder="1" applyAlignment="1">
      <alignment horizontal="center" vertical="center" wrapText="1"/>
    </xf>
    <xf numFmtId="0" fontId="9" fillId="15" borderId="9" xfId="0" applyFont="1" applyFill="1" applyBorder="1" applyAlignment="1" applyProtection="1">
      <alignment horizontal="left" wrapText="1"/>
      <protection locked="0"/>
    </xf>
    <xf numFmtId="0" fontId="9" fillId="15" borderId="8" xfId="0" applyFont="1" applyFill="1" applyBorder="1" applyAlignment="1" applyProtection="1">
      <alignment horizontal="left" wrapText="1"/>
      <protection locked="0"/>
    </xf>
    <xf numFmtId="0" fontId="9" fillId="3" borderId="1" xfId="0" applyFont="1" applyFill="1" applyBorder="1" applyAlignment="1" applyProtection="1">
      <alignment horizontal="left" vertical="center" wrapText="1"/>
      <protection locked="0"/>
    </xf>
    <xf numFmtId="0" fontId="0" fillId="0" borderId="1" xfId="0" applyBorder="1" applyAlignment="1">
      <alignment wrapText="1"/>
    </xf>
  </cellXfs>
  <cellStyles count="8">
    <cellStyle name="Comma" xfId="1" builtinId="3"/>
    <cellStyle name="Comma 4" xfId="7"/>
    <cellStyle name="Currency" xfId="2" builtinId="4"/>
    <cellStyle name="Hyperlink" xfId="6" builtinId="8"/>
    <cellStyle name="Normal" xfId="0" builtinId="0"/>
    <cellStyle name="Normal 2" xfId="5"/>
    <cellStyle name="Percent" xfId="3" builtinId="5"/>
    <cellStyle name="Title" xfId="4" builtinId="15"/>
  </cellStyles>
  <dxfs count="9">
    <dxf>
      <font>
        <b/>
        <i val="0"/>
        <color rgb="FF00B050"/>
      </font>
    </dxf>
    <dxf>
      <font>
        <b/>
        <i val="0"/>
        <color rgb="FF00B050"/>
      </font>
    </dxf>
    <dxf>
      <font>
        <b/>
        <i val="0"/>
        <color rgb="FFC00000"/>
      </font>
    </dxf>
    <dxf>
      <font>
        <b/>
        <i val="0"/>
        <color rgb="FF00B050"/>
      </font>
    </dxf>
    <dxf>
      <font>
        <b/>
        <i val="0"/>
        <color rgb="FFC00000"/>
      </font>
    </dxf>
    <dxf>
      <font>
        <b/>
        <i val="0"/>
        <color rgb="FF00B050"/>
      </font>
    </dxf>
    <dxf>
      <font>
        <b/>
        <i val="0"/>
        <color rgb="FFC00000"/>
      </font>
    </dxf>
    <dxf>
      <font>
        <b/>
        <i val="0"/>
        <color rgb="FF00B050"/>
      </font>
    </dxf>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tabSelected="1" zoomScale="70" zoomScaleNormal="70" workbookViewId="0">
      <selection activeCell="O37" sqref="O37"/>
    </sheetView>
  </sheetViews>
  <sheetFormatPr defaultRowHeight="15"/>
  <cols>
    <col min="1" max="1" width="59.7109375" bestFit="1" customWidth="1"/>
    <col min="2" max="2" width="35.5703125" bestFit="1" customWidth="1"/>
    <col min="3" max="3" width="15.7109375" bestFit="1" customWidth="1"/>
    <col min="4" max="4" width="31.28515625" bestFit="1" customWidth="1"/>
    <col min="5" max="5" width="17.5703125" customWidth="1"/>
    <col min="6" max="6" width="20.28515625" bestFit="1" customWidth="1"/>
  </cols>
  <sheetData>
    <row r="1" spans="1:18" ht="23.45" customHeight="1">
      <c r="A1" s="201" t="s">
        <v>51</v>
      </c>
      <c r="B1" s="198"/>
      <c r="C1" s="198"/>
      <c r="D1" s="198"/>
      <c r="E1" s="198"/>
      <c r="F1" s="198"/>
      <c r="G1" s="198"/>
      <c r="H1" s="207" t="s">
        <v>89</v>
      </c>
      <c r="I1" s="205"/>
      <c r="J1" s="205"/>
      <c r="K1" s="205"/>
      <c r="L1" s="205"/>
      <c r="M1" s="205"/>
      <c r="N1" s="205"/>
      <c r="O1" s="205"/>
      <c r="P1" s="205"/>
      <c r="Q1" s="205"/>
    </row>
    <row r="2" spans="1:18" ht="18.75">
      <c r="A2" s="109"/>
      <c r="B2" s="110"/>
      <c r="C2" s="111"/>
      <c r="D2" s="112"/>
      <c r="E2" s="112"/>
      <c r="F2" s="113"/>
      <c r="G2" s="114"/>
      <c r="H2" s="114"/>
      <c r="I2" s="114"/>
      <c r="J2" s="114"/>
      <c r="K2" s="114"/>
      <c r="L2" s="114"/>
      <c r="M2" s="114"/>
      <c r="N2" s="114"/>
      <c r="O2" s="114"/>
      <c r="P2" s="114"/>
      <c r="Q2" s="114"/>
    </row>
    <row r="3" spans="1:18" ht="18.75">
      <c r="A3" s="115" t="s">
        <v>30</v>
      </c>
      <c r="B3" s="110"/>
      <c r="C3" s="111"/>
      <c r="D3" s="112"/>
      <c r="E3" s="112"/>
      <c r="F3" s="113"/>
      <c r="G3" s="114"/>
      <c r="H3" s="114"/>
      <c r="I3" s="114"/>
      <c r="J3" s="114"/>
      <c r="K3" s="114"/>
      <c r="L3" s="114"/>
      <c r="M3" s="114"/>
      <c r="N3" s="114"/>
      <c r="O3" s="114"/>
      <c r="P3" s="114"/>
      <c r="Q3" s="114"/>
    </row>
    <row r="4" spans="1:18" ht="16.899999999999999" customHeight="1">
      <c r="A4" s="197" t="s">
        <v>55</v>
      </c>
      <c r="B4" s="198"/>
      <c r="C4" s="198"/>
      <c r="D4" s="198"/>
      <c r="E4" s="198"/>
      <c r="F4" s="198"/>
      <c r="G4" s="116"/>
      <c r="H4" s="204" t="s">
        <v>50</v>
      </c>
      <c r="I4" s="205"/>
      <c r="J4" s="205"/>
      <c r="K4" s="205"/>
      <c r="L4" s="205"/>
      <c r="M4" s="205"/>
      <c r="N4" s="205"/>
      <c r="O4" s="205"/>
      <c r="P4" s="205"/>
      <c r="Q4" s="205"/>
    </row>
    <row r="5" spans="1:18" ht="14.45" customHeight="1">
      <c r="A5" s="198"/>
      <c r="B5" s="198"/>
      <c r="C5" s="198"/>
      <c r="D5" s="198"/>
      <c r="E5" s="198"/>
      <c r="F5" s="198"/>
      <c r="G5" s="116"/>
      <c r="H5" s="197" t="s">
        <v>52</v>
      </c>
      <c r="I5" s="206"/>
      <c r="J5" s="206"/>
      <c r="K5" s="206"/>
      <c r="L5" s="206"/>
      <c r="M5" s="206"/>
      <c r="N5" s="206"/>
      <c r="O5" s="205"/>
      <c r="P5" s="205"/>
      <c r="Q5" s="205"/>
    </row>
    <row r="6" spans="1:18">
      <c r="A6" s="198"/>
      <c r="B6" s="198"/>
      <c r="C6" s="198"/>
      <c r="D6" s="198"/>
      <c r="E6" s="198"/>
      <c r="F6" s="198"/>
      <c r="G6" s="116"/>
      <c r="H6" s="206"/>
      <c r="I6" s="206"/>
      <c r="J6" s="206"/>
      <c r="K6" s="206"/>
      <c r="L6" s="206"/>
      <c r="M6" s="206"/>
      <c r="N6" s="206"/>
      <c r="O6" s="205"/>
      <c r="P6" s="205"/>
      <c r="Q6" s="205"/>
    </row>
    <row r="7" spans="1:18" ht="20.25">
      <c r="A7" s="117" t="s">
        <v>31</v>
      </c>
      <c r="B7" s="118"/>
      <c r="C7" s="119"/>
      <c r="D7" s="120"/>
      <c r="E7" s="120"/>
      <c r="F7" s="121"/>
      <c r="G7" s="114"/>
      <c r="H7" s="204" t="s">
        <v>53</v>
      </c>
      <c r="I7" s="205"/>
      <c r="J7" s="205"/>
      <c r="K7" s="205"/>
      <c r="L7" s="205"/>
      <c r="M7" s="205"/>
      <c r="N7" s="205"/>
      <c r="O7" s="205"/>
      <c r="P7" s="205"/>
      <c r="Q7" s="205"/>
    </row>
    <row r="8" spans="1:18" ht="17.45" customHeight="1">
      <c r="A8" s="122"/>
      <c r="B8" s="123">
        <v>2017</v>
      </c>
      <c r="C8" s="123">
        <v>2018</v>
      </c>
      <c r="D8" s="11" t="s">
        <v>87</v>
      </c>
      <c r="E8" s="124" t="s">
        <v>56</v>
      </c>
      <c r="F8" s="134"/>
      <c r="G8" s="134"/>
      <c r="H8" s="208" t="s">
        <v>88</v>
      </c>
      <c r="I8" s="208"/>
      <c r="J8" s="208"/>
      <c r="K8" s="208"/>
      <c r="L8" s="208"/>
      <c r="M8" s="208"/>
      <c r="N8" s="208"/>
      <c r="O8" s="208"/>
      <c r="P8" s="208"/>
      <c r="Q8" s="208"/>
    </row>
    <row r="9" spans="1:18" ht="18.75">
      <c r="A9" s="125" t="s">
        <v>37</v>
      </c>
      <c r="B9" s="135">
        <v>978013.84950000001</v>
      </c>
      <c r="C9" s="135">
        <f>'2018 Dashboard'!J19</f>
        <v>1079465.8544999999</v>
      </c>
      <c r="D9" s="137">
        <f>'2018 Dashboard'!G19</f>
        <v>16543538</v>
      </c>
      <c r="E9" s="126">
        <f>('2018 Dashboard'!G19/'2018 Dashboard'!H20)*('2018 Dashboard'!H20/'2018 Dashboard'!P19)</f>
        <v>0.32751790030139261</v>
      </c>
      <c r="F9" s="127"/>
      <c r="G9" s="127"/>
      <c r="H9" s="208"/>
      <c r="I9" s="208"/>
      <c r="J9" s="208"/>
      <c r="K9" s="208"/>
      <c r="L9" s="208"/>
      <c r="M9" s="208"/>
      <c r="N9" s="208"/>
      <c r="O9" s="208"/>
      <c r="P9" s="208"/>
      <c r="Q9" s="208"/>
    </row>
    <row r="10" spans="1:18" ht="18.75">
      <c r="A10" s="125" t="s">
        <v>49</v>
      </c>
      <c r="B10" s="136">
        <v>1769700.1455000003</v>
      </c>
      <c r="C10" s="136">
        <f>'2018 Dashboard'!K19</f>
        <v>1939784.202</v>
      </c>
      <c r="D10" s="138">
        <f>'2018 Dashboard'!H19</f>
        <v>31161192</v>
      </c>
      <c r="E10" s="152">
        <f>('2018 Dashboard'!H19/'2018 Dashboard'!H20)*('2018 Dashboard'!H20/'2018 Dashboard'!P19)</f>
        <v>0.61690843728400491</v>
      </c>
      <c r="F10" s="127"/>
      <c r="G10" s="127"/>
      <c r="H10" s="208"/>
      <c r="I10" s="208"/>
      <c r="J10" s="208"/>
      <c r="K10" s="208"/>
      <c r="L10" s="208"/>
      <c r="M10" s="208"/>
      <c r="N10" s="208"/>
      <c r="O10" s="208"/>
      <c r="P10" s="208"/>
      <c r="Q10" s="208"/>
    </row>
    <row r="11" spans="1:18" ht="20.25">
      <c r="A11" s="125" t="s">
        <v>38</v>
      </c>
      <c r="B11" s="128">
        <v>2747713.9950000001</v>
      </c>
      <c r="C11" s="128">
        <f>SUM(C9:C10)</f>
        <v>3019250.0564999999</v>
      </c>
      <c r="D11" s="137">
        <f>SUM(D9:D10)</f>
        <v>47704730</v>
      </c>
      <c r="E11" s="153">
        <f>E10+E9</f>
        <v>0.94442633758539751</v>
      </c>
      <c r="F11" s="127"/>
      <c r="G11" s="127"/>
      <c r="H11" s="204" t="s">
        <v>90</v>
      </c>
      <c r="I11" s="205"/>
      <c r="J11" s="205"/>
      <c r="K11" s="205"/>
      <c r="L11" s="205"/>
      <c r="M11" s="205"/>
      <c r="N11" s="205"/>
      <c r="O11" s="205"/>
      <c r="P11" s="205"/>
      <c r="Q11" s="205"/>
      <c r="R11" s="191"/>
    </row>
    <row r="12" spans="1:18" ht="19.899999999999999" customHeight="1">
      <c r="A12" s="114"/>
      <c r="B12" s="110"/>
      <c r="C12" s="129"/>
      <c r="D12" s="130"/>
      <c r="E12" s="130"/>
      <c r="F12" s="113"/>
      <c r="G12" s="114"/>
      <c r="H12" s="197" t="s">
        <v>97</v>
      </c>
      <c r="I12" s="198"/>
      <c r="J12" s="198"/>
      <c r="K12" s="198"/>
      <c r="L12" s="198"/>
      <c r="M12" s="198"/>
      <c r="N12" s="198"/>
      <c r="O12" s="198"/>
      <c r="P12" s="198"/>
      <c r="Q12" s="198"/>
    </row>
    <row r="13" spans="1:18" ht="19.149999999999999" customHeight="1">
      <c r="A13" s="117" t="s">
        <v>32</v>
      </c>
      <c r="B13" s="118"/>
      <c r="C13" s="119"/>
      <c r="D13" s="120"/>
      <c r="E13" s="120"/>
      <c r="F13" s="121"/>
      <c r="G13" s="114"/>
      <c r="H13" s="198"/>
      <c r="I13" s="198"/>
      <c r="J13" s="198"/>
      <c r="K13" s="198"/>
      <c r="L13" s="198"/>
      <c r="M13" s="198"/>
      <c r="N13" s="198"/>
      <c r="O13" s="198"/>
      <c r="P13" s="198"/>
      <c r="Q13" s="198"/>
    </row>
    <row r="14" spans="1:18" ht="17.45" customHeight="1">
      <c r="A14" s="122"/>
      <c r="B14" s="123">
        <v>2015</v>
      </c>
      <c r="C14" s="123">
        <v>2016</v>
      </c>
      <c r="D14" s="123">
        <v>2017</v>
      </c>
      <c r="E14" s="123">
        <v>2018</v>
      </c>
      <c r="F14" s="124" t="s">
        <v>36</v>
      </c>
      <c r="G14" s="114"/>
      <c r="H14" s="198"/>
      <c r="I14" s="198"/>
      <c r="J14" s="198"/>
      <c r="K14" s="198"/>
      <c r="L14" s="198"/>
      <c r="M14" s="198"/>
      <c r="N14" s="198"/>
      <c r="O14" s="198"/>
      <c r="P14" s="198"/>
      <c r="Q14" s="198"/>
    </row>
    <row r="15" spans="1:18" ht="16.5">
      <c r="A15" s="125" t="s">
        <v>34</v>
      </c>
      <c r="B15" s="135">
        <f>'2017 Dashboard'!G25</f>
        <v>14403.35</v>
      </c>
      <c r="C15" s="135">
        <f>'2017 Dashboard'!G38</f>
        <v>1015874.86</v>
      </c>
      <c r="D15" s="135">
        <f>'2017 Dashboard'!G51</f>
        <v>88844.280000000013</v>
      </c>
      <c r="E15" s="135">
        <f>'2018 Dashboard'!G63</f>
        <v>63660.649999999994</v>
      </c>
      <c r="F15" s="139">
        <f>SUM(B15:E15)</f>
        <v>1182783.1399999999</v>
      </c>
      <c r="G15" s="114"/>
      <c r="H15" s="61"/>
      <c r="I15" s="61"/>
      <c r="J15" s="61"/>
      <c r="K15" s="61"/>
      <c r="L15" s="61"/>
      <c r="M15" s="61"/>
      <c r="N15" s="61"/>
      <c r="O15" s="61"/>
      <c r="P15" s="61"/>
      <c r="Q15" s="61"/>
    </row>
    <row r="16" spans="1:18" ht="18">
      <c r="A16" s="125" t="s">
        <v>35</v>
      </c>
      <c r="B16" s="135">
        <f>'2017 Dashboard'!K25</f>
        <v>7279.47</v>
      </c>
      <c r="C16" s="135">
        <f>'2017 Dashboard'!K38</f>
        <v>241552.42</v>
      </c>
      <c r="D16" s="135">
        <f>'2017 Dashboard'!K51</f>
        <v>201979.63999999996</v>
      </c>
      <c r="E16" s="135">
        <f>'2018 Dashboard'!K63</f>
        <v>107325.82999999999</v>
      </c>
      <c r="F16" s="139">
        <f>SUM(B16:E16)</f>
        <v>558137.36</v>
      </c>
      <c r="G16" s="114"/>
      <c r="H16" s="204" t="s">
        <v>92</v>
      </c>
      <c r="I16" s="205"/>
      <c r="J16" s="205"/>
      <c r="K16" s="205"/>
      <c r="L16" s="205"/>
      <c r="M16" s="205"/>
      <c r="N16" s="205"/>
      <c r="O16" s="205"/>
      <c r="P16" s="205"/>
      <c r="Q16" s="205"/>
    </row>
    <row r="17" spans="1:17" ht="16.5">
      <c r="A17" s="125" t="s">
        <v>46</v>
      </c>
      <c r="B17" s="136">
        <f>'2017 Dashboard'!B56</f>
        <v>40.200000000000003</v>
      </c>
      <c r="C17" s="136">
        <f>'2017 Dashboard'!B57</f>
        <v>32832.730000000003</v>
      </c>
      <c r="D17" s="136">
        <f>'2017 Dashboard'!B58</f>
        <v>58533.86</v>
      </c>
      <c r="E17" s="136">
        <f>'2018 Dashboard'!B72</f>
        <v>66021.39</v>
      </c>
      <c r="F17" s="139">
        <f>SUM(B17:E17)</f>
        <v>157428.18</v>
      </c>
      <c r="G17" s="114"/>
      <c r="H17" s="197" t="s">
        <v>93</v>
      </c>
      <c r="I17" s="198"/>
      <c r="J17" s="198"/>
      <c r="K17" s="198"/>
      <c r="L17" s="198"/>
      <c r="M17" s="198"/>
      <c r="N17" s="198"/>
      <c r="O17" s="198"/>
      <c r="P17" s="198"/>
      <c r="Q17" s="198"/>
    </row>
    <row r="18" spans="1:17" ht="19.149999999999999" customHeight="1">
      <c r="A18" s="125" t="s">
        <v>36</v>
      </c>
      <c r="B18" s="175">
        <f>SUM(B15:B17)</f>
        <v>21723.02</v>
      </c>
      <c r="C18" s="175">
        <f t="shared" ref="C18:E18" si="0">SUM(C15:C17)</f>
        <v>1290260.01</v>
      </c>
      <c r="D18" s="175">
        <f t="shared" si="0"/>
        <v>349357.77999999997</v>
      </c>
      <c r="E18" s="175">
        <f t="shared" si="0"/>
        <v>237007.87</v>
      </c>
      <c r="F18" s="139">
        <f>SUM(B18:E18)</f>
        <v>1898348.6800000002</v>
      </c>
      <c r="G18" s="114"/>
      <c r="H18" s="198"/>
      <c r="I18" s="198"/>
      <c r="J18" s="198"/>
      <c r="K18" s="198"/>
      <c r="L18" s="198"/>
      <c r="M18" s="198"/>
      <c r="N18" s="198"/>
      <c r="O18" s="198"/>
      <c r="P18" s="198"/>
      <c r="Q18" s="198"/>
    </row>
    <row r="19" spans="1:17" ht="15.75">
      <c r="A19" s="125" t="s">
        <v>26</v>
      </c>
      <c r="B19" s="135">
        <f>'2018 Dashboard'!M24</f>
        <v>48000</v>
      </c>
      <c r="C19" s="135">
        <f>'2018 Dashboard'!M37</f>
        <v>1531000</v>
      </c>
      <c r="D19" s="135">
        <f>'2018 Dashboard'!M50</f>
        <v>601000</v>
      </c>
      <c r="E19" s="135">
        <f>'2018 Dashboard'!M63</f>
        <v>612000</v>
      </c>
      <c r="F19" s="176">
        <f>SUM(B19:E19)</f>
        <v>2792000</v>
      </c>
      <c r="G19" s="114"/>
      <c r="H19" s="198"/>
      <c r="I19" s="198"/>
      <c r="J19" s="198"/>
      <c r="K19" s="198"/>
      <c r="L19" s="198"/>
      <c r="M19" s="198"/>
      <c r="N19" s="198"/>
      <c r="O19" s="198"/>
      <c r="P19" s="198"/>
      <c r="Q19" s="198"/>
    </row>
    <row r="20" spans="1:17" ht="21.75">
      <c r="A20" s="125" t="s">
        <v>39</v>
      </c>
      <c r="B20" s="140">
        <f>(B18/B19)-1</f>
        <v>-0.5474370833333333</v>
      </c>
      <c r="C20" s="140">
        <f>(C18/C19)-1</f>
        <v>-0.15724362508164602</v>
      </c>
      <c r="D20" s="140">
        <f>(D18/D19)-1</f>
        <v>-0.41870585690515816</v>
      </c>
      <c r="E20" s="140">
        <f>(E18/E19)-1</f>
        <v>-0.61273223856209147</v>
      </c>
      <c r="F20" s="140">
        <f>(F18/F19)-1</f>
        <v>-0.32007568767908301</v>
      </c>
      <c r="G20" s="114"/>
      <c r="H20" s="198"/>
      <c r="I20" s="198"/>
      <c r="J20" s="198"/>
      <c r="K20" s="198"/>
      <c r="L20" s="198"/>
      <c r="M20" s="198"/>
      <c r="N20" s="198"/>
      <c r="O20" s="198"/>
      <c r="P20" s="198"/>
      <c r="Q20" s="198"/>
    </row>
    <row r="21" spans="1:17" ht="21.75">
      <c r="A21" s="125"/>
      <c r="B21" s="140"/>
      <c r="C21" s="140"/>
      <c r="D21" s="140"/>
      <c r="E21" s="140"/>
      <c r="F21" s="140"/>
      <c r="G21" s="114"/>
      <c r="H21" s="132"/>
      <c r="I21" s="114"/>
      <c r="J21" s="114"/>
      <c r="K21" s="114"/>
      <c r="L21" s="114"/>
      <c r="M21" s="114"/>
      <c r="N21" s="114"/>
      <c r="O21" s="114"/>
      <c r="P21" s="114"/>
      <c r="Q21" s="114"/>
    </row>
    <row r="22" spans="1:17" ht="20.25">
      <c r="A22" s="117" t="s">
        <v>33</v>
      </c>
      <c r="B22" s="118"/>
      <c r="C22" s="119"/>
      <c r="D22" s="202"/>
      <c r="E22" s="202"/>
      <c r="F22" s="203"/>
      <c r="G22" s="114"/>
      <c r="H22" s="204"/>
      <c r="I22" s="205"/>
      <c r="J22" s="205"/>
      <c r="K22" s="205"/>
      <c r="L22" s="205"/>
      <c r="M22" s="205"/>
      <c r="N22" s="205"/>
      <c r="O22" s="205"/>
      <c r="P22" s="205"/>
      <c r="Q22" s="205"/>
    </row>
    <row r="23" spans="1:17" ht="15.75">
      <c r="A23" s="114"/>
      <c r="B23" s="123" t="s">
        <v>94</v>
      </c>
      <c r="C23" s="123" t="s">
        <v>42</v>
      </c>
      <c r="D23" s="113"/>
      <c r="E23" s="114"/>
      <c r="F23" s="197"/>
      <c r="G23" s="206"/>
      <c r="H23" s="206"/>
      <c r="I23" s="206"/>
      <c r="J23" s="206"/>
      <c r="K23" s="206"/>
      <c r="L23" s="206"/>
      <c r="M23" s="205"/>
      <c r="N23" s="205"/>
      <c r="O23" s="205"/>
    </row>
    <row r="24" spans="1:17" ht="15.75">
      <c r="A24" s="125" t="s">
        <v>43</v>
      </c>
      <c r="B24" s="192">
        <f>'2017 Dashboard'!P19+'2018 Dashboard'!P19</f>
        <v>98658856</v>
      </c>
      <c r="C24" s="150">
        <f>B24*0.0528</f>
        <v>5209187.5968000004</v>
      </c>
      <c r="D24" s="114"/>
      <c r="E24" s="114"/>
      <c r="F24" s="206"/>
      <c r="G24" s="206"/>
      <c r="H24" s="206"/>
      <c r="I24" s="206"/>
      <c r="J24" s="206"/>
      <c r="K24" s="206"/>
      <c r="L24" s="206"/>
      <c r="M24" s="205"/>
      <c r="N24" s="205"/>
      <c r="O24" s="205"/>
    </row>
    <row r="25" spans="1:17" ht="15.75">
      <c r="A25" s="125" t="s">
        <v>44</v>
      </c>
      <c r="B25" s="147">
        <f>'2018 Dashboard'!H20+'2017 Dashboard'!H20</f>
        <v>91122366</v>
      </c>
      <c r="C25" s="150">
        <f>B25*0.0528</f>
        <v>4811260.9248000002</v>
      </c>
      <c r="D25" s="131"/>
      <c r="E25" s="61"/>
      <c r="F25" s="206"/>
      <c r="G25" s="206"/>
      <c r="H25" s="206"/>
      <c r="I25" s="206"/>
      <c r="J25" s="206"/>
      <c r="K25" s="206"/>
      <c r="L25" s="206"/>
      <c r="M25" s="205"/>
      <c r="N25" s="205"/>
      <c r="O25" s="205"/>
    </row>
    <row r="26" spans="1:17" ht="15.75">
      <c r="A26" s="125" t="s">
        <v>41</v>
      </c>
      <c r="B26" s="148">
        <f>B24-B25</f>
        <v>7536490</v>
      </c>
      <c r="C26" s="151">
        <f>C24-C25</f>
        <v>397926.67200000025</v>
      </c>
      <c r="D26" s="114"/>
      <c r="E26" s="114"/>
      <c r="F26" s="114"/>
      <c r="G26" s="61"/>
      <c r="I26" s="114"/>
      <c r="J26" s="133"/>
      <c r="K26" s="114"/>
      <c r="L26" s="114"/>
      <c r="M26" s="114"/>
      <c r="N26" s="114"/>
      <c r="O26" s="114"/>
      <c r="P26" s="114"/>
      <c r="Q26" s="114"/>
    </row>
    <row r="27" spans="1:17" ht="18.75">
      <c r="A27" s="125"/>
      <c r="B27" s="125"/>
      <c r="C27" s="125"/>
      <c r="D27" s="112"/>
      <c r="E27" s="112"/>
      <c r="F27" s="61"/>
      <c r="G27" s="61"/>
      <c r="H27" s="132"/>
      <c r="I27" s="114"/>
      <c r="J27" s="114"/>
      <c r="K27" s="114"/>
      <c r="L27" s="114"/>
      <c r="M27" s="114"/>
      <c r="N27" s="114"/>
      <c r="O27" s="114"/>
      <c r="P27" s="114"/>
      <c r="Q27" s="114"/>
    </row>
    <row r="28" spans="1:17" ht="18.75">
      <c r="A28" s="117" t="s">
        <v>57</v>
      </c>
      <c r="B28" s="118"/>
      <c r="C28" s="119"/>
      <c r="D28" s="199" t="s">
        <v>85</v>
      </c>
      <c r="E28" s="199"/>
      <c r="F28" s="200"/>
      <c r="G28" s="61"/>
      <c r="H28" s="132"/>
      <c r="I28" s="114"/>
      <c r="J28" s="114"/>
      <c r="K28" s="114"/>
      <c r="L28" s="114"/>
      <c r="M28" s="114"/>
      <c r="N28" s="114"/>
      <c r="O28" s="114"/>
      <c r="P28" s="114"/>
      <c r="Q28" s="114"/>
    </row>
    <row r="29" spans="1:17" ht="18.75">
      <c r="A29" s="114"/>
      <c r="B29" s="123" t="s">
        <v>59</v>
      </c>
      <c r="C29" s="123" t="s">
        <v>58</v>
      </c>
      <c r="D29" s="112"/>
      <c r="E29" s="112"/>
      <c r="F29" s="113"/>
      <c r="G29" s="61"/>
      <c r="H29" s="132"/>
      <c r="I29" s="114"/>
      <c r="J29" s="114"/>
      <c r="K29" s="114"/>
      <c r="L29" s="114"/>
      <c r="M29" s="114"/>
      <c r="N29" s="114"/>
      <c r="O29" s="114"/>
      <c r="P29" s="114"/>
      <c r="Q29" s="114"/>
    </row>
    <row r="30" spans="1:17" ht="15.75">
      <c r="A30" s="125" t="s">
        <v>60</v>
      </c>
      <c r="B30" s="137">
        <f>'Solar Credits Donated'!F27</f>
        <v>1730390</v>
      </c>
      <c r="C30" s="149">
        <f>'Solar Credits Donated'!F31</f>
        <v>27780.241376761904</v>
      </c>
      <c r="D30" s="114"/>
      <c r="E30" s="114"/>
      <c r="F30" s="114"/>
      <c r="G30" s="61"/>
      <c r="H30" s="132"/>
      <c r="I30" s="114"/>
      <c r="J30" s="114"/>
      <c r="K30" s="114"/>
      <c r="L30" s="114"/>
      <c r="M30" s="114"/>
      <c r="N30" s="114"/>
      <c r="O30" s="114"/>
      <c r="P30" s="114"/>
      <c r="Q30" s="114"/>
    </row>
    <row r="31" spans="1:17" ht="18.75">
      <c r="A31" s="125"/>
      <c r="B31" s="125"/>
      <c r="C31" s="125"/>
      <c r="D31" s="112"/>
      <c r="E31" s="112"/>
      <c r="F31" s="61"/>
      <c r="G31" s="61"/>
      <c r="H31" s="132"/>
      <c r="I31" s="114"/>
      <c r="J31" s="114"/>
      <c r="K31" s="114"/>
      <c r="L31" s="114"/>
      <c r="M31" s="114"/>
      <c r="N31" s="114"/>
      <c r="O31" s="114"/>
      <c r="P31" s="114"/>
      <c r="Q31" s="114"/>
    </row>
  </sheetData>
  <mergeCells count="15">
    <mergeCell ref="H12:Q14"/>
    <mergeCell ref="H17:Q20"/>
    <mergeCell ref="D28:F28"/>
    <mergeCell ref="A1:G1"/>
    <mergeCell ref="A4:F6"/>
    <mergeCell ref="D22:F22"/>
    <mergeCell ref="H22:Q22"/>
    <mergeCell ref="F23:O25"/>
    <mergeCell ref="H1:Q1"/>
    <mergeCell ref="H4:Q4"/>
    <mergeCell ref="H5:Q6"/>
    <mergeCell ref="H7:Q7"/>
    <mergeCell ref="H16:Q16"/>
    <mergeCell ref="H11:Q11"/>
    <mergeCell ref="H8:Q10"/>
  </mergeCells>
  <conditionalFormatting sqref="G9:G10">
    <cfRule type="cellIs" dxfId="8" priority="14" operator="lessThan">
      <formula>0</formula>
    </cfRule>
    <cfRule type="cellIs" dxfId="7" priority="15" operator="greaterThan">
      <formula>0</formula>
    </cfRule>
  </conditionalFormatting>
  <conditionalFormatting sqref="E9:F10">
    <cfRule type="cellIs" dxfId="6" priority="12" operator="lessThan">
      <formula>0</formula>
    </cfRule>
    <cfRule type="cellIs" dxfId="5" priority="13" operator="greaterThan">
      <formula>0</formula>
    </cfRule>
  </conditionalFormatting>
  <conditionalFormatting sqref="G11">
    <cfRule type="cellIs" dxfId="4" priority="6" operator="lessThan">
      <formula>0</formula>
    </cfRule>
    <cfRule type="cellIs" dxfId="3" priority="7" operator="greaterThan">
      <formula>0</formula>
    </cfRule>
  </conditionalFormatting>
  <conditionalFormatting sqref="E11:F11">
    <cfRule type="cellIs" dxfId="2" priority="4" operator="lessThan">
      <formula>0</formula>
    </cfRule>
    <cfRule type="cellIs" dxfId="1" priority="5" operator="greaterThan">
      <formula>0</formula>
    </cfRule>
  </conditionalFormatting>
  <conditionalFormatting sqref="B20:F21">
    <cfRule type="cellIs" dxfId="0" priority="1" operator="lessThan">
      <formula>0</formula>
    </cfRule>
  </conditionalFormatting>
  <hyperlinks>
    <hyperlink ref="D28:F28" location="'Solar Credits Donated'!A1" display="Click to see Solar Credits Donated Worksheet"/>
  </hyperlinks>
  <pageMargins left="0.7" right="0.7" top="0.75" bottom="0.75" header="0.3" footer="0.3"/>
  <pageSetup paperSize="3"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showGridLines="0" zoomScale="85" zoomScaleNormal="85" workbookViewId="0">
      <selection activeCell="S35" sqref="S35"/>
    </sheetView>
  </sheetViews>
  <sheetFormatPr defaultRowHeight="15"/>
  <cols>
    <col min="1" max="1" width="14.85546875" bestFit="1" customWidth="1"/>
    <col min="2" max="2" width="11" bestFit="1" customWidth="1"/>
    <col min="3" max="3" width="7.5703125" bestFit="1" customWidth="1"/>
    <col min="4" max="4" width="12.28515625" bestFit="1" customWidth="1"/>
    <col min="5" max="5" width="15.7109375" customWidth="1"/>
    <col min="6" max="6" width="12.85546875" bestFit="1" customWidth="1"/>
    <col min="7" max="7" width="17.7109375" bestFit="1" customWidth="1"/>
    <col min="8" max="8" width="14.28515625" bestFit="1" customWidth="1"/>
    <col min="9" max="9" width="13.85546875" bestFit="1" customWidth="1"/>
    <col min="10" max="10" width="11.85546875" bestFit="1" customWidth="1"/>
    <col min="11" max="11" width="12.85546875" bestFit="1" customWidth="1"/>
    <col min="12" max="12" width="12.7109375" bestFit="1" customWidth="1"/>
    <col min="13" max="13" width="14" bestFit="1" customWidth="1"/>
    <col min="14" max="14" width="13.42578125" bestFit="1" customWidth="1"/>
    <col min="15" max="15" width="9.140625" bestFit="1" customWidth="1"/>
    <col min="16" max="16" width="11" bestFit="1" customWidth="1"/>
  </cols>
  <sheetData>
    <row r="1" spans="1:16" ht="32.25">
      <c r="A1" s="221" t="s">
        <v>0</v>
      </c>
      <c r="B1" s="222"/>
      <c r="C1" s="222"/>
      <c r="D1" s="222"/>
      <c r="E1" s="222"/>
      <c r="F1" s="222"/>
      <c r="G1" s="222"/>
      <c r="H1" s="222"/>
      <c r="I1" s="222"/>
      <c r="J1" s="222"/>
      <c r="K1" s="222"/>
      <c r="L1" s="222"/>
      <c r="M1" s="222"/>
      <c r="N1" s="222"/>
      <c r="O1" s="222"/>
      <c r="P1" s="223"/>
    </row>
    <row r="2" spans="1:16" ht="24.75" thickBot="1">
      <c r="A2" s="1"/>
      <c r="B2" s="2"/>
      <c r="C2" s="2"/>
      <c r="D2" s="2"/>
      <c r="E2" s="2"/>
      <c r="F2" s="3"/>
      <c r="G2" s="3"/>
      <c r="H2" s="3"/>
      <c r="I2" s="3"/>
      <c r="J2" s="3"/>
      <c r="K2" s="4"/>
      <c r="L2" s="4"/>
    </row>
    <row r="3" spans="1:16" ht="20.25" thickBot="1">
      <c r="A3" s="224" t="s">
        <v>1</v>
      </c>
      <c r="B3" s="225"/>
      <c r="C3" s="225"/>
      <c r="D3" s="225"/>
      <c r="E3" s="225"/>
      <c r="F3" s="225"/>
      <c r="G3" s="225"/>
      <c r="H3" s="225"/>
      <c r="I3" s="226" t="s">
        <v>2</v>
      </c>
      <c r="J3" s="227"/>
      <c r="K3" s="227"/>
      <c r="L3" s="228"/>
      <c r="M3" s="226" t="s">
        <v>3</v>
      </c>
      <c r="N3" s="227"/>
      <c r="O3" s="227"/>
      <c r="P3" s="229"/>
    </row>
    <row r="4" spans="1:16">
      <c r="A4" s="58"/>
      <c r="B4" s="230" t="s">
        <v>4</v>
      </c>
      <c r="C4" s="231"/>
      <c r="D4" s="230" t="s">
        <v>5</v>
      </c>
      <c r="E4" s="232"/>
      <c r="F4" s="231"/>
      <c r="G4" s="232" t="s">
        <v>6</v>
      </c>
      <c r="H4" s="231"/>
      <c r="I4" s="6"/>
      <c r="J4" s="59"/>
      <c r="K4" s="59"/>
      <c r="L4" s="60"/>
      <c r="M4" s="6"/>
      <c r="N4" s="59"/>
      <c r="O4" s="59"/>
      <c r="P4" s="60"/>
    </row>
    <row r="5" spans="1:16">
      <c r="A5" s="8"/>
      <c r="B5" s="9">
        <v>1</v>
      </c>
      <c r="C5" s="10">
        <v>3</v>
      </c>
      <c r="D5" s="9">
        <v>23</v>
      </c>
      <c r="E5" s="11">
        <v>6</v>
      </c>
      <c r="F5" s="12" t="s">
        <v>7</v>
      </c>
      <c r="G5" s="13" t="s">
        <v>4</v>
      </c>
      <c r="H5" s="14" t="s">
        <v>5</v>
      </c>
      <c r="I5" s="8"/>
      <c r="J5" s="13" t="s">
        <v>4</v>
      </c>
      <c r="K5" s="15" t="s">
        <v>5</v>
      </c>
      <c r="L5" s="16" t="s">
        <v>8</v>
      </c>
      <c r="M5" s="8"/>
      <c r="N5" s="13" t="s">
        <v>9</v>
      </c>
      <c r="O5" s="13" t="s">
        <v>10</v>
      </c>
      <c r="P5" s="16" t="s">
        <v>11</v>
      </c>
    </row>
    <row r="6" spans="1:16">
      <c r="A6" s="17">
        <v>42736</v>
      </c>
      <c r="B6" s="18">
        <v>0</v>
      </c>
      <c r="C6" s="18">
        <v>0</v>
      </c>
      <c r="D6" s="19">
        <v>0</v>
      </c>
      <c r="E6" s="19">
        <v>0</v>
      </c>
      <c r="F6" s="19">
        <v>6</v>
      </c>
      <c r="G6" s="20">
        <f>B6+C6</f>
        <v>0</v>
      </c>
      <c r="H6" s="21">
        <f>D6+E6+F6</f>
        <v>6</v>
      </c>
      <c r="I6" s="17">
        <v>42736</v>
      </c>
      <c r="J6" s="22"/>
      <c r="K6" s="23">
        <f>H6*0.06225*200</f>
        <v>74.7</v>
      </c>
      <c r="L6" s="24">
        <f>SUM(J6:K6)</f>
        <v>74.7</v>
      </c>
      <c r="M6" s="17">
        <v>42736</v>
      </c>
      <c r="N6" s="25">
        <v>1111337</v>
      </c>
      <c r="O6" s="25">
        <v>249210</v>
      </c>
      <c r="P6" s="26">
        <v>1360547</v>
      </c>
    </row>
    <row r="7" spans="1:16">
      <c r="A7" s="17">
        <v>42767</v>
      </c>
      <c r="B7" s="18">
        <v>6368</v>
      </c>
      <c r="C7" s="18">
        <v>70</v>
      </c>
      <c r="D7" s="19">
        <v>647</v>
      </c>
      <c r="E7" s="19">
        <v>661</v>
      </c>
      <c r="F7" s="19">
        <v>9354</v>
      </c>
      <c r="G7" s="20">
        <v>6438</v>
      </c>
      <c r="H7" s="27">
        <v>10662</v>
      </c>
      <c r="I7" s="17">
        <v>42767</v>
      </c>
      <c r="J7" s="22">
        <f>G7*200*0.06525</f>
        <v>84015.900000000009</v>
      </c>
      <c r="K7" s="23">
        <f t="shared" ref="K7:K17" si="0">H7*0.06225*200</f>
        <v>132741.90000000002</v>
      </c>
      <c r="L7" s="24">
        <f t="shared" ref="L7:L17" si="1">SUM(J7:K7)</f>
        <v>216757.80000000005</v>
      </c>
      <c r="M7" s="17">
        <v>42767</v>
      </c>
      <c r="N7" s="25">
        <v>1594272</v>
      </c>
      <c r="O7" s="25">
        <v>364293</v>
      </c>
      <c r="P7" s="26">
        <v>1958565</v>
      </c>
    </row>
    <row r="8" spans="1:16">
      <c r="A8" s="17">
        <v>42795</v>
      </c>
      <c r="B8" s="18">
        <v>6663</v>
      </c>
      <c r="C8" s="18">
        <v>82</v>
      </c>
      <c r="D8" s="19">
        <v>829</v>
      </c>
      <c r="E8" s="19">
        <v>987</v>
      </c>
      <c r="F8" s="19">
        <v>10889</v>
      </c>
      <c r="G8" s="20">
        <v>6745</v>
      </c>
      <c r="H8" s="27">
        <v>12705</v>
      </c>
      <c r="I8" s="17">
        <v>42795</v>
      </c>
      <c r="J8" s="22">
        <f t="shared" ref="J8:J17" si="2">G8*200*0.06525</f>
        <v>88022.25</v>
      </c>
      <c r="K8" s="23">
        <f t="shared" si="0"/>
        <v>158177.25</v>
      </c>
      <c r="L8" s="24">
        <f t="shared" si="1"/>
        <v>246199.5</v>
      </c>
      <c r="M8" s="17">
        <v>42795</v>
      </c>
      <c r="N8" s="25">
        <v>3033670</v>
      </c>
      <c r="O8" s="25">
        <v>462882</v>
      </c>
      <c r="P8" s="26">
        <v>3496552</v>
      </c>
    </row>
    <row r="9" spans="1:16">
      <c r="A9" s="17">
        <v>42826</v>
      </c>
      <c r="B9" s="18">
        <v>6739</v>
      </c>
      <c r="C9" s="18">
        <v>77</v>
      </c>
      <c r="D9" s="19">
        <v>857</v>
      </c>
      <c r="E9" s="19">
        <v>987</v>
      </c>
      <c r="F9" s="19">
        <v>11424</v>
      </c>
      <c r="G9" s="20">
        <v>6816</v>
      </c>
      <c r="H9" s="27">
        <v>13268</v>
      </c>
      <c r="I9" s="17">
        <v>42826</v>
      </c>
      <c r="J9" s="22">
        <f t="shared" si="2"/>
        <v>88948.800000000003</v>
      </c>
      <c r="K9" s="23">
        <f t="shared" si="0"/>
        <v>165186.6</v>
      </c>
      <c r="L9" s="24">
        <f t="shared" si="1"/>
        <v>254135.40000000002</v>
      </c>
      <c r="M9" s="17">
        <v>42826</v>
      </c>
      <c r="N9" s="25">
        <v>3749570</v>
      </c>
      <c r="O9" s="25">
        <v>801746</v>
      </c>
      <c r="P9" s="26">
        <v>4551316</v>
      </c>
    </row>
    <row r="10" spans="1:16">
      <c r="A10" s="17">
        <v>42856</v>
      </c>
      <c r="B10" s="18">
        <v>6755.9</v>
      </c>
      <c r="C10" s="18">
        <v>84</v>
      </c>
      <c r="D10" s="19">
        <v>947.9</v>
      </c>
      <c r="E10" s="19">
        <v>989</v>
      </c>
      <c r="F10" s="19">
        <v>9870</v>
      </c>
      <c r="G10" s="20">
        <v>6839.9</v>
      </c>
      <c r="H10" s="27">
        <v>11806.9</v>
      </c>
      <c r="I10" s="17">
        <v>42856</v>
      </c>
      <c r="J10" s="22">
        <f t="shared" si="2"/>
        <v>89260.695000000007</v>
      </c>
      <c r="K10" s="23">
        <f t="shared" si="0"/>
        <v>146995.905</v>
      </c>
      <c r="L10" s="24">
        <f t="shared" si="1"/>
        <v>236256.6</v>
      </c>
      <c r="M10" s="17">
        <v>42856</v>
      </c>
      <c r="N10" s="25">
        <v>4796903</v>
      </c>
      <c r="O10" s="25">
        <v>1032450</v>
      </c>
      <c r="P10" s="26">
        <v>5829353</v>
      </c>
    </row>
    <row r="11" spans="1:16">
      <c r="A11" s="17">
        <v>42887</v>
      </c>
      <c r="B11" s="18">
        <v>6778.93</v>
      </c>
      <c r="C11" s="18">
        <v>76.53</v>
      </c>
      <c r="D11" s="19">
        <v>1000.93</v>
      </c>
      <c r="E11" s="19">
        <v>989</v>
      </c>
      <c r="F11" s="19">
        <v>11734</v>
      </c>
      <c r="G11" s="20">
        <v>6855.46</v>
      </c>
      <c r="H11" s="27">
        <v>13723.93</v>
      </c>
      <c r="I11" s="17">
        <v>42887</v>
      </c>
      <c r="J11" s="22">
        <f t="shared" si="2"/>
        <v>89463.752999999997</v>
      </c>
      <c r="K11" s="23">
        <f t="shared" si="0"/>
        <v>170862.92850000001</v>
      </c>
      <c r="L11" s="24">
        <f t="shared" si="1"/>
        <v>260326.68150000001</v>
      </c>
      <c r="M11" s="17">
        <v>42887</v>
      </c>
      <c r="N11" s="25">
        <v>5595631</v>
      </c>
      <c r="O11" s="25">
        <v>911279</v>
      </c>
      <c r="P11" s="26">
        <v>6506910</v>
      </c>
    </row>
    <row r="12" spans="1:16">
      <c r="A12" s="17">
        <v>42917</v>
      </c>
      <c r="B12" s="18">
        <v>6787.0150000000003</v>
      </c>
      <c r="C12" s="18">
        <v>77</v>
      </c>
      <c r="D12" s="19">
        <v>793.06500000000005</v>
      </c>
      <c r="E12" s="19">
        <v>989</v>
      </c>
      <c r="F12" s="19">
        <v>12073</v>
      </c>
      <c r="G12" s="20">
        <v>6864.0150000000003</v>
      </c>
      <c r="H12" s="27">
        <v>13855.065000000001</v>
      </c>
      <c r="I12" s="17">
        <v>42917</v>
      </c>
      <c r="J12" s="22">
        <f t="shared" si="2"/>
        <v>89575.395750000011</v>
      </c>
      <c r="K12" s="23">
        <f t="shared" si="0"/>
        <v>172495.55924999999</v>
      </c>
      <c r="L12" s="24">
        <f t="shared" si="1"/>
        <v>262070.95500000002</v>
      </c>
      <c r="M12" s="17">
        <v>42917</v>
      </c>
      <c r="N12" s="25">
        <v>4405509</v>
      </c>
      <c r="O12" s="25">
        <v>1181571</v>
      </c>
      <c r="P12" s="26">
        <v>5587080</v>
      </c>
    </row>
    <row r="13" spans="1:16">
      <c r="A13" s="17">
        <v>42948</v>
      </c>
      <c r="B13" s="18">
        <v>6795.3649999999998</v>
      </c>
      <c r="C13" s="18">
        <v>71</v>
      </c>
      <c r="D13" s="19">
        <v>977</v>
      </c>
      <c r="E13" s="19">
        <v>989</v>
      </c>
      <c r="F13" s="19">
        <v>11134</v>
      </c>
      <c r="G13" s="20">
        <v>6866.3649999999998</v>
      </c>
      <c r="H13" s="27">
        <v>13100</v>
      </c>
      <c r="I13" s="17">
        <v>42948</v>
      </c>
      <c r="J13" s="22">
        <f t="shared" si="2"/>
        <v>89606.063250000007</v>
      </c>
      <c r="K13" s="23">
        <f t="shared" si="0"/>
        <v>163095</v>
      </c>
      <c r="L13" s="24">
        <f t="shared" si="1"/>
        <v>252701.06325000001</v>
      </c>
      <c r="M13" s="17">
        <v>42948</v>
      </c>
      <c r="N13" s="25">
        <v>4586316</v>
      </c>
      <c r="O13" s="25">
        <v>656321</v>
      </c>
      <c r="P13" s="26">
        <v>5242637</v>
      </c>
    </row>
    <row r="14" spans="1:16">
      <c r="A14" s="17">
        <v>42979</v>
      </c>
      <c r="B14" s="18">
        <v>6848.8950000000004</v>
      </c>
      <c r="C14" s="18">
        <v>68.13</v>
      </c>
      <c r="D14" s="19">
        <v>770.63</v>
      </c>
      <c r="E14" s="19">
        <v>989</v>
      </c>
      <c r="F14" s="19">
        <v>10638</v>
      </c>
      <c r="G14" s="20">
        <v>6917.0250000000005</v>
      </c>
      <c r="H14" s="27">
        <v>12397.630000000001</v>
      </c>
      <c r="I14" s="17">
        <v>42979</v>
      </c>
      <c r="J14" s="22">
        <f t="shared" si="2"/>
        <v>90267.176250000004</v>
      </c>
      <c r="K14" s="23">
        <f t="shared" si="0"/>
        <v>154350.49350000001</v>
      </c>
      <c r="L14" s="24">
        <f t="shared" si="1"/>
        <v>244617.66975</v>
      </c>
      <c r="M14" s="17">
        <v>42979</v>
      </c>
      <c r="N14" s="25">
        <v>3495525</v>
      </c>
      <c r="O14" s="25">
        <v>768801</v>
      </c>
      <c r="P14" s="26">
        <v>4264326</v>
      </c>
    </row>
    <row r="15" spans="1:16">
      <c r="A15" s="17">
        <v>43009</v>
      </c>
      <c r="B15" s="18">
        <v>6821.91</v>
      </c>
      <c r="C15" s="18">
        <v>61</v>
      </c>
      <c r="D15" s="19">
        <v>966.06500000000005</v>
      </c>
      <c r="E15" s="19">
        <v>989</v>
      </c>
      <c r="F15" s="19">
        <v>11797</v>
      </c>
      <c r="G15" s="20">
        <v>6882.91</v>
      </c>
      <c r="H15" s="27">
        <v>13752.065000000001</v>
      </c>
      <c r="I15" s="17">
        <v>43009</v>
      </c>
      <c r="J15" s="22">
        <f t="shared" si="2"/>
        <v>89821.9755</v>
      </c>
      <c r="K15" s="23">
        <f t="shared" si="0"/>
        <v>171213.20925000001</v>
      </c>
      <c r="L15" s="24">
        <f t="shared" si="1"/>
        <v>261035.18475000001</v>
      </c>
      <c r="M15" s="17">
        <v>43009</v>
      </c>
      <c r="N15" s="25">
        <v>3671224</v>
      </c>
      <c r="O15" s="25">
        <v>647574</v>
      </c>
      <c r="P15" s="26">
        <v>4318798</v>
      </c>
    </row>
    <row r="16" spans="1:16">
      <c r="A16" s="17">
        <v>43040</v>
      </c>
      <c r="B16" s="18">
        <v>6827.2</v>
      </c>
      <c r="C16" s="18">
        <v>61</v>
      </c>
      <c r="D16" s="19">
        <v>742</v>
      </c>
      <c r="E16" s="19">
        <v>995</v>
      </c>
      <c r="F16" s="19">
        <v>11372</v>
      </c>
      <c r="G16" s="20">
        <v>6888.2</v>
      </c>
      <c r="H16" s="27">
        <v>13109</v>
      </c>
      <c r="I16" s="17">
        <v>43040</v>
      </c>
      <c r="J16" s="22">
        <f t="shared" si="2"/>
        <v>89891.010000000009</v>
      </c>
      <c r="K16" s="23">
        <f t="shared" si="0"/>
        <v>163207.05000000002</v>
      </c>
      <c r="L16" s="24">
        <f t="shared" si="1"/>
        <v>253098.06000000003</v>
      </c>
      <c r="M16" s="17">
        <v>43040</v>
      </c>
      <c r="N16" s="25">
        <v>2161378</v>
      </c>
      <c r="O16" s="25">
        <v>420725</v>
      </c>
      <c r="P16" s="26">
        <v>2582103</v>
      </c>
    </row>
    <row r="17" spans="1:16">
      <c r="A17" s="17">
        <v>43070</v>
      </c>
      <c r="B17" s="18">
        <v>6768.7150000000001</v>
      </c>
      <c r="C17" s="18">
        <v>62</v>
      </c>
      <c r="D17" s="19">
        <v>878</v>
      </c>
      <c r="E17" s="19">
        <v>989</v>
      </c>
      <c r="F17" s="19">
        <v>11892</v>
      </c>
      <c r="G17" s="20">
        <v>6830.7150000000001</v>
      </c>
      <c r="H17" s="27">
        <v>13759</v>
      </c>
      <c r="I17" s="17">
        <v>43070</v>
      </c>
      <c r="J17" s="22">
        <f t="shared" si="2"/>
        <v>89140.830750000008</v>
      </c>
      <c r="K17" s="23">
        <f t="shared" si="0"/>
        <v>171299.55</v>
      </c>
      <c r="L17" s="24">
        <f t="shared" si="1"/>
        <v>260440.38075000001</v>
      </c>
      <c r="M17" s="17">
        <v>43070</v>
      </c>
      <c r="N17" s="25">
        <v>2091143</v>
      </c>
      <c r="O17" s="25">
        <v>357667</v>
      </c>
      <c r="P17" s="26">
        <v>2448810</v>
      </c>
    </row>
    <row r="18" spans="1:16">
      <c r="A18" s="28" t="s">
        <v>12</v>
      </c>
      <c r="B18" s="29">
        <f>SUM(B6:B17)</f>
        <v>74153.929999999993</v>
      </c>
      <c r="C18" s="29">
        <f t="shared" ref="C18:H18" si="3">SUM(C6:C17)</f>
        <v>789.66</v>
      </c>
      <c r="D18" s="29">
        <f t="shared" si="3"/>
        <v>9408.59</v>
      </c>
      <c r="E18" s="29">
        <f t="shared" si="3"/>
        <v>10553</v>
      </c>
      <c r="F18" s="29">
        <f t="shared" si="3"/>
        <v>122183</v>
      </c>
      <c r="G18" s="29">
        <f t="shared" si="3"/>
        <v>74943.59</v>
      </c>
      <c r="H18" s="29">
        <f t="shared" si="3"/>
        <v>142144.59000000003</v>
      </c>
      <c r="I18" s="30"/>
      <c r="J18" s="31"/>
      <c r="K18" s="31"/>
      <c r="L18" s="32"/>
      <c r="M18" s="33"/>
      <c r="N18" s="34"/>
      <c r="O18" s="35"/>
      <c r="P18" s="7"/>
    </row>
    <row r="19" spans="1:16">
      <c r="A19" s="36" t="s">
        <v>11</v>
      </c>
      <c r="B19" s="37">
        <f>B18*200</f>
        <v>14830785.999999998</v>
      </c>
      <c r="C19" s="37">
        <f t="shared" ref="C19:H19" si="4">C18*200</f>
        <v>157932</v>
      </c>
      <c r="D19" s="37">
        <f t="shared" si="4"/>
        <v>1881718</v>
      </c>
      <c r="E19" s="37">
        <f t="shared" si="4"/>
        <v>2110600</v>
      </c>
      <c r="F19" s="37">
        <f t="shared" si="4"/>
        <v>24436600</v>
      </c>
      <c r="G19" s="37">
        <f t="shared" si="4"/>
        <v>14988718</v>
      </c>
      <c r="H19" s="38">
        <f t="shared" si="4"/>
        <v>28428918.000000004</v>
      </c>
      <c r="I19" s="39" t="s">
        <v>8</v>
      </c>
      <c r="J19" s="40">
        <f>SUM(J7:J17)</f>
        <v>978013.84950000001</v>
      </c>
      <c r="K19" s="41">
        <f>SUM(K6:K17)</f>
        <v>1769700.1455000003</v>
      </c>
      <c r="L19" s="42">
        <f>SUM(L6:L17)</f>
        <v>2747713.9950000001</v>
      </c>
      <c r="M19" s="13" t="s">
        <v>11</v>
      </c>
      <c r="N19" s="43">
        <f>SUM(N6:N18)</f>
        <v>40292478</v>
      </c>
      <c r="O19" s="43">
        <f>SUM(O6:O18)</f>
        <v>7854519</v>
      </c>
      <c r="P19" s="44">
        <f>SUM(P6:P17)</f>
        <v>48146997</v>
      </c>
    </row>
    <row r="20" spans="1:16" ht="15.75" thickBot="1">
      <c r="A20" s="45"/>
      <c r="B20" s="46"/>
      <c r="C20" s="47"/>
      <c r="D20" s="48"/>
      <c r="E20" s="49"/>
      <c r="F20" s="50"/>
      <c r="G20" s="51" t="s">
        <v>13</v>
      </c>
      <c r="H20" s="52">
        <f>G19+H19</f>
        <v>43417636</v>
      </c>
      <c r="I20" s="53"/>
      <c r="J20" s="54"/>
      <c r="K20" s="55"/>
      <c r="L20" s="55"/>
      <c r="M20" s="33"/>
      <c r="N20" s="56"/>
      <c r="O20" s="55"/>
      <c r="P20" s="57"/>
    </row>
    <row r="21" spans="1:16" ht="20.25" thickBot="1">
      <c r="A21" s="211" t="s">
        <v>96</v>
      </c>
      <c r="B21" s="212"/>
      <c r="C21" s="213"/>
      <c r="D21" s="213"/>
      <c r="E21" s="213"/>
      <c r="F21" s="213"/>
      <c r="G21" s="213"/>
      <c r="H21" s="213"/>
      <c r="I21" s="213"/>
      <c r="J21" s="213"/>
      <c r="K21" s="213"/>
      <c r="L21" s="213"/>
      <c r="M21" s="213"/>
      <c r="N21" s="213"/>
      <c r="O21" s="213"/>
      <c r="P21" s="214"/>
    </row>
    <row r="23" spans="1:16">
      <c r="A23" s="61"/>
      <c r="B23" s="237" t="s">
        <v>14</v>
      </c>
      <c r="C23" s="238"/>
      <c r="D23" s="238"/>
      <c r="E23" s="238"/>
      <c r="F23" s="238"/>
      <c r="G23" s="239"/>
      <c r="H23" s="215" t="s">
        <v>15</v>
      </c>
      <c r="I23" s="216"/>
      <c r="J23" s="216"/>
      <c r="K23" s="217"/>
      <c r="L23" s="61"/>
    </row>
    <row r="24" spans="1:16">
      <c r="A24" s="61"/>
      <c r="B24" s="218" t="s">
        <v>16</v>
      </c>
      <c r="C24" s="219"/>
      <c r="D24" s="219" t="s">
        <v>17</v>
      </c>
      <c r="E24" s="219"/>
      <c r="F24" s="79" t="s">
        <v>18</v>
      </c>
      <c r="G24" s="63" t="s">
        <v>19</v>
      </c>
      <c r="H24" s="64" t="s">
        <v>20</v>
      </c>
      <c r="I24" s="64" t="s">
        <v>21</v>
      </c>
      <c r="J24" s="64" t="s">
        <v>22</v>
      </c>
      <c r="K24" s="65" t="s">
        <v>23</v>
      </c>
      <c r="L24" s="104" t="s">
        <v>24</v>
      </c>
      <c r="M24" s="106" t="s">
        <v>26</v>
      </c>
      <c r="N24" s="107" t="s">
        <v>27</v>
      </c>
    </row>
    <row r="25" spans="1:16">
      <c r="A25" s="66">
        <v>2015</v>
      </c>
      <c r="B25" s="220">
        <v>14403.35</v>
      </c>
      <c r="C25" s="220"/>
      <c r="D25" s="220"/>
      <c r="E25" s="220"/>
      <c r="F25" s="67"/>
      <c r="G25" s="80">
        <f>B25+E25+F25</f>
        <v>14403.35</v>
      </c>
      <c r="H25" s="68"/>
      <c r="I25" s="68">
        <v>7279.47</v>
      </c>
      <c r="J25" s="68"/>
      <c r="K25" s="88">
        <f t="shared" ref="K25:K37" si="5">H25+I25+J25</f>
        <v>7279.47</v>
      </c>
      <c r="L25" s="103">
        <f t="shared" ref="L25:L37" si="6">K25+G25</f>
        <v>21682.82</v>
      </c>
      <c r="M25" s="105">
        <v>48000</v>
      </c>
      <c r="N25" s="86">
        <f>M25-L25</f>
        <v>26317.18</v>
      </c>
    </row>
    <row r="26" spans="1:16">
      <c r="A26" s="17">
        <v>42370</v>
      </c>
      <c r="B26" s="210">
        <v>17946.3</v>
      </c>
      <c r="C26" s="210"/>
      <c r="D26" s="210">
        <v>321.48</v>
      </c>
      <c r="E26" s="210"/>
      <c r="F26" s="69">
        <v>2885.52</v>
      </c>
      <c r="G26" s="81">
        <f t="shared" ref="G26:G37" si="7">B26+D26+F26</f>
        <v>21153.3</v>
      </c>
      <c r="H26" s="70"/>
      <c r="I26" s="70"/>
      <c r="J26" s="70"/>
      <c r="K26" s="89">
        <f t="shared" si="5"/>
        <v>0</v>
      </c>
      <c r="L26" s="92">
        <f t="shared" si="6"/>
        <v>21153.3</v>
      </c>
      <c r="M26" s="100">
        <v>127500</v>
      </c>
      <c r="N26" s="100">
        <f t="shared" ref="N26:N51" si="8">M26-L26</f>
        <v>106346.7</v>
      </c>
    </row>
    <row r="27" spans="1:16">
      <c r="A27" s="17">
        <v>42401</v>
      </c>
      <c r="B27" s="209">
        <v>16669.25</v>
      </c>
      <c r="C27" s="209"/>
      <c r="D27" s="209">
        <v>1038.32</v>
      </c>
      <c r="E27" s="209"/>
      <c r="F27" s="69">
        <v>148869.57999999999</v>
      </c>
      <c r="G27" s="81">
        <f t="shared" si="7"/>
        <v>166577.15</v>
      </c>
      <c r="H27" s="70"/>
      <c r="I27" s="70"/>
      <c r="J27" s="70"/>
      <c r="K27" s="89">
        <f t="shared" si="5"/>
        <v>0</v>
      </c>
      <c r="L27" s="92">
        <f t="shared" si="6"/>
        <v>166577.15</v>
      </c>
      <c r="M27" s="100">
        <v>127500</v>
      </c>
      <c r="N27" s="100">
        <f t="shared" si="8"/>
        <v>-39077.149999999994</v>
      </c>
    </row>
    <row r="28" spans="1:16">
      <c r="A28" s="17">
        <v>42430</v>
      </c>
      <c r="B28" s="209">
        <v>13554.93</v>
      </c>
      <c r="C28" s="209"/>
      <c r="D28" s="209">
        <v>2072.52</v>
      </c>
      <c r="E28" s="209"/>
      <c r="F28" s="69">
        <v>122968.33</v>
      </c>
      <c r="G28" s="81">
        <f t="shared" si="7"/>
        <v>138595.78</v>
      </c>
      <c r="H28" s="70">
        <v>4047.84</v>
      </c>
      <c r="I28" s="70"/>
      <c r="J28" s="70"/>
      <c r="K28" s="89">
        <f t="shared" si="5"/>
        <v>4047.84</v>
      </c>
      <c r="L28" s="92">
        <f t="shared" si="6"/>
        <v>142643.62</v>
      </c>
      <c r="M28" s="100">
        <v>127500</v>
      </c>
      <c r="N28" s="100">
        <f t="shared" si="8"/>
        <v>-15143.619999999995</v>
      </c>
    </row>
    <row r="29" spans="1:16">
      <c r="A29" s="17">
        <v>42461</v>
      </c>
      <c r="B29" s="209">
        <v>19674.099999999999</v>
      </c>
      <c r="C29" s="209"/>
      <c r="D29" s="209">
        <v>4755.18</v>
      </c>
      <c r="E29" s="209"/>
      <c r="F29" s="69">
        <v>96301.89</v>
      </c>
      <c r="G29" s="81">
        <f t="shared" si="7"/>
        <v>120731.17</v>
      </c>
      <c r="H29" s="70">
        <v>395.66</v>
      </c>
      <c r="I29" s="70"/>
      <c r="J29" s="70"/>
      <c r="K29" s="89">
        <f t="shared" si="5"/>
        <v>395.66</v>
      </c>
      <c r="L29" s="92">
        <f t="shared" si="6"/>
        <v>121126.83</v>
      </c>
      <c r="M29" s="100">
        <v>127500</v>
      </c>
      <c r="N29" s="100">
        <f t="shared" si="8"/>
        <v>6373.1699999999983</v>
      </c>
    </row>
    <row r="30" spans="1:16">
      <c r="A30" s="17">
        <v>42491</v>
      </c>
      <c r="B30" s="209">
        <v>19685.47</v>
      </c>
      <c r="C30" s="209"/>
      <c r="D30" s="209">
        <v>13915.59</v>
      </c>
      <c r="E30" s="209"/>
      <c r="F30" s="69">
        <v>119732.24</v>
      </c>
      <c r="G30" s="81">
        <f t="shared" si="7"/>
        <v>153333.29999999999</v>
      </c>
      <c r="H30" s="70">
        <v>9918.44</v>
      </c>
      <c r="I30" s="70"/>
      <c r="J30" s="70"/>
      <c r="K30" s="89">
        <f t="shared" si="5"/>
        <v>9918.44</v>
      </c>
      <c r="L30" s="92">
        <f t="shared" si="6"/>
        <v>163251.74</v>
      </c>
      <c r="M30" s="100">
        <v>127500</v>
      </c>
      <c r="N30" s="100">
        <f t="shared" si="8"/>
        <v>-35751.739999999991</v>
      </c>
    </row>
    <row r="31" spans="1:16">
      <c r="A31" s="17">
        <v>42522</v>
      </c>
      <c r="B31" s="209">
        <v>18128</v>
      </c>
      <c r="C31" s="209"/>
      <c r="D31" s="209">
        <v>3715.21</v>
      </c>
      <c r="E31" s="209"/>
      <c r="F31" s="69">
        <v>81912.570000000007</v>
      </c>
      <c r="G31" s="81">
        <f t="shared" si="7"/>
        <v>103755.78</v>
      </c>
      <c r="H31" s="70">
        <v>9194.2099999999991</v>
      </c>
      <c r="I31" s="70"/>
      <c r="J31" s="70">
        <v>19319.75</v>
      </c>
      <c r="K31" s="89">
        <f t="shared" si="5"/>
        <v>28513.96</v>
      </c>
      <c r="L31" s="92">
        <f t="shared" si="6"/>
        <v>132269.74</v>
      </c>
      <c r="M31" s="100">
        <v>127500</v>
      </c>
      <c r="N31" s="100">
        <f t="shared" si="8"/>
        <v>-4769.7399999999907</v>
      </c>
    </row>
    <row r="32" spans="1:16">
      <c r="A32" s="17">
        <v>42552</v>
      </c>
      <c r="B32" s="209">
        <v>12724.71</v>
      </c>
      <c r="C32" s="209"/>
      <c r="D32" s="209"/>
      <c r="E32" s="209"/>
      <c r="F32" s="69">
        <v>86072.75</v>
      </c>
      <c r="G32" s="81">
        <f t="shared" si="7"/>
        <v>98797.459999999992</v>
      </c>
      <c r="H32" s="70">
        <v>25454.799999999999</v>
      </c>
      <c r="I32" s="70"/>
      <c r="J32" s="70"/>
      <c r="K32" s="89">
        <f t="shared" si="5"/>
        <v>25454.799999999999</v>
      </c>
      <c r="L32" s="92">
        <f t="shared" si="6"/>
        <v>124252.26</v>
      </c>
      <c r="M32" s="100">
        <v>127500</v>
      </c>
      <c r="N32" s="100">
        <f t="shared" si="8"/>
        <v>3247.7400000000052</v>
      </c>
    </row>
    <row r="33" spans="1:14">
      <c r="A33" s="17">
        <v>42583</v>
      </c>
      <c r="B33" s="209">
        <v>2060</v>
      </c>
      <c r="C33" s="209"/>
      <c r="D33" s="209"/>
      <c r="E33" s="209"/>
      <c r="F33" s="69">
        <v>75972.639999999999</v>
      </c>
      <c r="G33" s="81">
        <f t="shared" si="7"/>
        <v>78032.639999999999</v>
      </c>
      <c r="H33" s="70">
        <v>9416.86</v>
      </c>
      <c r="I33" s="70"/>
      <c r="J33" s="70">
        <v>119079.75</v>
      </c>
      <c r="K33" s="89">
        <f t="shared" si="5"/>
        <v>128496.61</v>
      </c>
      <c r="L33" s="92">
        <f t="shared" si="6"/>
        <v>206529.25</v>
      </c>
      <c r="M33" s="100">
        <v>127500</v>
      </c>
      <c r="N33" s="100">
        <f t="shared" si="8"/>
        <v>-79029.25</v>
      </c>
    </row>
    <row r="34" spans="1:14">
      <c r="A34" s="17">
        <v>42614</v>
      </c>
      <c r="B34" s="209">
        <v>4120</v>
      </c>
      <c r="C34" s="209"/>
      <c r="D34" s="209"/>
      <c r="E34" s="209"/>
      <c r="F34" s="69">
        <v>44287.64</v>
      </c>
      <c r="G34" s="81">
        <f t="shared" si="7"/>
        <v>48407.64</v>
      </c>
      <c r="H34" s="70">
        <v>3066.95</v>
      </c>
      <c r="I34" s="70"/>
      <c r="J34" s="70"/>
      <c r="K34" s="89">
        <f t="shared" si="5"/>
        <v>3066.95</v>
      </c>
      <c r="L34" s="92">
        <f t="shared" si="6"/>
        <v>51474.59</v>
      </c>
      <c r="M34" s="100">
        <v>127500</v>
      </c>
      <c r="N34" s="100">
        <f t="shared" si="8"/>
        <v>76025.41</v>
      </c>
    </row>
    <row r="35" spans="1:14">
      <c r="A35" s="17">
        <v>42644</v>
      </c>
      <c r="B35" s="209">
        <v>5541.39</v>
      </c>
      <c r="C35" s="209"/>
      <c r="D35" s="209"/>
      <c r="E35" s="209"/>
      <c r="F35" s="69">
        <v>42445.24</v>
      </c>
      <c r="G35" s="81">
        <f t="shared" si="7"/>
        <v>47986.63</v>
      </c>
      <c r="H35" s="70">
        <v>6044.81</v>
      </c>
      <c r="I35" s="70"/>
      <c r="J35" s="70"/>
      <c r="K35" s="89">
        <f t="shared" si="5"/>
        <v>6044.81</v>
      </c>
      <c r="L35" s="92">
        <f t="shared" si="6"/>
        <v>54031.439999999995</v>
      </c>
      <c r="M35" s="100">
        <v>127500</v>
      </c>
      <c r="N35" s="100">
        <f t="shared" si="8"/>
        <v>73468.56</v>
      </c>
    </row>
    <row r="36" spans="1:14">
      <c r="A36" s="17">
        <v>42675</v>
      </c>
      <c r="B36" s="209">
        <v>6222.93</v>
      </c>
      <c r="C36" s="209"/>
      <c r="D36" s="209"/>
      <c r="E36" s="209"/>
      <c r="F36" s="69">
        <v>21774.97</v>
      </c>
      <c r="G36" s="81">
        <f t="shared" si="7"/>
        <v>27997.9</v>
      </c>
      <c r="H36" s="70">
        <v>24250.15</v>
      </c>
      <c r="I36" s="70"/>
      <c r="J36" s="70"/>
      <c r="K36" s="89">
        <f t="shared" si="5"/>
        <v>24250.15</v>
      </c>
      <c r="L36" s="92">
        <f t="shared" si="6"/>
        <v>52248.05</v>
      </c>
      <c r="M36" s="100">
        <v>127500</v>
      </c>
      <c r="N36" s="100">
        <f t="shared" si="8"/>
        <v>75251.95</v>
      </c>
    </row>
    <row r="37" spans="1:14">
      <c r="A37" s="17">
        <v>42705</v>
      </c>
      <c r="B37" s="233">
        <v>4532</v>
      </c>
      <c r="C37" s="233"/>
      <c r="D37" s="233">
        <v>225.32</v>
      </c>
      <c r="E37" s="233"/>
      <c r="F37" s="69">
        <v>5748.79</v>
      </c>
      <c r="G37" s="81">
        <f t="shared" si="7"/>
        <v>10506.11</v>
      </c>
      <c r="H37" s="70">
        <v>11363.2</v>
      </c>
      <c r="I37" s="71"/>
      <c r="J37" s="71"/>
      <c r="K37" s="89">
        <f t="shared" si="5"/>
        <v>11363.2</v>
      </c>
      <c r="L37" s="84">
        <f t="shared" si="6"/>
        <v>21869.31</v>
      </c>
      <c r="M37" s="100">
        <v>128500</v>
      </c>
      <c r="N37" s="100">
        <f t="shared" si="8"/>
        <v>106630.69</v>
      </c>
    </row>
    <row r="38" spans="1:14">
      <c r="A38" s="66">
        <v>2016</v>
      </c>
      <c r="B38" s="220">
        <f>SUM(B26:B37)</f>
        <v>140859.08000000002</v>
      </c>
      <c r="C38" s="220"/>
      <c r="D38" s="220">
        <f>SUM(D26:D37)</f>
        <v>26043.62</v>
      </c>
      <c r="E38" s="220"/>
      <c r="F38" s="67">
        <f t="shared" ref="F38:L38" si="9">SUM(F26:F37)</f>
        <v>848972.16</v>
      </c>
      <c r="G38" s="82">
        <f t="shared" si="9"/>
        <v>1015874.86</v>
      </c>
      <c r="H38" s="73">
        <f t="shared" si="9"/>
        <v>103152.92</v>
      </c>
      <c r="I38" s="72">
        <f t="shared" si="9"/>
        <v>0</v>
      </c>
      <c r="J38" s="72">
        <f t="shared" si="9"/>
        <v>138399.5</v>
      </c>
      <c r="K38" s="90">
        <f t="shared" si="9"/>
        <v>241552.42</v>
      </c>
      <c r="L38" s="101">
        <f t="shared" si="9"/>
        <v>1257427.28</v>
      </c>
      <c r="M38" s="102">
        <f>SUM(M26:M37)</f>
        <v>1531000</v>
      </c>
      <c r="N38" s="87">
        <f>M38-L38</f>
        <v>273572.71999999997</v>
      </c>
    </row>
    <row r="39" spans="1:14">
      <c r="A39" s="17">
        <v>42736</v>
      </c>
      <c r="B39" s="234">
        <v>4784</v>
      </c>
      <c r="C39" s="234"/>
      <c r="D39" s="234">
        <v>5809.16</v>
      </c>
      <c r="E39" s="234"/>
      <c r="F39" s="74">
        <v>1998.01</v>
      </c>
      <c r="G39" s="83">
        <f t="shared" ref="G39:G50" si="10">B39+D39+F39</f>
        <v>12591.17</v>
      </c>
      <c r="H39" s="75">
        <v>2186.5300000000002</v>
      </c>
      <c r="I39" s="76"/>
      <c r="J39" s="70"/>
      <c r="K39" s="91">
        <f>H39+I39+J39</f>
        <v>2186.5300000000002</v>
      </c>
      <c r="L39" s="85">
        <f>K39+G39</f>
        <v>14777.7</v>
      </c>
      <c r="M39" s="100">
        <v>50000</v>
      </c>
      <c r="N39" s="100">
        <f t="shared" ref="N39:N50" si="11">M40-L39</f>
        <v>35222.300000000003</v>
      </c>
    </row>
    <row r="40" spans="1:14">
      <c r="A40" s="17">
        <v>42767</v>
      </c>
      <c r="B40" s="235">
        <v>5200</v>
      </c>
      <c r="C40" s="235"/>
      <c r="D40" s="235">
        <v>1511.1</v>
      </c>
      <c r="E40" s="235"/>
      <c r="F40" s="74">
        <v>521.39</v>
      </c>
      <c r="G40" s="83">
        <f t="shared" si="10"/>
        <v>7232.4900000000007</v>
      </c>
      <c r="H40" s="75">
        <v>1451</v>
      </c>
      <c r="I40" s="76"/>
      <c r="J40" s="70"/>
      <c r="K40" s="91">
        <f>H40+I40+J40</f>
        <v>1451</v>
      </c>
      <c r="L40" s="85">
        <f>K40+G40</f>
        <v>8683.4900000000016</v>
      </c>
      <c r="M40" s="100">
        <v>50000</v>
      </c>
      <c r="N40" s="100">
        <f t="shared" si="11"/>
        <v>41316.509999999995</v>
      </c>
    </row>
    <row r="41" spans="1:14">
      <c r="A41" s="17">
        <v>42795</v>
      </c>
      <c r="B41" s="235">
        <v>6757.01</v>
      </c>
      <c r="C41" s="235"/>
      <c r="D41" s="235">
        <v>481.32</v>
      </c>
      <c r="E41" s="235"/>
      <c r="F41" s="74">
        <v>1519.05</v>
      </c>
      <c r="G41" s="83">
        <f t="shared" si="10"/>
        <v>8757.3799999999992</v>
      </c>
      <c r="H41" s="75">
        <v>8024.69</v>
      </c>
      <c r="I41" s="76"/>
      <c r="J41" s="70"/>
      <c r="K41" s="91">
        <f>H41+I41+J41</f>
        <v>8024.69</v>
      </c>
      <c r="L41" s="85">
        <f>K41+G41</f>
        <v>16782.07</v>
      </c>
      <c r="M41" s="100">
        <v>50000</v>
      </c>
      <c r="N41" s="100">
        <f t="shared" si="11"/>
        <v>33217.93</v>
      </c>
    </row>
    <row r="42" spans="1:14">
      <c r="A42" s="17">
        <v>42826</v>
      </c>
      <c r="B42" s="235">
        <v>3386</v>
      </c>
      <c r="C42" s="235"/>
      <c r="D42" s="235"/>
      <c r="E42" s="235"/>
      <c r="F42" s="74">
        <v>444.6</v>
      </c>
      <c r="G42" s="83">
        <f t="shared" si="10"/>
        <v>3830.6</v>
      </c>
      <c r="H42" s="75">
        <v>1888.93</v>
      </c>
      <c r="I42" s="76"/>
      <c r="J42" s="70"/>
      <c r="K42" s="91">
        <f>H42+I42+J42</f>
        <v>1888.93</v>
      </c>
      <c r="L42" s="85">
        <f>K42+G42</f>
        <v>5719.53</v>
      </c>
      <c r="M42" s="100">
        <v>50000</v>
      </c>
      <c r="N42" s="100">
        <f t="shared" si="11"/>
        <v>44280.47</v>
      </c>
    </row>
    <row r="43" spans="1:14">
      <c r="A43" s="17">
        <v>42856</v>
      </c>
      <c r="B43" s="235">
        <v>3731</v>
      </c>
      <c r="C43" s="235"/>
      <c r="D43" s="235"/>
      <c r="E43" s="235"/>
      <c r="F43" s="74">
        <v>37.049999999999997</v>
      </c>
      <c r="G43" s="83">
        <f t="shared" si="10"/>
        <v>3768.05</v>
      </c>
      <c r="H43" s="75">
        <v>833.33</v>
      </c>
      <c r="I43" s="70">
        <v>16.510000000000002</v>
      </c>
      <c r="J43" s="70">
        <v>20200</v>
      </c>
      <c r="K43" s="91">
        <f>H43+I43+J43</f>
        <v>21049.84</v>
      </c>
      <c r="L43" s="85">
        <f t="shared" ref="L43:L50" si="12">K43+G43</f>
        <v>24817.89</v>
      </c>
      <c r="M43" s="100">
        <v>50000</v>
      </c>
      <c r="N43" s="100">
        <f t="shared" si="11"/>
        <v>25182.11</v>
      </c>
    </row>
    <row r="44" spans="1:14">
      <c r="A44" s="17">
        <v>42887</v>
      </c>
      <c r="B44" s="235">
        <v>6216.56</v>
      </c>
      <c r="C44" s="235"/>
      <c r="D44" s="235">
        <v>6777.99</v>
      </c>
      <c r="E44" s="235"/>
      <c r="F44" s="74"/>
      <c r="G44" s="83">
        <f t="shared" si="10"/>
        <v>12994.55</v>
      </c>
      <c r="H44" s="75"/>
      <c r="I44" s="70"/>
      <c r="J44" s="70"/>
      <c r="K44" s="91">
        <f t="shared" ref="K44:K50" si="13">H44+I44+J44</f>
        <v>0</v>
      </c>
      <c r="L44" s="85">
        <f t="shared" si="12"/>
        <v>12994.55</v>
      </c>
      <c r="M44" s="100">
        <v>50000</v>
      </c>
      <c r="N44" s="100">
        <f t="shared" si="11"/>
        <v>37005.449999999997</v>
      </c>
    </row>
    <row r="45" spans="1:14">
      <c r="A45" s="17">
        <v>42917</v>
      </c>
      <c r="B45" s="235">
        <v>6788</v>
      </c>
      <c r="C45" s="235"/>
      <c r="D45" s="235">
        <v>-1072.0999999999999</v>
      </c>
      <c r="E45" s="235"/>
      <c r="F45" s="74"/>
      <c r="G45" s="83">
        <f t="shared" si="10"/>
        <v>5715.9</v>
      </c>
      <c r="H45" s="75"/>
      <c r="I45" s="70"/>
      <c r="J45" s="70">
        <v>50383</v>
      </c>
      <c r="K45" s="91">
        <f t="shared" si="13"/>
        <v>50383</v>
      </c>
      <c r="L45" s="85">
        <f t="shared" si="12"/>
        <v>56098.9</v>
      </c>
      <c r="M45" s="100">
        <v>50000</v>
      </c>
      <c r="N45" s="100">
        <f t="shared" si="11"/>
        <v>-6098.9000000000015</v>
      </c>
    </row>
    <row r="46" spans="1:14">
      <c r="A46" s="17">
        <v>42948</v>
      </c>
      <c r="B46" s="235">
        <v>5819.5</v>
      </c>
      <c r="C46" s="235"/>
      <c r="D46" s="235"/>
      <c r="E46" s="235"/>
      <c r="F46" s="74"/>
      <c r="G46" s="83">
        <f t="shared" si="10"/>
        <v>5819.5</v>
      </c>
      <c r="H46" s="75">
        <v>1051.73</v>
      </c>
      <c r="I46" s="70"/>
      <c r="J46" s="70">
        <v>12952</v>
      </c>
      <c r="K46" s="91">
        <f t="shared" si="13"/>
        <v>14003.73</v>
      </c>
      <c r="L46" s="85">
        <f t="shared" si="12"/>
        <v>19823.23</v>
      </c>
      <c r="M46" s="100">
        <v>50000</v>
      </c>
      <c r="N46" s="100">
        <f t="shared" si="11"/>
        <v>30176.77</v>
      </c>
    </row>
    <row r="47" spans="1:14">
      <c r="A47" s="17">
        <v>42979</v>
      </c>
      <c r="B47" s="235">
        <v>5946.56</v>
      </c>
      <c r="C47" s="235"/>
      <c r="D47" s="235"/>
      <c r="E47" s="235"/>
      <c r="F47" s="74"/>
      <c r="G47" s="83">
        <f t="shared" si="10"/>
        <v>5946.56</v>
      </c>
      <c r="H47" s="75">
        <v>5862.8</v>
      </c>
      <c r="I47" s="70">
        <v>1115.23</v>
      </c>
      <c r="J47" s="70">
        <v>12989</v>
      </c>
      <c r="K47" s="91">
        <f t="shared" si="13"/>
        <v>19967.03</v>
      </c>
      <c r="L47" s="85">
        <f t="shared" si="12"/>
        <v>25913.59</v>
      </c>
      <c r="M47" s="100">
        <v>50000</v>
      </c>
      <c r="N47" s="100">
        <f t="shared" si="11"/>
        <v>24086.41</v>
      </c>
    </row>
    <row r="48" spans="1:14">
      <c r="A48" s="17">
        <v>43009</v>
      </c>
      <c r="B48" s="235">
        <v>9051.77</v>
      </c>
      <c r="C48" s="235"/>
      <c r="D48" s="235"/>
      <c r="E48" s="235"/>
      <c r="F48" s="74"/>
      <c r="G48" s="83">
        <f t="shared" si="10"/>
        <v>9051.77</v>
      </c>
      <c r="H48" s="75"/>
      <c r="I48" s="70"/>
      <c r="J48" s="70">
        <v>10040</v>
      </c>
      <c r="K48" s="91">
        <f t="shared" si="13"/>
        <v>10040</v>
      </c>
      <c r="L48" s="85">
        <f t="shared" si="12"/>
        <v>19091.77</v>
      </c>
      <c r="M48" s="100">
        <v>50000</v>
      </c>
      <c r="N48" s="100">
        <f t="shared" si="11"/>
        <v>30908.23</v>
      </c>
    </row>
    <row r="49" spans="1:14">
      <c r="A49" s="17">
        <v>43040</v>
      </c>
      <c r="B49" s="235">
        <v>8882.7000000000007</v>
      </c>
      <c r="C49" s="235"/>
      <c r="D49" s="235"/>
      <c r="E49" s="235"/>
      <c r="F49" s="74"/>
      <c r="G49" s="83">
        <f t="shared" si="10"/>
        <v>8882.7000000000007</v>
      </c>
      <c r="H49" s="75">
        <v>464.19</v>
      </c>
      <c r="I49" s="70"/>
      <c r="J49" s="70">
        <v>12140.25</v>
      </c>
      <c r="K49" s="91">
        <f t="shared" si="13"/>
        <v>12604.44</v>
      </c>
      <c r="L49" s="85">
        <f t="shared" si="12"/>
        <v>21487.14</v>
      </c>
      <c r="M49" s="100">
        <v>50000</v>
      </c>
      <c r="N49" s="100">
        <f t="shared" si="11"/>
        <v>29512.86</v>
      </c>
    </row>
    <row r="50" spans="1:14">
      <c r="A50" s="17">
        <v>43070</v>
      </c>
      <c r="B50" s="244">
        <v>4180</v>
      </c>
      <c r="C50" s="244"/>
      <c r="D50" s="235">
        <v>73.61</v>
      </c>
      <c r="E50" s="235"/>
      <c r="F50" s="74"/>
      <c r="G50" s="83">
        <f t="shared" si="10"/>
        <v>4253.6099999999997</v>
      </c>
      <c r="H50" s="75">
        <v>26060.06</v>
      </c>
      <c r="I50" s="70">
        <v>26520.39</v>
      </c>
      <c r="J50" s="70">
        <v>7800</v>
      </c>
      <c r="K50" s="91">
        <f t="shared" si="13"/>
        <v>60380.45</v>
      </c>
      <c r="L50" s="85">
        <f t="shared" si="12"/>
        <v>64634.06</v>
      </c>
      <c r="M50" s="100">
        <v>51000</v>
      </c>
      <c r="N50" s="100">
        <f t="shared" si="11"/>
        <v>536365.93999999994</v>
      </c>
    </row>
    <row r="51" spans="1:14">
      <c r="A51" s="66">
        <v>2017</v>
      </c>
      <c r="B51" s="220">
        <f>SUM(B39:B50)</f>
        <v>70743.100000000006</v>
      </c>
      <c r="C51" s="220"/>
      <c r="D51" s="220">
        <f>SUM(D39:D50)</f>
        <v>13581.08</v>
      </c>
      <c r="E51" s="220"/>
      <c r="F51" s="67">
        <f t="shared" ref="F51:L51" si="14">SUM(F39:F50)</f>
        <v>4520.1000000000004</v>
      </c>
      <c r="G51" s="82">
        <f t="shared" si="14"/>
        <v>88844.280000000013</v>
      </c>
      <c r="H51" s="73">
        <f t="shared" si="14"/>
        <v>47823.259999999995</v>
      </c>
      <c r="I51" s="72">
        <f t="shared" si="14"/>
        <v>27652.13</v>
      </c>
      <c r="J51" s="72">
        <f t="shared" si="14"/>
        <v>126504.25</v>
      </c>
      <c r="K51" s="90">
        <f t="shared" si="14"/>
        <v>201979.63999999996</v>
      </c>
      <c r="L51" s="101">
        <f t="shared" si="14"/>
        <v>290823.92</v>
      </c>
      <c r="M51" s="102">
        <f>SUM(M39:M50)</f>
        <v>601000</v>
      </c>
      <c r="N51" s="87">
        <f t="shared" si="8"/>
        <v>310176.08</v>
      </c>
    </row>
    <row r="52" spans="1:14">
      <c r="A52" s="61"/>
      <c r="B52" s="62"/>
      <c r="F52" s="62"/>
      <c r="G52" s="95"/>
      <c r="H52" s="62"/>
      <c r="I52" s="62"/>
      <c r="J52" s="62"/>
      <c r="K52" s="97"/>
      <c r="L52" s="93"/>
      <c r="M52" s="99"/>
      <c r="N52" s="99"/>
    </row>
    <row r="53" spans="1:14">
      <c r="A53" s="77" t="s">
        <v>25</v>
      </c>
      <c r="B53" s="236">
        <f>B25+B38+B51</f>
        <v>226005.53000000003</v>
      </c>
      <c r="C53" s="236"/>
      <c r="D53" s="236">
        <f>D25+D38+D51</f>
        <v>39624.699999999997</v>
      </c>
      <c r="E53" s="236"/>
      <c r="F53" s="78">
        <f t="shared" ref="F53:L53" si="15">F25+F38+F51</f>
        <v>853492.26</v>
      </c>
      <c r="G53" s="96">
        <f t="shared" si="15"/>
        <v>1119122.49</v>
      </c>
      <c r="H53" s="78">
        <f t="shared" si="15"/>
        <v>150976.18</v>
      </c>
      <c r="I53" s="78">
        <f t="shared" si="15"/>
        <v>34931.599999999999</v>
      </c>
      <c r="J53" s="78">
        <f t="shared" si="15"/>
        <v>264903.75</v>
      </c>
      <c r="K53" s="98">
        <f t="shared" si="15"/>
        <v>450811.52999999997</v>
      </c>
      <c r="L53" s="94">
        <f t="shared" si="15"/>
        <v>1569934.02</v>
      </c>
      <c r="M53" s="100">
        <f>M51+M38+M25</f>
        <v>2180000</v>
      </c>
      <c r="N53" s="100">
        <f>N51+N38+N25</f>
        <v>610065.9800000001</v>
      </c>
    </row>
    <row r="55" spans="1:14" ht="19.5">
      <c r="A55" s="240" t="s">
        <v>28</v>
      </c>
      <c r="B55" s="241"/>
      <c r="D55" s="168" t="s">
        <v>40</v>
      </c>
      <c r="E55" s="169"/>
      <c r="F55" s="5"/>
      <c r="G55" s="61"/>
      <c r="H55" s="61"/>
    </row>
    <row r="56" spans="1:14" ht="15.6" customHeight="1">
      <c r="A56" s="108">
        <v>2015</v>
      </c>
      <c r="B56" s="74">
        <v>40.200000000000003</v>
      </c>
      <c r="D56" s="159"/>
      <c r="E56" s="164"/>
    </row>
    <row r="57" spans="1:14">
      <c r="A57" s="144">
        <v>2016</v>
      </c>
      <c r="B57" s="69">
        <v>32832.730000000003</v>
      </c>
      <c r="D57" s="45"/>
      <c r="E57" s="165">
        <v>2017</v>
      </c>
    </row>
    <row r="58" spans="1:14">
      <c r="A58" s="144">
        <v>2017</v>
      </c>
      <c r="B58" s="69">
        <v>58533.86</v>
      </c>
      <c r="D58" s="17">
        <v>42736</v>
      </c>
      <c r="E58" s="166">
        <v>71641.881599999993</v>
      </c>
    </row>
    <row r="59" spans="1:14">
      <c r="A59" s="144"/>
      <c r="B59" s="69"/>
      <c r="D59" s="17">
        <v>42767</v>
      </c>
      <c r="E59" s="166">
        <v>103217.232</v>
      </c>
    </row>
    <row r="60" spans="1:14" ht="19.5">
      <c r="A60" s="242" t="s">
        <v>29</v>
      </c>
      <c r="B60" s="243"/>
      <c r="D60" s="17">
        <v>42795</v>
      </c>
      <c r="E60" s="166">
        <v>184422.94560000001</v>
      </c>
    </row>
    <row r="61" spans="1:14">
      <c r="A61" s="145">
        <v>2017</v>
      </c>
      <c r="B61" s="146">
        <v>16050</v>
      </c>
      <c r="D61" s="17">
        <v>42826</v>
      </c>
      <c r="E61" s="166">
        <v>240114.48480000001</v>
      </c>
    </row>
    <row r="62" spans="1:14">
      <c r="D62" s="17">
        <v>42856</v>
      </c>
      <c r="E62" s="166">
        <v>307594.83840000001</v>
      </c>
    </row>
    <row r="63" spans="1:14">
      <c r="D63" s="17">
        <v>42887</v>
      </c>
      <c r="E63" s="166">
        <v>343369.848</v>
      </c>
    </row>
    <row r="64" spans="1:14">
      <c r="D64" s="17">
        <v>42917</v>
      </c>
      <c r="E64" s="166">
        <v>294802.82400000002</v>
      </c>
    </row>
    <row r="65" spans="4:5">
      <c r="D65" s="17">
        <v>42948</v>
      </c>
      <c r="E65" s="166">
        <v>276616.23360000004</v>
      </c>
    </row>
    <row r="66" spans="4:5">
      <c r="D66" s="17">
        <v>42979</v>
      </c>
      <c r="E66" s="166">
        <v>224961.41279999999</v>
      </c>
    </row>
    <row r="67" spans="4:5">
      <c r="D67" s="17">
        <v>43009</v>
      </c>
      <c r="E67" s="166">
        <v>227837.5344</v>
      </c>
    </row>
    <row r="68" spans="4:5">
      <c r="D68" s="17">
        <v>43040</v>
      </c>
      <c r="E68" s="166">
        <v>136140.03840000002</v>
      </c>
    </row>
    <row r="69" spans="4:5">
      <c r="D69" s="17">
        <v>43070</v>
      </c>
      <c r="E69" s="166">
        <v>129102.16799999999</v>
      </c>
    </row>
    <row r="70" spans="4:5">
      <c r="D70" s="45"/>
      <c r="E70" s="57"/>
    </row>
    <row r="71" spans="4:5">
      <c r="D71" s="142" t="s">
        <v>45</v>
      </c>
      <c r="E71" s="167">
        <f>SUM(E58:E70)</f>
        <v>2539821.4416</v>
      </c>
    </row>
  </sheetData>
  <mergeCells count="70">
    <mergeCell ref="B53:C53"/>
    <mergeCell ref="D53:E53"/>
    <mergeCell ref="B23:G23"/>
    <mergeCell ref="A55:B55"/>
    <mergeCell ref="A60:B60"/>
    <mergeCell ref="B49:C49"/>
    <mergeCell ref="D49:E49"/>
    <mergeCell ref="B50:C50"/>
    <mergeCell ref="D50:E50"/>
    <mergeCell ref="B51:C51"/>
    <mergeCell ref="D51:E51"/>
    <mergeCell ref="B46:C46"/>
    <mergeCell ref="D46:E46"/>
    <mergeCell ref="B47:C47"/>
    <mergeCell ref="D47:E47"/>
    <mergeCell ref="B48:C48"/>
    <mergeCell ref="D48:E48"/>
    <mergeCell ref="B43:C43"/>
    <mergeCell ref="D43:E43"/>
    <mergeCell ref="B44:C44"/>
    <mergeCell ref="D44:E44"/>
    <mergeCell ref="B45:C45"/>
    <mergeCell ref="D45:E45"/>
    <mergeCell ref="B40:C40"/>
    <mergeCell ref="D40:E40"/>
    <mergeCell ref="B41:C41"/>
    <mergeCell ref="D41:E41"/>
    <mergeCell ref="B42:C42"/>
    <mergeCell ref="D42:E42"/>
    <mergeCell ref="B37:C37"/>
    <mergeCell ref="D37:E37"/>
    <mergeCell ref="B38:C38"/>
    <mergeCell ref="D38:E38"/>
    <mergeCell ref="B39:C39"/>
    <mergeCell ref="D39:E39"/>
    <mergeCell ref="B34:C34"/>
    <mergeCell ref="D34:E34"/>
    <mergeCell ref="B35:C35"/>
    <mergeCell ref="D35:E35"/>
    <mergeCell ref="B36:C36"/>
    <mergeCell ref="D36:E36"/>
    <mergeCell ref="B31:C31"/>
    <mergeCell ref="D31:E31"/>
    <mergeCell ref="B32:C32"/>
    <mergeCell ref="D32:E32"/>
    <mergeCell ref="B33:C33"/>
    <mergeCell ref="D33:E33"/>
    <mergeCell ref="A1:P1"/>
    <mergeCell ref="A3:H3"/>
    <mergeCell ref="I3:L3"/>
    <mergeCell ref="M3:P3"/>
    <mergeCell ref="B4:C4"/>
    <mergeCell ref="D4:F4"/>
    <mergeCell ref="G4:H4"/>
    <mergeCell ref="A21:P21"/>
    <mergeCell ref="H23:K23"/>
    <mergeCell ref="B24:C24"/>
    <mergeCell ref="D24:E24"/>
    <mergeCell ref="B25:C25"/>
    <mergeCell ref="D25:E25"/>
    <mergeCell ref="B29:C29"/>
    <mergeCell ref="D29:E29"/>
    <mergeCell ref="B30:C30"/>
    <mergeCell ref="B26:C26"/>
    <mergeCell ref="D26:E26"/>
    <mergeCell ref="B27:C27"/>
    <mergeCell ref="D27:E27"/>
    <mergeCell ref="B28:C28"/>
    <mergeCell ref="D28:E28"/>
    <mergeCell ref="D30:E30"/>
  </mergeCells>
  <pageMargins left="0.7" right="0.7" top="0.75" bottom="0.75" header="0.3" footer="0.3"/>
  <pageSetup paperSize="3" scale="63" orientation="landscape" r:id="rId1"/>
  <ignoredErrors>
    <ignoredError sqref="B38:F38 H38:N38 B6:Q18" formulaRange="1"/>
    <ignoredError sqref="G38"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showGridLines="0" topLeftCell="A43" zoomScale="85" zoomScaleNormal="85" workbookViewId="0">
      <selection activeCell="K82" sqref="K82"/>
    </sheetView>
  </sheetViews>
  <sheetFormatPr defaultRowHeight="15"/>
  <cols>
    <col min="1" max="1" width="14.85546875" bestFit="1" customWidth="1"/>
    <col min="2" max="2" width="11" bestFit="1" customWidth="1"/>
    <col min="3" max="3" width="7.5703125" bestFit="1" customWidth="1"/>
    <col min="4" max="4" width="12.28515625" bestFit="1" customWidth="1"/>
    <col min="5" max="6" width="12.85546875" bestFit="1" customWidth="1"/>
    <col min="7" max="7" width="18.5703125" bestFit="1" customWidth="1"/>
    <col min="8" max="8" width="13.7109375" bestFit="1" customWidth="1"/>
    <col min="9" max="9" width="13.85546875" bestFit="1" customWidth="1"/>
    <col min="10" max="11" width="12.85546875" bestFit="1" customWidth="1"/>
    <col min="12" max="12" width="12.7109375" bestFit="1" customWidth="1"/>
    <col min="13" max="13" width="14" bestFit="1" customWidth="1"/>
    <col min="14" max="14" width="13.42578125" bestFit="1" customWidth="1"/>
    <col min="15" max="15" width="11.28515625" customWidth="1"/>
    <col min="16" max="16" width="11.7109375" bestFit="1" customWidth="1"/>
  </cols>
  <sheetData>
    <row r="1" spans="1:16" ht="32.25">
      <c r="A1" s="221" t="s">
        <v>47</v>
      </c>
      <c r="B1" s="222"/>
      <c r="C1" s="222"/>
      <c r="D1" s="222"/>
      <c r="E1" s="222"/>
      <c r="F1" s="222"/>
      <c r="G1" s="222"/>
      <c r="H1" s="222"/>
      <c r="I1" s="222"/>
      <c r="J1" s="222"/>
      <c r="K1" s="222"/>
      <c r="L1" s="222"/>
      <c r="M1" s="222"/>
      <c r="N1" s="222"/>
      <c r="O1" s="222"/>
      <c r="P1" s="223"/>
    </row>
    <row r="2" spans="1:16" ht="24.75" thickBot="1">
      <c r="A2" s="1"/>
      <c r="B2" s="2"/>
      <c r="C2" s="2"/>
      <c r="D2" s="2"/>
      <c r="E2" s="2"/>
      <c r="F2" s="3"/>
      <c r="G2" s="3"/>
      <c r="H2" s="3"/>
      <c r="I2" s="3"/>
      <c r="J2" s="3"/>
      <c r="K2" s="4"/>
      <c r="L2" s="4"/>
    </row>
    <row r="3" spans="1:16" ht="20.25" thickBot="1">
      <c r="A3" s="224" t="s">
        <v>1</v>
      </c>
      <c r="B3" s="225"/>
      <c r="C3" s="225"/>
      <c r="D3" s="225"/>
      <c r="E3" s="225"/>
      <c r="F3" s="225"/>
      <c r="G3" s="225"/>
      <c r="H3" s="225"/>
      <c r="I3" s="226" t="s">
        <v>2</v>
      </c>
      <c r="J3" s="227"/>
      <c r="K3" s="227"/>
      <c r="L3" s="228"/>
      <c r="M3" s="226" t="s">
        <v>3</v>
      </c>
      <c r="N3" s="227"/>
      <c r="O3" s="227"/>
      <c r="P3" s="229"/>
    </row>
    <row r="4" spans="1:16">
      <c r="A4" s="58"/>
      <c r="B4" s="230" t="s">
        <v>4</v>
      </c>
      <c r="C4" s="231"/>
      <c r="D4" s="230" t="s">
        <v>5</v>
      </c>
      <c r="E4" s="232"/>
      <c r="F4" s="231"/>
      <c r="G4" s="232" t="s">
        <v>6</v>
      </c>
      <c r="H4" s="231"/>
      <c r="I4" s="6"/>
      <c r="J4" s="59"/>
      <c r="K4" s="59"/>
      <c r="L4" s="60"/>
      <c r="M4" s="6"/>
      <c r="N4" s="59"/>
      <c r="O4" s="59"/>
      <c r="P4" s="60"/>
    </row>
    <row r="5" spans="1:16">
      <c r="A5" s="8"/>
      <c r="B5" s="9">
        <v>1</v>
      </c>
      <c r="C5" s="10">
        <v>3</v>
      </c>
      <c r="D5" s="9">
        <v>23</v>
      </c>
      <c r="E5" s="11">
        <v>6</v>
      </c>
      <c r="F5" s="12" t="s">
        <v>7</v>
      </c>
      <c r="G5" s="13" t="s">
        <v>4</v>
      </c>
      <c r="H5" s="14" t="s">
        <v>5</v>
      </c>
      <c r="I5" s="8"/>
      <c r="J5" s="13" t="s">
        <v>4</v>
      </c>
      <c r="K5" s="15" t="s">
        <v>5</v>
      </c>
      <c r="L5" s="16" t="s">
        <v>8</v>
      </c>
      <c r="M5" s="8"/>
      <c r="N5" s="13" t="s">
        <v>9</v>
      </c>
      <c r="O5" s="13" t="s">
        <v>10</v>
      </c>
      <c r="P5" s="16" t="s">
        <v>11</v>
      </c>
    </row>
    <row r="6" spans="1:16">
      <c r="A6" s="17">
        <v>43101</v>
      </c>
      <c r="B6" s="18">
        <v>6771.125</v>
      </c>
      <c r="C6" s="18">
        <v>69</v>
      </c>
      <c r="D6" s="19">
        <v>852</v>
      </c>
      <c r="E6" s="19">
        <v>982</v>
      </c>
      <c r="F6" s="19">
        <v>10009</v>
      </c>
      <c r="G6" s="20">
        <f>B6+C6</f>
        <v>6840.125</v>
      </c>
      <c r="H6" s="170">
        <f>D6+E6+F6</f>
        <v>11843</v>
      </c>
      <c r="I6" s="17">
        <v>43101</v>
      </c>
      <c r="J6" s="22">
        <f>G6*200*0.06525</f>
        <v>89263.631250000006</v>
      </c>
      <c r="K6" s="23">
        <f>H6*0.06225*200</f>
        <v>147445.35</v>
      </c>
      <c r="L6" s="24">
        <f>SUM(J6:K6)</f>
        <v>236708.98125000001</v>
      </c>
      <c r="M6" s="17">
        <v>43101</v>
      </c>
      <c r="N6" s="25">
        <v>2099062</v>
      </c>
      <c r="O6" s="25">
        <v>435843</v>
      </c>
      <c r="P6" s="26">
        <f>SUM(N6:O6)</f>
        <v>2534905</v>
      </c>
    </row>
    <row r="7" spans="1:16">
      <c r="A7" s="17">
        <v>43132</v>
      </c>
      <c r="B7" s="18">
        <v>6761.1149999999998</v>
      </c>
      <c r="C7" s="18">
        <v>70</v>
      </c>
      <c r="D7" s="19">
        <v>722.26499999999999</v>
      </c>
      <c r="E7" s="19">
        <v>968</v>
      </c>
      <c r="F7" s="19">
        <v>11180.665000000001</v>
      </c>
      <c r="G7" s="20">
        <f t="shared" ref="G7:G17" si="0">B7+C7</f>
        <v>6831.1149999999998</v>
      </c>
      <c r="H7" s="170">
        <f t="shared" ref="H7:H17" si="1">D7+E7+F7</f>
        <v>12870.93</v>
      </c>
      <c r="I7" s="17">
        <v>43132</v>
      </c>
      <c r="J7" s="22">
        <f t="shared" ref="J7:J17" si="2">G7*200*0.06525</f>
        <v>89146.050750000009</v>
      </c>
      <c r="K7" s="23">
        <f t="shared" ref="K7:K17" si="3">H7*0.06225*200</f>
        <v>160243.0785</v>
      </c>
      <c r="L7" s="24">
        <f t="shared" ref="L7:L17" si="4">SUM(J7:K7)</f>
        <v>249389.12925</v>
      </c>
      <c r="M7" s="17">
        <v>43132</v>
      </c>
      <c r="N7" s="25">
        <v>2583035</v>
      </c>
      <c r="O7" s="25">
        <v>457613</v>
      </c>
      <c r="P7" s="26">
        <f t="shared" ref="P7:P17" si="5">SUM(N7:O7)</f>
        <v>3040648</v>
      </c>
    </row>
    <row r="8" spans="1:16">
      <c r="A8" s="17">
        <v>43160</v>
      </c>
      <c r="B8" s="18">
        <v>7005.4750000000004</v>
      </c>
      <c r="C8" s="18">
        <v>70</v>
      </c>
      <c r="D8" s="19">
        <v>708</v>
      </c>
      <c r="E8" s="19">
        <v>249</v>
      </c>
      <c r="F8" s="19">
        <v>10853</v>
      </c>
      <c r="G8" s="20">
        <f t="shared" si="0"/>
        <v>7075.4750000000004</v>
      </c>
      <c r="H8" s="170">
        <f t="shared" si="1"/>
        <v>11810</v>
      </c>
      <c r="I8" s="17">
        <v>43160</v>
      </c>
      <c r="J8" s="22">
        <f t="shared" si="2"/>
        <v>92334.94875000001</v>
      </c>
      <c r="K8" s="23">
        <f t="shared" si="3"/>
        <v>147034.5</v>
      </c>
      <c r="L8" s="24">
        <f t="shared" si="4"/>
        <v>239369.44875000001</v>
      </c>
      <c r="M8" s="17">
        <v>43160</v>
      </c>
      <c r="N8" s="25">
        <v>3751634</v>
      </c>
      <c r="O8" s="25">
        <v>394482</v>
      </c>
      <c r="P8" s="26">
        <f t="shared" si="5"/>
        <v>4146116</v>
      </c>
    </row>
    <row r="9" spans="1:16">
      <c r="A9" s="17">
        <v>43191</v>
      </c>
      <c r="B9" s="18">
        <v>6810.0950000000003</v>
      </c>
      <c r="C9" s="18">
        <v>70</v>
      </c>
      <c r="D9" s="19">
        <v>1099.4000000000001</v>
      </c>
      <c r="E9" s="19">
        <v>1806</v>
      </c>
      <c r="F9" s="19">
        <v>12043</v>
      </c>
      <c r="G9" s="20">
        <f t="shared" si="0"/>
        <v>6880.0950000000003</v>
      </c>
      <c r="H9" s="170">
        <f t="shared" si="1"/>
        <v>14948.4</v>
      </c>
      <c r="I9" s="17">
        <v>43191</v>
      </c>
      <c r="J9" s="22">
        <f t="shared" si="2"/>
        <v>89785.239750000008</v>
      </c>
      <c r="K9" s="23">
        <f t="shared" si="3"/>
        <v>186107.58</v>
      </c>
      <c r="L9" s="24">
        <f t="shared" si="4"/>
        <v>275892.81975000002</v>
      </c>
      <c r="M9" s="17">
        <v>43191</v>
      </c>
      <c r="N9" s="25">
        <v>3790460</v>
      </c>
      <c r="O9" s="25">
        <v>854798</v>
      </c>
      <c r="P9" s="26">
        <f t="shared" si="5"/>
        <v>4645258</v>
      </c>
    </row>
    <row r="10" spans="1:16">
      <c r="A10" s="17">
        <v>43221</v>
      </c>
      <c r="B10" s="18">
        <v>6616.63</v>
      </c>
      <c r="C10" s="18">
        <v>70</v>
      </c>
      <c r="D10" s="19">
        <v>676.46500000000003</v>
      </c>
      <c r="E10" s="19">
        <v>981</v>
      </c>
      <c r="F10" s="19">
        <v>10619</v>
      </c>
      <c r="G10" s="20">
        <f t="shared" si="0"/>
        <v>6686.63</v>
      </c>
      <c r="H10" s="170">
        <f t="shared" si="1"/>
        <v>12276.465</v>
      </c>
      <c r="I10" s="17">
        <v>43221</v>
      </c>
      <c r="J10" s="22">
        <f t="shared" si="2"/>
        <v>87260.521500000003</v>
      </c>
      <c r="K10" s="23">
        <f t="shared" si="3"/>
        <v>152841.98925000001</v>
      </c>
      <c r="L10" s="24">
        <f t="shared" si="4"/>
        <v>240102.51075000002</v>
      </c>
      <c r="M10" s="17">
        <v>43221</v>
      </c>
      <c r="N10" s="25">
        <v>4664218</v>
      </c>
      <c r="O10" s="25">
        <v>815070</v>
      </c>
      <c r="P10" s="26">
        <f t="shared" si="5"/>
        <v>5479288</v>
      </c>
    </row>
    <row r="11" spans="1:16">
      <c r="A11" s="17">
        <v>43252</v>
      </c>
      <c r="B11" s="18">
        <v>6851.32</v>
      </c>
      <c r="C11" s="18">
        <v>66.265000000000001</v>
      </c>
      <c r="D11" s="19">
        <v>932.16</v>
      </c>
      <c r="E11" s="19">
        <v>1151</v>
      </c>
      <c r="F11" s="19">
        <v>10999</v>
      </c>
      <c r="G11" s="20">
        <f t="shared" si="0"/>
        <v>6917.585</v>
      </c>
      <c r="H11" s="170">
        <f t="shared" si="1"/>
        <v>13082.16</v>
      </c>
      <c r="I11" s="17">
        <v>43252</v>
      </c>
      <c r="J11" s="22">
        <f t="shared" si="2"/>
        <v>90274.484250000009</v>
      </c>
      <c r="K11" s="23">
        <f t="shared" si="3"/>
        <v>162872.89199999999</v>
      </c>
      <c r="L11" s="24">
        <f t="shared" si="4"/>
        <v>253147.37625</v>
      </c>
      <c r="M11" s="17">
        <v>43252</v>
      </c>
      <c r="N11" s="25">
        <v>5853106</v>
      </c>
      <c r="O11" s="25">
        <v>926663</v>
      </c>
      <c r="P11" s="26">
        <f t="shared" si="5"/>
        <v>6779769</v>
      </c>
    </row>
    <row r="12" spans="1:16">
      <c r="A12" s="17">
        <v>43282</v>
      </c>
      <c r="B12" s="18">
        <v>6835.1949999999997</v>
      </c>
      <c r="C12" s="18">
        <v>64</v>
      </c>
      <c r="D12" s="19">
        <v>838.65499999999997</v>
      </c>
      <c r="E12" s="19">
        <v>1151</v>
      </c>
      <c r="F12" s="19">
        <v>12245.2</v>
      </c>
      <c r="G12" s="20">
        <f t="shared" si="0"/>
        <v>6899.1949999999997</v>
      </c>
      <c r="H12" s="170">
        <f t="shared" si="1"/>
        <v>14234.855000000001</v>
      </c>
      <c r="I12" s="17">
        <v>43282</v>
      </c>
      <c r="J12" s="22">
        <f t="shared" si="2"/>
        <v>90034.494749999998</v>
      </c>
      <c r="K12" s="23">
        <f t="shared" si="3"/>
        <v>177223.94475000002</v>
      </c>
      <c r="L12" s="24">
        <f t="shared" si="4"/>
        <v>267258.43950000004</v>
      </c>
      <c r="M12" s="17">
        <v>43282</v>
      </c>
      <c r="N12" s="25">
        <v>4379884</v>
      </c>
      <c r="O12" s="25">
        <v>1235167</v>
      </c>
      <c r="P12" s="26">
        <f t="shared" si="5"/>
        <v>5615051</v>
      </c>
    </row>
    <row r="13" spans="1:16">
      <c r="A13" s="17">
        <v>43313</v>
      </c>
      <c r="B13" s="18">
        <v>6800.48</v>
      </c>
      <c r="C13" s="18">
        <v>62.93</v>
      </c>
      <c r="D13" s="19">
        <v>898</v>
      </c>
      <c r="E13" s="19">
        <v>1151</v>
      </c>
      <c r="F13" s="19">
        <v>10100</v>
      </c>
      <c r="G13" s="20">
        <f t="shared" si="0"/>
        <v>6863.41</v>
      </c>
      <c r="H13" s="170">
        <f t="shared" si="1"/>
        <v>12149</v>
      </c>
      <c r="I13" s="17">
        <v>43313</v>
      </c>
      <c r="J13" s="22">
        <f t="shared" si="2"/>
        <v>89567.500500000009</v>
      </c>
      <c r="K13" s="23">
        <f t="shared" si="3"/>
        <v>151255.05000000002</v>
      </c>
      <c r="L13" s="24">
        <f t="shared" si="4"/>
        <v>240822.55050000001</v>
      </c>
      <c r="M13" s="17">
        <v>43313</v>
      </c>
      <c r="N13" s="25">
        <v>4470187</v>
      </c>
      <c r="O13" s="25">
        <v>735177</v>
      </c>
      <c r="P13" s="26">
        <f t="shared" si="5"/>
        <v>5205364</v>
      </c>
    </row>
    <row r="14" spans="1:16">
      <c r="A14" s="17">
        <v>43344</v>
      </c>
      <c r="B14" s="18">
        <v>6997.335</v>
      </c>
      <c r="C14" s="18">
        <v>65.599999999999994</v>
      </c>
      <c r="D14" s="19">
        <v>916</v>
      </c>
      <c r="E14" s="19">
        <v>1233.2</v>
      </c>
      <c r="F14" s="19">
        <v>10496.33</v>
      </c>
      <c r="G14" s="20">
        <f t="shared" si="0"/>
        <v>7062.9350000000004</v>
      </c>
      <c r="H14" s="170">
        <f t="shared" si="1"/>
        <v>12645.529999999999</v>
      </c>
      <c r="I14" s="17">
        <v>43344</v>
      </c>
      <c r="J14" s="22">
        <f t="shared" si="2"/>
        <v>92171.301749999999</v>
      </c>
      <c r="K14" s="23">
        <f t="shared" si="3"/>
        <v>157436.84849999996</v>
      </c>
      <c r="L14" s="24">
        <f t="shared" si="4"/>
        <v>249608.15024999995</v>
      </c>
      <c r="M14" s="17">
        <v>43344</v>
      </c>
      <c r="N14" s="25">
        <v>4243722</v>
      </c>
      <c r="O14" s="25">
        <v>1026513</v>
      </c>
      <c r="P14" s="26">
        <f t="shared" si="5"/>
        <v>5270235</v>
      </c>
    </row>
    <row r="15" spans="1:16">
      <c r="A15" s="17">
        <v>43374</v>
      </c>
      <c r="B15" s="18">
        <v>6820.6549999999997</v>
      </c>
      <c r="C15" s="18">
        <v>68</v>
      </c>
      <c r="D15" s="19">
        <v>893</v>
      </c>
      <c r="E15" s="19">
        <v>981</v>
      </c>
      <c r="F15" s="19">
        <v>11591</v>
      </c>
      <c r="G15" s="20">
        <f t="shared" si="0"/>
        <v>6888.6549999999997</v>
      </c>
      <c r="H15" s="170">
        <f t="shared" si="1"/>
        <v>13465</v>
      </c>
      <c r="I15" s="17">
        <v>43374</v>
      </c>
      <c r="J15" s="22">
        <f t="shared" si="2"/>
        <v>89896.947750000007</v>
      </c>
      <c r="K15" s="23">
        <f t="shared" si="3"/>
        <v>167639.25</v>
      </c>
      <c r="L15" s="24">
        <f t="shared" si="4"/>
        <v>257536.19774999999</v>
      </c>
      <c r="M15" s="17">
        <v>43374</v>
      </c>
      <c r="N15" s="25">
        <v>3035636</v>
      </c>
      <c r="O15" s="25">
        <v>369026</v>
      </c>
      <c r="P15" s="26">
        <f t="shared" si="5"/>
        <v>3404662</v>
      </c>
    </row>
    <row r="16" spans="1:16">
      <c r="A16" s="17">
        <v>43405</v>
      </c>
      <c r="B16" s="18">
        <v>6855.7449999999999</v>
      </c>
      <c r="C16" s="18">
        <v>56</v>
      </c>
      <c r="D16" s="19">
        <v>829.49</v>
      </c>
      <c r="E16" s="19">
        <v>981</v>
      </c>
      <c r="F16" s="19">
        <v>11412</v>
      </c>
      <c r="G16" s="20">
        <f t="shared" si="0"/>
        <v>6911.7449999999999</v>
      </c>
      <c r="H16" s="170">
        <f t="shared" si="1"/>
        <v>13222.49</v>
      </c>
      <c r="I16" s="17">
        <v>43405</v>
      </c>
      <c r="J16" s="22">
        <f t="shared" si="2"/>
        <v>90198.272250000009</v>
      </c>
      <c r="K16" s="23">
        <f t="shared" si="3"/>
        <v>164620.00049999999</v>
      </c>
      <c r="L16" s="24">
        <f t="shared" si="4"/>
        <v>254818.27275</v>
      </c>
      <c r="M16" s="17">
        <v>43405</v>
      </c>
      <c r="N16" s="25">
        <v>2405862</v>
      </c>
      <c r="O16" s="25">
        <v>365483</v>
      </c>
      <c r="P16" s="26">
        <f t="shared" si="5"/>
        <v>2771345</v>
      </c>
    </row>
    <row r="17" spans="1:16">
      <c r="A17" s="17">
        <v>43435</v>
      </c>
      <c r="B17" s="18">
        <v>6811.7250000000004</v>
      </c>
      <c r="C17" s="18">
        <v>49</v>
      </c>
      <c r="D17" s="19">
        <v>841.13</v>
      </c>
      <c r="E17" s="19">
        <v>1097</v>
      </c>
      <c r="F17" s="19">
        <v>11320</v>
      </c>
      <c r="G17" s="20">
        <f t="shared" si="0"/>
        <v>6860.7250000000004</v>
      </c>
      <c r="H17" s="170">
        <f t="shared" si="1"/>
        <v>13258.130000000001</v>
      </c>
      <c r="I17" s="17">
        <v>43435</v>
      </c>
      <c r="J17" s="22">
        <f t="shared" si="2"/>
        <v>89532.461250000008</v>
      </c>
      <c r="K17" s="23">
        <f t="shared" si="3"/>
        <v>165063.71850000002</v>
      </c>
      <c r="L17" s="24">
        <f t="shared" si="4"/>
        <v>254596.17975000001</v>
      </c>
      <c r="M17" s="17">
        <v>43435</v>
      </c>
      <c r="N17" s="25">
        <v>1347405</v>
      </c>
      <c r="O17" s="25">
        <v>271813</v>
      </c>
      <c r="P17" s="26">
        <f t="shared" si="5"/>
        <v>1619218</v>
      </c>
    </row>
    <row r="18" spans="1:16">
      <c r="A18" s="28" t="s">
        <v>12</v>
      </c>
      <c r="B18" s="29">
        <f>SUM(B6:B17)</f>
        <v>81936.895000000004</v>
      </c>
      <c r="C18" s="29">
        <f t="shared" ref="C18:H18" si="6">SUM(C6:C17)</f>
        <v>780.79499999999996</v>
      </c>
      <c r="D18" s="29">
        <f t="shared" si="6"/>
        <v>10206.564999999999</v>
      </c>
      <c r="E18" s="29">
        <f t="shared" si="6"/>
        <v>12731.2</v>
      </c>
      <c r="F18" s="29">
        <f t="shared" si="6"/>
        <v>132868.19500000001</v>
      </c>
      <c r="G18" s="29">
        <f t="shared" si="6"/>
        <v>82717.69</v>
      </c>
      <c r="H18" s="171">
        <f t="shared" si="6"/>
        <v>155805.96</v>
      </c>
      <c r="I18" s="30"/>
      <c r="J18" s="31"/>
      <c r="K18" s="31"/>
      <c r="L18" s="32"/>
      <c r="M18" s="33"/>
      <c r="N18" s="34"/>
      <c r="O18" s="35"/>
      <c r="P18" s="7"/>
    </row>
    <row r="19" spans="1:16">
      <c r="A19" s="36" t="s">
        <v>11</v>
      </c>
      <c r="B19" s="37">
        <f>B18*200</f>
        <v>16387379</v>
      </c>
      <c r="C19" s="37">
        <f t="shared" ref="C19:H19" si="7">C18*200</f>
        <v>156159</v>
      </c>
      <c r="D19" s="37">
        <f t="shared" si="7"/>
        <v>2041312.9999999998</v>
      </c>
      <c r="E19" s="37">
        <f t="shared" si="7"/>
        <v>2546240</v>
      </c>
      <c r="F19" s="37">
        <f t="shared" si="7"/>
        <v>26573639</v>
      </c>
      <c r="G19" s="37">
        <f t="shared" si="7"/>
        <v>16543538</v>
      </c>
      <c r="H19" s="38">
        <f t="shared" si="7"/>
        <v>31161192</v>
      </c>
      <c r="I19" s="39" t="s">
        <v>8</v>
      </c>
      <c r="J19" s="40">
        <f>SUM(J6:J18)</f>
        <v>1079465.8544999999</v>
      </c>
      <c r="K19" s="41">
        <f>SUM(K6:K18)</f>
        <v>1939784.202</v>
      </c>
      <c r="L19" s="42">
        <f>SUM(L6:L17)</f>
        <v>3019250.0564999999</v>
      </c>
      <c r="M19" s="13" t="s">
        <v>11</v>
      </c>
      <c r="N19" s="43">
        <f>SUM(N6:N18)</f>
        <v>42624211</v>
      </c>
      <c r="O19" s="43">
        <f>SUM(O6:O18)</f>
        <v>7887648</v>
      </c>
      <c r="P19" s="44">
        <f>SUM(P6:P17)</f>
        <v>50511859</v>
      </c>
    </row>
    <row r="20" spans="1:16" ht="15.75" thickBot="1">
      <c r="A20" s="45"/>
      <c r="B20" s="46"/>
      <c r="C20" s="47"/>
      <c r="D20" s="48"/>
      <c r="E20" s="49"/>
      <c r="F20" s="50"/>
      <c r="G20" s="51" t="s">
        <v>13</v>
      </c>
      <c r="H20" s="52">
        <f>G19+H19</f>
        <v>47704730</v>
      </c>
      <c r="I20" s="53"/>
      <c r="J20" s="54"/>
      <c r="K20" s="55"/>
      <c r="L20" s="55"/>
      <c r="M20" s="33"/>
      <c r="N20" s="56"/>
      <c r="O20" s="55"/>
      <c r="P20" s="57"/>
    </row>
    <row r="21" spans="1:16" ht="20.25" thickBot="1">
      <c r="A21" s="211" t="s">
        <v>95</v>
      </c>
      <c r="B21" s="212"/>
      <c r="C21" s="213"/>
      <c r="D21" s="213"/>
      <c r="E21" s="213"/>
      <c r="F21" s="213"/>
      <c r="G21" s="213"/>
      <c r="H21" s="213"/>
      <c r="I21" s="213"/>
      <c r="J21" s="213"/>
      <c r="K21" s="213"/>
      <c r="L21" s="213"/>
      <c r="M21" s="213"/>
      <c r="N21" s="213"/>
      <c r="O21" s="213"/>
      <c r="P21" s="214"/>
    </row>
    <row r="22" spans="1:16">
      <c r="A22" s="61"/>
      <c r="B22" s="237" t="s">
        <v>14</v>
      </c>
      <c r="C22" s="238"/>
      <c r="D22" s="238"/>
      <c r="E22" s="238"/>
      <c r="F22" s="238"/>
      <c r="G22" s="239"/>
      <c r="H22" s="215" t="s">
        <v>15</v>
      </c>
      <c r="I22" s="216"/>
      <c r="J22" s="216"/>
      <c r="K22" s="217"/>
      <c r="L22" s="61"/>
    </row>
    <row r="23" spans="1:16">
      <c r="A23" s="61"/>
      <c r="B23" s="218" t="s">
        <v>16</v>
      </c>
      <c r="C23" s="219"/>
      <c r="D23" s="219" t="s">
        <v>17</v>
      </c>
      <c r="E23" s="219"/>
      <c r="F23" s="79" t="s">
        <v>18</v>
      </c>
      <c r="G23" s="63" t="s">
        <v>19</v>
      </c>
      <c r="H23" s="64" t="s">
        <v>20</v>
      </c>
      <c r="I23" s="64" t="s">
        <v>21</v>
      </c>
      <c r="J23" s="64" t="s">
        <v>22</v>
      </c>
      <c r="K23" s="65" t="s">
        <v>23</v>
      </c>
      <c r="L23" s="104" t="s">
        <v>24</v>
      </c>
      <c r="M23" s="106" t="s">
        <v>26</v>
      </c>
      <c r="N23" s="172" t="s">
        <v>27</v>
      </c>
    </row>
    <row r="24" spans="1:16">
      <c r="A24" s="66">
        <v>2015</v>
      </c>
      <c r="B24" s="220">
        <v>14403.35</v>
      </c>
      <c r="C24" s="220"/>
      <c r="D24" s="220"/>
      <c r="E24" s="220"/>
      <c r="F24" s="67"/>
      <c r="G24" s="80">
        <f>B24+E24+F24</f>
        <v>14403.35</v>
      </c>
      <c r="H24" s="68"/>
      <c r="I24" s="68">
        <v>7279.47</v>
      </c>
      <c r="J24" s="68"/>
      <c r="K24" s="88">
        <f t="shared" ref="K24:K36" si="8">H24+I24+J24</f>
        <v>7279.47</v>
      </c>
      <c r="L24" s="103">
        <f t="shared" ref="L24:L36" si="9">K24+G24</f>
        <v>21682.82</v>
      </c>
      <c r="M24" s="105">
        <v>48000</v>
      </c>
      <c r="N24" s="173">
        <f>M24-L24</f>
        <v>26317.18</v>
      </c>
    </row>
    <row r="25" spans="1:16">
      <c r="A25" s="17">
        <v>42370</v>
      </c>
      <c r="B25" s="210">
        <v>17946.3</v>
      </c>
      <c r="C25" s="210"/>
      <c r="D25" s="210">
        <v>321.48</v>
      </c>
      <c r="E25" s="210"/>
      <c r="F25" s="69">
        <v>2885.52</v>
      </c>
      <c r="G25" s="81">
        <f t="shared" ref="G25:G36" si="10">B25+D25+F25</f>
        <v>21153.3</v>
      </c>
      <c r="H25" s="70"/>
      <c r="I25" s="70"/>
      <c r="J25" s="70"/>
      <c r="K25" s="89">
        <f t="shared" si="8"/>
        <v>0</v>
      </c>
      <c r="L25" s="92">
        <f t="shared" si="9"/>
        <v>21153.3</v>
      </c>
      <c r="M25" s="100">
        <v>127500</v>
      </c>
      <c r="N25" s="173">
        <f t="shared" ref="N25:N62" si="11">M25-L25</f>
        <v>106346.7</v>
      </c>
    </row>
    <row r="26" spans="1:16">
      <c r="A26" s="17">
        <v>42401</v>
      </c>
      <c r="B26" s="209">
        <v>16669.25</v>
      </c>
      <c r="C26" s="209"/>
      <c r="D26" s="209">
        <v>1038.32</v>
      </c>
      <c r="E26" s="209"/>
      <c r="F26" s="69">
        <v>148869.57999999999</v>
      </c>
      <c r="G26" s="81">
        <f t="shared" si="10"/>
        <v>166577.15</v>
      </c>
      <c r="H26" s="70"/>
      <c r="I26" s="70"/>
      <c r="J26" s="70"/>
      <c r="K26" s="89">
        <f t="shared" si="8"/>
        <v>0</v>
      </c>
      <c r="L26" s="92">
        <f t="shared" si="9"/>
        <v>166577.15</v>
      </c>
      <c r="M26" s="100">
        <v>127500</v>
      </c>
      <c r="N26" s="173">
        <f t="shared" si="11"/>
        <v>-39077.149999999994</v>
      </c>
    </row>
    <row r="27" spans="1:16">
      <c r="A27" s="17">
        <v>42430</v>
      </c>
      <c r="B27" s="209">
        <v>13554.93</v>
      </c>
      <c r="C27" s="209"/>
      <c r="D27" s="209">
        <v>2072.52</v>
      </c>
      <c r="E27" s="209"/>
      <c r="F27" s="69">
        <v>122968.33</v>
      </c>
      <c r="G27" s="81">
        <f t="shared" si="10"/>
        <v>138595.78</v>
      </c>
      <c r="H27" s="70">
        <v>4047.84</v>
      </c>
      <c r="I27" s="70"/>
      <c r="J27" s="70"/>
      <c r="K27" s="89">
        <f t="shared" si="8"/>
        <v>4047.84</v>
      </c>
      <c r="L27" s="92">
        <f t="shared" si="9"/>
        <v>142643.62</v>
      </c>
      <c r="M27" s="100">
        <v>127500</v>
      </c>
      <c r="N27" s="173">
        <f t="shared" si="11"/>
        <v>-15143.619999999995</v>
      </c>
    </row>
    <row r="28" spans="1:16">
      <c r="A28" s="17">
        <v>42461</v>
      </c>
      <c r="B28" s="209">
        <v>19674.099999999999</v>
      </c>
      <c r="C28" s="209"/>
      <c r="D28" s="209">
        <v>4755.18</v>
      </c>
      <c r="E28" s="209"/>
      <c r="F28" s="69">
        <v>96301.89</v>
      </c>
      <c r="G28" s="81">
        <f t="shared" si="10"/>
        <v>120731.17</v>
      </c>
      <c r="H28" s="70">
        <v>395.66</v>
      </c>
      <c r="I28" s="70"/>
      <c r="J28" s="70"/>
      <c r="K28" s="89">
        <f t="shared" si="8"/>
        <v>395.66</v>
      </c>
      <c r="L28" s="92">
        <f t="shared" si="9"/>
        <v>121126.83</v>
      </c>
      <c r="M28" s="100">
        <v>127500</v>
      </c>
      <c r="N28" s="173">
        <f t="shared" si="11"/>
        <v>6373.1699999999983</v>
      </c>
    </row>
    <row r="29" spans="1:16">
      <c r="A29" s="17">
        <v>42491</v>
      </c>
      <c r="B29" s="209">
        <v>19685.47</v>
      </c>
      <c r="C29" s="209"/>
      <c r="D29" s="209">
        <v>13915.59</v>
      </c>
      <c r="E29" s="209"/>
      <c r="F29" s="69">
        <v>119732.24</v>
      </c>
      <c r="G29" s="81">
        <f t="shared" si="10"/>
        <v>153333.29999999999</v>
      </c>
      <c r="H29" s="70">
        <v>9918.44</v>
      </c>
      <c r="I29" s="70"/>
      <c r="J29" s="70"/>
      <c r="K29" s="89">
        <f t="shared" si="8"/>
        <v>9918.44</v>
      </c>
      <c r="L29" s="92">
        <f t="shared" si="9"/>
        <v>163251.74</v>
      </c>
      <c r="M29" s="100">
        <v>127500</v>
      </c>
      <c r="N29" s="173">
        <f t="shared" si="11"/>
        <v>-35751.739999999991</v>
      </c>
    </row>
    <row r="30" spans="1:16">
      <c r="A30" s="17">
        <v>42522</v>
      </c>
      <c r="B30" s="209">
        <v>18128</v>
      </c>
      <c r="C30" s="209"/>
      <c r="D30" s="209">
        <v>3715.21</v>
      </c>
      <c r="E30" s="209"/>
      <c r="F30" s="69">
        <v>81912.570000000007</v>
      </c>
      <c r="G30" s="81">
        <f t="shared" si="10"/>
        <v>103755.78</v>
      </c>
      <c r="H30" s="70">
        <v>9194.2099999999991</v>
      </c>
      <c r="I30" s="70"/>
      <c r="J30" s="70">
        <v>19319.75</v>
      </c>
      <c r="K30" s="89">
        <f t="shared" si="8"/>
        <v>28513.96</v>
      </c>
      <c r="L30" s="92">
        <f t="shared" si="9"/>
        <v>132269.74</v>
      </c>
      <c r="M30" s="100">
        <v>127500</v>
      </c>
      <c r="N30" s="173">
        <f t="shared" si="11"/>
        <v>-4769.7399999999907</v>
      </c>
    </row>
    <row r="31" spans="1:16">
      <c r="A31" s="17">
        <v>42552</v>
      </c>
      <c r="B31" s="209">
        <v>12724.71</v>
      </c>
      <c r="C31" s="209"/>
      <c r="D31" s="209"/>
      <c r="E31" s="209"/>
      <c r="F31" s="69">
        <v>86072.75</v>
      </c>
      <c r="G31" s="81">
        <f t="shared" si="10"/>
        <v>98797.459999999992</v>
      </c>
      <c r="H31" s="70">
        <v>25454.799999999999</v>
      </c>
      <c r="I31" s="70"/>
      <c r="J31" s="70"/>
      <c r="K31" s="89">
        <f t="shared" si="8"/>
        <v>25454.799999999999</v>
      </c>
      <c r="L31" s="92">
        <f t="shared" si="9"/>
        <v>124252.26</v>
      </c>
      <c r="M31" s="100">
        <v>127500</v>
      </c>
      <c r="N31" s="173">
        <f t="shared" si="11"/>
        <v>3247.7400000000052</v>
      </c>
    </row>
    <row r="32" spans="1:16">
      <c r="A32" s="17">
        <v>42583</v>
      </c>
      <c r="B32" s="209">
        <v>2060</v>
      </c>
      <c r="C32" s="209"/>
      <c r="D32" s="209"/>
      <c r="E32" s="209"/>
      <c r="F32" s="69">
        <v>75972.639999999999</v>
      </c>
      <c r="G32" s="81">
        <f t="shared" si="10"/>
        <v>78032.639999999999</v>
      </c>
      <c r="H32" s="70">
        <v>9416.86</v>
      </c>
      <c r="I32" s="70"/>
      <c r="J32" s="70">
        <v>119079.75</v>
      </c>
      <c r="K32" s="89">
        <f t="shared" si="8"/>
        <v>128496.61</v>
      </c>
      <c r="L32" s="92">
        <f t="shared" si="9"/>
        <v>206529.25</v>
      </c>
      <c r="M32" s="100">
        <v>127500</v>
      </c>
      <c r="N32" s="173">
        <f t="shared" si="11"/>
        <v>-79029.25</v>
      </c>
    </row>
    <row r="33" spans="1:14">
      <c r="A33" s="17">
        <v>42614</v>
      </c>
      <c r="B33" s="209">
        <v>4120</v>
      </c>
      <c r="C33" s="209"/>
      <c r="D33" s="209"/>
      <c r="E33" s="209"/>
      <c r="F33" s="69">
        <v>44287.64</v>
      </c>
      <c r="G33" s="81">
        <f t="shared" si="10"/>
        <v>48407.64</v>
      </c>
      <c r="H33" s="70">
        <v>3066.95</v>
      </c>
      <c r="I33" s="70"/>
      <c r="J33" s="70"/>
      <c r="K33" s="89">
        <f t="shared" si="8"/>
        <v>3066.95</v>
      </c>
      <c r="L33" s="92">
        <f t="shared" si="9"/>
        <v>51474.59</v>
      </c>
      <c r="M33" s="100">
        <v>127500</v>
      </c>
      <c r="N33" s="173">
        <f t="shared" si="11"/>
        <v>76025.41</v>
      </c>
    </row>
    <row r="34" spans="1:14">
      <c r="A34" s="17">
        <v>42644</v>
      </c>
      <c r="B34" s="209">
        <v>5541.39</v>
      </c>
      <c r="C34" s="209"/>
      <c r="D34" s="209"/>
      <c r="E34" s="209"/>
      <c r="F34" s="69">
        <v>42445.24</v>
      </c>
      <c r="G34" s="81">
        <f t="shared" si="10"/>
        <v>47986.63</v>
      </c>
      <c r="H34" s="70">
        <v>6044.81</v>
      </c>
      <c r="I34" s="70"/>
      <c r="J34" s="70"/>
      <c r="K34" s="89">
        <f t="shared" si="8"/>
        <v>6044.81</v>
      </c>
      <c r="L34" s="92">
        <f t="shared" si="9"/>
        <v>54031.439999999995</v>
      </c>
      <c r="M34" s="100">
        <v>127500</v>
      </c>
      <c r="N34" s="173">
        <f t="shared" si="11"/>
        <v>73468.56</v>
      </c>
    </row>
    <row r="35" spans="1:14">
      <c r="A35" s="17">
        <v>42675</v>
      </c>
      <c r="B35" s="209">
        <v>6222.93</v>
      </c>
      <c r="C35" s="209"/>
      <c r="D35" s="209"/>
      <c r="E35" s="209"/>
      <c r="F35" s="69">
        <v>21774.97</v>
      </c>
      <c r="G35" s="81">
        <f t="shared" si="10"/>
        <v>27997.9</v>
      </c>
      <c r="H35" s="70">
        <v>24250.15</v>
      </c>
      <c r="I35" s="70"/>
      <c r="J35" s="70"/>
      <c r="K35" s="89">
        <f t="shared" si="8"/>
        <v>24250.15</v>
      </c>
      <c r="L35" s="92">
        <f t="shared" si="9"/>
        <v>52248.05</v>
      </c>
      <c r="M35" s="100">
        <v>127500</v>
      </c>
      <c r="N35" s="173">
        <f t="shared" si="11"/>
        <v>75251.95</v>
      </c>
    </row>
    <row r="36" spans="1:14">
      <c r="A36" s="17">
        <v>42705</v>
      </c>
      <c r="B36" s="233">
        <v>4532</v>
      </c>
      <c r="C36" s="233"/>
      <c r="D36" s="233">
        <v>225.32</v>
      </c>
      <c r="E36" s="233"/>
      <c r="F36" s="69">
        <v>5748.79</v>
      </c>
      <c r="G36" s="81">
        <f t="shared" si="10"/>
        <v>10506.11</v>
      </c>
      <c r="H36" s="70">
        <v>11363.2</v>
      </c>
      <c r="I36" s="71"/>
      <c r="J36" s="71"/>
      <c r="K36" s="89">
        <f t="shared" si="8"/>
        <v>11363.2</v>
      </c>
      <c r="L36" s="84">
        <f t="shared" si="9"/>
        <v>21869.31</v>
      </c>
      <c r="M36" s="100">
        <v>128500</v>
      </c>
      <c r="N36" s="173">
        <f t="shared" si="11"/>
        <v>106630.69</v>
      </c>
    </row>
    <row r="37" spans="1:14">
      <c r="A37" s="66">
        <v>2016</v>
      </c>
      <c r="B37" s="220">
        <f>SUM(B25:B36)</f>
        <v>140859.08000000002</v>
      </c>
      <c r="C37" s="220"/>
      <c r="D37" s="220">
        <f>SUM(D25:D36)</f>
        <v>26043.62</v>
      </c>
      <c r="E37" s="220"/>
      <c r="F37" s="67">
        <f t="shared" ref="F37:L37" si="12">SUM(F25:F36)</f>
        <v>848972.16</v>
      </c>
      <c r="G37" s="82">
        <f t="shared" si="12"/>
        <v>1015874.86</v>
      </c>
      <c r="H37" s="73">
        <f t="shared" si="12"/>
        <v>103152.92</v>
      </c>
      <c r="I37" s="72">
        <f t="shared" si="12"/>
        <v>0</v>
      </c>
      <c r="J37" s="72">
        <f t="shared" si="12"/>
        <v>138399.5</v>
      </c>
      <c r="K37" s="90">
        <f t="shared" si="12"/>
        <v>241552.42</v>
      </c>
      <c r="L37" s="101">
        <f t="shared" si="12"/>
        <v>1257427.28</v>
      </c>
      <c r="M37" s="102">
        <f>SUM(M25:M36)</f>
        <v>1531000</v>
      </c>
      <c r="N37" s="173">
        <f>M37-L37</f>
        <v>273572.71999999997</v>
      </c>
    </row>
    <row r="38" spans="1:14">
      <c r="A38" s="17">
        <v>42736</v>
      </c>
      <c r="B38" s="234">
        <v>4784</v>
      </c>
      <c r="C38" s="234"/>
      <c r="D38" s="234">
        <v>5809.16</v>
      </c>
      <c r="E38" s="234"/>
      <c r="F38" s="74">
        <v>1998.01</v>
      </c>
      <c r="G38" s="83">
        <f t="shared" ref="G38:G62" si="13">B38+D38+F38</f>
        <v>12591.17</v>
      </c>
      <c r="H38" s="75">
        <v>2186.5300000000002</v>
      </c>
      <c r="I38" s="76"/>
      <c r="J38" s="70"/>
      <c r="K38" s="91">
        <f>H38+I38+J38</f>
        <v>2186.5300000000002</v>
      </c>
      <c r="L38" s="85">
        <f>K38+G38</f>
        <v>14777.7</v>
      </c>
      <c r="M38" s="100">
        <v>50000</v>
      </c>
      <c r="N38" s="173">
        <f t="shared" si="11"/>
        <v>35222.300000000003</v>
      </c>
    </row>
    <row r="39" spans="1:14">
      <c r="A39" s="17">
        <v>42767</v>
      </c>
      <c r="B39" s="235">
        <v>5200</v>
      </c>
      <c r="C39" s="235"/>
      <c r="D39" s="235">
        <v>1511.1</v>
      </c>
      <c r="E39" s="235"/>
      <c r="F39" s="74">
        <v>521.39</v>
      </c>
      <c r="G39" s="83">
        <f t="shared" si="13"/>
        <v>7232.4900000000007</v>
      </c>
      <c r="H39" s="75">
        <v>1451</v>
      </c>
      <c r="I39" s="76"/>
      <c r="J39" s="70"/>
      <c r="K39" s="91">
        <f>H39+I39+J39</f>
        <v>1451</v>
      </c>
      <c r="L39" s="85">
        <f>K39+G39</f>
        <v>8683.4900000000016</v>
      </c>
      <c r="M39" s="100">
        <v>50000</v>
      </c>
      <c r="N39" s="173">
        <f t="shared" si="11"/>
        <v>41316.509999999995</v>
      </c>
    </row>
    <row r="40" spans="1:14">
      <c r="A40" s="17">
        <v>42795</v>
      </c>
      <c r="B40" s="235">
        <v>6757.01</v>
      </c>
      <c r="C40" s="235"/>
      <c r="D40" s="235">
        <v>481.32</v>
      </c>
      <c r="E40" s="235"/>
      <c r="F40" s="74">
        <v>1519.05</v>
      </c>
      <c r="G40" s="83">
        <f t="shared" si="13"/>
        <v>8757.3799999999992</v>
      </c>
      <c r="H40" s="75">
        <v>8024.69</v>
      </c>
      <c r="I40" s="76"/>
      <c r="J40" s="70"/>
      <c r="K40" s="91">
        <f>H40+I40+J40</f>
        <v>8024.69</v>
      </c>
      <c r="L40" s="85">
        <f>K40+G40</f>
        <v>16782.07</v>
      </c>
      <c r="M40" s="100">
        <v>50000</v>
      </c>
      <c r="N40" s="173">
        <f t="shared" si="11"/>
        <v>33217.93</v>
      </c>
    </row>
    <row r="41" spans="1:14">
      <c r="A41" s="17">
        <v>42826</v>
      </c>
      <c r="B41" s="235">
        <v>3386</v>
      </c>
      <c r="C41" s="235"/>
      <c r="D41" s="235"/>
      <c r="E41" s="235"/>
      <c r="F41" s="74">
        <v>444.6</v>
      </c>
      <c r="G41" s="83">
        <f t="shared" si="13"/>
        <v>3830.6</v>
      </c>
      <c r="H41" s="75">
        <v>1888.93</v>
      </c>
      <c r="I41" s="76"/>
      <c r="J41" s="70"/>
      <c r="K41" s="91">
        <f>H41+I41+J41</f>
        <v>1888.93</v>
      </c>
      <c r="L41" s="85">
        <f>K41+G41</f>
        <v>5719.53</v>
      </c>
      <c r="M41" s="100">
        <v>50000</v>
      </c>
      <c r="N41" s="173">
        <f t="shared" si="11"/>
        <v>44280.47</v>
      </c>
    </row>
    <row r="42" spans="1:14">
      <c r="A42" s="17">
        <v>42856</v>
      </c>
      <c r="B42" s="235">
        <v>3731</v>
      </c>
      <c r="C42" s="235"/>
      <c r="D42" s="235"/>
      <c r="E42" s="235"/>
      <c r="F42" s="74">
        <v>37.049999999999997</v>
      </c>
      <c r="G42" s="83">
        <f t="shared" si="13"/>
        <v>3768.05</v>
      </c>
      <c r="H42" s="75">
        <v>833.33</v>
      </c>
      <c r="I42" s="70">
        <v>16.510000000000002</v>
      </c>
      <c r="J42" s="70">
        <v>20200</v>
      </c>
      <c r="K42" s="91">
        <f>H42+I42+J42</f>
        <v>21049.84</v>
      </c>
      <c r="L42" s="85">
        <f t="shared" ref="L42:L49" si="14">K42+G42</f>
        <v>24817.89</v>
      </c>
      <c r="M42" s="100">
        <v>50000</v>
      </c>
      <c r="N42" s="173">
        <f t="shared" si="11"/>
        <v>25182.11</v>
      </c>
    </row>
    <row r="43" spans="1:14">
      <c r="A43" s="17">
        <v>42887</v>
      </c>
      <c r="B43" s="235">
        <v>6216.56</v>
      </c>
      <c r="C43" s="235"/>
      <c r="D43" s="235">
        <v>6777.99</v>
      </c>
      <c r="E43" s="235"/>
      <c r="F43" s="74"/>
      <c r="G43" s="83">
        <f t="shared" si="13"/>
        <v>12994.55</v>
      </c>
      <c r="H43" s="75"/>
      <c r="I43" s="70"/>
      <c r="J43" s="70"/>
      <c r="K43" s="91">
        <f t="shared" ref="K43:K49" si="15">H43+I43+J43</f>
        <v>0</v>
      </c>
      <c r="L43" s="85">
        <f t="shared" si="14"/>
        <v>12994.55</v>
      </c>
      <c r="M43" s="100">
        <v>50000</v>
      </c>
      <c r="N43" s="173">
        <f t="shared" si="11"/>
        <v>37005.449999999997</v>
      </c>
    </row>
    <row r="44" spans="1:14">
      <c r="A44" s="17">
        <v>42917</v>
      </c>
      <c r="B44" s="235">
        <v>6788</v>
      </c>
      <c r="C44" s="235"/>
      <c r="D44" s="235">
        <v>-1072.0999999999999</v>
      </c>
      <c r="E44" s="235"/>
      <c r="F44" s="74"/>
      <c r="G44" s="83">
        <f t="shared" si="13"/>
        <v>5715.9</v>
      </c>
      <c r="H44" s="75"/>
      <c r="I44" s="70"/>
      <c r="J44" s="70">
        <v>50383</v>
      </c>
      <c r="K44" s="91">
        <f t="shared" si="15"/>
        <v>50383</v>
      </c>
      <c r="L44" s="85">
        <f t="shared" si="14"/>
        <v>56098.9</v>
      </c>
      <c r="M44" s="100">
        <v>50000</v>
      </c>
      <c r="N44" s="173">
        <f t="shared" si="11"/>
        <v>-6098.9000000000015</v>
      </c>
    </row>
    <row r="45" spans="1:14">
      <c r="A45" s="17">
        <v>42948</v>
      </c>
      <c r="B45" s="235">
        <v>5819.5</v>
      </c>
      <c r="C45" s="235"/>
      <c r="D45" s="235"/>
      <c r="E45" s="235"/>
      <c r="F45" s="74"/>
      <c r="G45" s="83">
        <f t="shared" si="13"/>
        <v>5819.5</v>
      </c>
      <c r="H45" s="75">
        <v>1051.73</v>
      </c>
      <c r="I45" s="70"/>
      <c r="J45" s="70">
        <v>12952</v>
      </c>
      <c r="K45" s="91">
        <f t="shared" si="15"/>
        <v>14003.73</v>
      </c>
      <c r="L45" s="85">
        <f t="shared" si="14"/>
        <v>19823.23</v>
      </c>
      <c r="M45" s="100">
        <v>50000</v>
      </c>
      <c r="N45" s="173">
        <f t="shared" si="11"/>
        <v>30176.77</v>
      </c>
    </row>
    <row r="46" spans="1:14">
      <c r="A46" s="17">
        <v>42979</v>
      </c>
      <c r="B46" s="235">
        <v>5946.56</v>
      </c>
      <c r="C46" s="235"/>
      <c r="D46" s="235"/>
      <c r="E46" s="235"/>
      <c r="F46" s="74"/>
      <c r="G46" s="83">
        <f t="shared" si="13"/>
        <v>5946.56</v>
      </c>
      <c r="H46" s="75">
        <v>5862.8</v>
      </c>
      <c r="I46" s="70">
        <v>1115.23</v>
      </c>
      <c r="J46" s="70">
        <v>12989</v>
      </c>
      <c r="K46" s="91">
        <f t="shared" si="15"/>
        <v>19967.03</v>
      </c>
      <c r="L46" s="85">
        <f t="shared" si="14"/>
        <v>25913.59</v>
      </c>
      <c r="M46" s="100">
        <v>50000</v>
      </c>
      <c r="N46" s="173">
        <f t="shared" si="11"/>
        <v>24086.41</v>
      </c>
    </row>
    <row r="47" spans="1:14">
      <c r="A47" s="17">
        <v>43009</v>
      </c>
      <c r="B47" s="235">
        <v>9051.77</v>
      </c>
      <c r="C47" s="235"/>
      <c r="D47" s="235"/>
      <c r="E47" s="235"/>
      <c r="F47" s="74"/>
      <c r="G47" s="83">
        <f t="shared" si="13"/>
        <v>9051.77</v>
      </c>
      <c r="H47" s="75"/>
      <c r="I47" s="70"/>
      <c r="J47" s="70">
        <v>10040</v>
      </c>
      <c r="K47" s="91">
        <f t="shared" si="15"/>
        <v>10040</v>
      </c>
      <c r="L47" s="85">
        <f t="shared" si="14"/>
        <v>19091.77</v>
      </c>
      <c r="M47" s="100">
        <v>50000</v>
      </c>
      <c r="N47" s="173">
        <f t="shared" si="11"/>
        <v>30908.23</v>
      </c>
    </row>
    <row r="48" spans="1:14">
      <c r="A48" s="17">
        <v>43040</v>
      </c>
      <c r="B48" s="235">
        <v>8882.7000000000007</v>
      </c>
      <c r="C48" s="235"/>
      <c r="D48" s="235"/>
      <c r="E48" s="235"/>
      <c r="F48" s="74"/>
      <c r="G48" s="83">
        <f t="shared" si="13"/>
        <v>8882.7000000000007</v>
      </c>
      <c r="H48" s="75">
        <v>464.19</v>
      </c>
      <c r="I48" s="70"/>
      <c r="J48" s="70">
        <v>12140.25</v>
      </c>
      <c r="K48" s="91">
        <f t="shared" si="15"/>
        <v>12604.44</v>
      </c>
      <c r="L48" s="85">
        <f t="shared" si="14"/>
        <v>21487.14</v>
      </c>
      <c r="M48" s="100">
        <v>50000</v>
      </c>
      <c r="N48" s="173">
        <f t="shared" si="11"/>
        <v>28512.86</v>
      </c>
    </row>
    <row r="49" spans="1:14">
      <c r="A49" s="17">
        <v>43070</v>
      </c>
      <c r="B49" s="244">
        <v>4180</v>
      </c>
      <c r="C49" s="244"/>
      <c r="D49" s="235">
        <v>73.61</v>
      </c>
      <c r="E49" s="235"/>
      <c r="F49" s="74"/>
      <c r="G49" s="83">
        <f t="shared" si="13"/>
        <v>4253.6099999999997</v>
      </c>
      <c r="H49" s="75">
        <v>26060.06</v>
      </c>
      <c r="I49" s="70">
        <v>26520.39</v>
      </c>
      <c r="J49" s="70">
        <v>7800</v>
      </c>
      <c r="K49" s="91">
        <f t="shared" si="15"/>
        <v>60380.45</v>
      </c>
      <c r="L49" s="85">
        <f t="shared" si="14"/>
        <v>64634.06</v>
      </c>
      <c r="M49" s="100">
        <v>51000</v>
      </c>
      <c r="N49" s="173">
        <f t="shared" si="11"/>
        <v>-13634.059999999998</v>
      </c>
    </row>
    <row r="50" spans="1:14">
      <c r="A50" s="66">
        <v>2017</v>
      </c>
      <c r="B50" s="220">
        <f>SUM(B38:B49)</f>
        <v>70743.100000000006</v>
      </c>
      <c r="C50" s="220"/>
      <c r="D50" s="220">
        <f>SUM(D38:D49)</f>
        <v>13581.08</v>
      </c>
      <c r="E50" s="220"/>
      <c r="F50" s="67">
        <f t="shared" ref="F50:L50" si="16">SUM(F38:F49)</f>
        <v>4520.1000000000004</v>
      </c>
      <c r="G50" s="82">
        <f t="shared" si="16"/>
        <v>88844.280000000013</v>
      </c>
      <c r="H50" s="73">
        <f t="shared" si="16"/>
        <v>47823.259999999995</v>
      </c>
      <c r="I50" s="72">
        <f t="shared" si="16"/>
        <v>27652.13</v>
      </c>
      <c r="J50" s="72">
        <f t="shared" si="16"/>
        <v>126504.25</v>
      </c>
      <c r="K50" s="90">
        <f t="shared" si="16"/>
        <v>201979.63999999996</v>
      </c>
      <c r="L50" s="101">
        <f t="shared" si="16"/>
        <v>290823.92</v>
      </c>
      <c r="M50" s="102">
        <f>SUM(M38:M49)</f>
        <v>601000</v>
      </c>
      <c r="N50" s="173">
        <f t="shared" si="11"/>
        <v>310176.08</v>
      </c>
    </row>
    <row r="51" spans="1:14">
      <c r="A51" s="17">
        <v>43101</v>
      </c>
      <c r="B51" s="235">
        <v>5606.5</v>
      </c>
      <c r="C51" s="235"/>
      <c r="D51" s="234"/>
      <c r="E51" s="234"/>
      <c r="F51" s="154"/>
      <c r="G51" s="155">
        <f t="shared" si="13"/>
        <v>5606.5</v>
      </c>
      <c r="H51" s="75"/>
      <c r="I51" s="70"/>
      <c r="J51" s="70">
        <v>10276.75</v>
      </c>
      <c r="K51" s="91">
        <f>H51+I51+J51</f>
        <v>10276.75</v>
      </c>
      <c r="L51" s="85">
        <f>K51+G51</f>
        <v>15883.25</v>
      </c>
      <c r="M51" s="100">
        <v>51000</v>
      </c>
      <c r="N51" s="173">
        <f t="shared" si="11"/>
        <v>35116.75</v>
      </c>
    </row>
    <row r="52" spans="1:14">
      <c r="A52" s="17">
        <v>43132</v>
      </c>
      <c r="B52" s="235">
        <v>5211</v>
      </c>
      <c r="C52" s="235"/>
      <c r="D52" s="235"/>
      <c r="E52" s="235"/>
      <c r="F52" s="154"/>
      <c r="G52" s="156">
        <f t="shared" si="13"/>
        <v>5211</v>
      </c>
      <c r="H52" s="75">
        <v>75</v>
      </c>
      <c r="I52" s="70"/>
      <c r="J52" s="70"/>
      <c r="K52" s="91">
        <f>H52+I52+J52</f>
        <v>75</v>
      </c>
      <c r="L52" s="85">
        <f>K52+G52</f>
        <v>5286</v>
      </c>
      <c r="M52" s="100">
        <v>51000</v>
      </c>
      <c r="N52" s="173">
        <f t="shared" si="11"/>
        <v>45714</v>
      </c>
    </row>
    <row r="53" spans="1:14">
      <c r="A53" s="17">
        <v>43160</v>
      </c>
      <c r="B53" s="235">
        <v>4399.5</v>
      </c>
      <c r="C53" s="235"/>
      <c r="D53" s="235"/>
      <c r="E53" s="235"/>
      <c r="F53" s="154"/>
      <c r="G53" s="156">
        <f t="shared" si="13"/>
        <v>4399.5</v>
      </c>
      <c r="H53" s="75"/>
      <c r="I53" s="70">
        <v>63.3</v>
      </c>
      <c r="J53" s="70">
        <v>12492.25</v>
      </c>
      <c r="K53" s="91">
        <f>H53+I53+J53</f>
        <v>12555.55</v>
      </c>
      <c r="L53" s="85">
        <f>K53+G53</f>
        <v>16955.05</v>
      </c>
      <c r="M53" s="100">
        <v>51000</v>
      </c>
      <c r="N53" s="173">
        <f t="shared" si="11"/>
        <v>34044.949999999997</v>
      </c>
    </row>
    <row r="54" spans="1:14">
      <c r="A54" s="17">
        <v>43191</v>
      </c>
      <c r="B54" s="235">
        <v>5935</v>
      </c>
      <c r="C54" s="235"/>
      <c r="D54" s="235">
        <v>0</v>
      </c>
      <c r="E54" s="235"/>
      <c r="F54" s="154"/>
      <c r="G54" s="156">
        <f t="shared" si="13"/>
        <v>5935</v>
      </c>
      <c r="H54" s="75">
        <v>1195.6199999999999</v>
      </c>
      <c r="I54" s="70">
        <v>9204.25</v>
      </c>
      <c r="J54" s="70">
        <v>5114</v>
      </c>
      <c r="K54" s="91">
        <f>H54+I54+J54</f>
        <v>15513.869999999999</v>
      </c>
      <c r="L54" s="85">
        <f>K54+G54</f>
        <v>21448.87</v>
      </c>
      <c r="M54" s="100">
        <v>51000</v>
      </c>
      <c r="N54" s="173">
        <f t="shared" si="11"/>
        <v>29551.13</v>
      </c>
    </row>
    <row r="55" spans="1:14">
      <c r="A55" s="17">
        <v>43221</v>
      </c>
      <c r="B55" s="235">
        <v>2860</v>
      </c>
      <c r="C55" s="235"/>
      <c r="D55" s="235"/>
      <c r="E55" s="235"/>
      <c r="F55" s="154"/>
      <c r="G55" s="156">
        <f t="shared" si="13"/>
        <v>2860</v>
      </c>
      <c r="H55" s="75">
        <v>1325.09</v>
      </c>
      <c r="I55" s="70">
        <v>15.83</v>
      </c>
      <c r="J55" s="70">
        <v>7092.25</v>
      </c>
      <c r="K55" s="91">
        <f>H55+I55+J55</f>
        <v>8433.17</v>
      </c>
      <c r="L55" s="85">
        <f t="shared" ref="L55:L62" si="17">K55+G55</f>
        <v>11293.17</v>
      </c>
      <c r="M55" s="100">
        <v>51000</v>
      </c>
      <c r="N55" s="173">
        <f t="shared" si="11"/>
        <v>39706.83</v>
      </c>
    </row>
    <row r="56" spans="1:14">
      <c r="A56" s="17">
        <v>43252</v>
      </c>
      <c r="B56" s="235">
        <v>6240.74</v>
      </c>
      <c r="C56" s="235"/>
      <c r="D56" s="235">
        <v>0</v>
      </c>
      <c r="E56" s="235"/>
      <c r="F56" s="154"/>
      <c r="G56" s="156">
        <f t="shared" si="13"/>
        <v>6240.74</v>
      </c>
      <c r="H56" s="75">
        <v>200</v>
      </c>
      <c r="I56" s="70">
        <v>1190.45</v>
      </c>
      <c r="J56" s="70">
        <v>2928</v>
      </c>
      <c r="K56" s="91">
        <f t="shared" ref="K56:K62" si="18">H56+I56+J56</f>
        <v>4318.45</v>
      </c>
      <c r="L56" s="85">
        <f t="shared" si="17"/>
        <v>10559.189999999999</v>
      </c>
      <c r="M56" s="100">
        <v>51000</v>
      </c>
      <c r="N56" s="173">
        <f t="shared" si="11"/>
        <v>40440.81</v>
      </c>
    </row>
    <row r="57" spans="1:14">
      <c r="A57" s="17">
        <v>43282</v>
      </c>
      <c r="B57" s="235">
        <v>5600</v>
      </c>
      <c r="C57" s="235"/>
      <c r="D57" s="235">
        <v>0</v>
      </c>
      <c r="E57" s="235"/>
      <c r="F57" s="154"/>
      <c r="G57" s="156">
        <f t="shared" si="13"/>
        <v>5600</v>
      </c>
      <c r="H57" s="75">
        <v>1701.65</v>
      </c>
      <c r="I57" s="70">
        <v>170</v>
      </c>
      <c r="J57" s="70">
        <v>10164.25</v>
      </c>
      <c r="K57" s="91">
        <f t="shared" si="18"/>
        <v>12035.9</v>
      </c>
      <c r="L57" s="85">
        <f t="shared" si="17"/>
        <v>17635.900000000001</v>
      </c>
      <c r="M57" s="100">
        <v>51000</v>
      </c>
      <c r="N57" s="173">
        <f t="shared" si="11"/>
        <v>33364.1</v>
      </c>
    </row>
    <row r="58" spans="1:14">
      <c r="A58" s="17">
        <v>43313</v>
      </c>
      <c r="B58" s="235">
        <v>7889.13</v>
      </c>
      <c r="C58" s="235"/>
      <c r="D58" s="235">
        <v>8604.2000000000007</v>
      </c>
      <c r="E58" s="235"/>
      <c r="F58" s="154"/>
      <c r="G58" s="156">
        <f t="shared" si="13"/>
        <v>16493.330000000002</v>
      </c>
      <c r="H58" s="75">
        <v>272.8</v>
      </c>
      <c r="I58" s="70">
        <v>0</v>
      </c>
      <c r="J58" s="70">
        <v>1040</v>
      </c>
      <c r="K58" s="91">
        <f t="shared" si="18"/>
        <v>1312.8</v>
      </c>
      <c r="L58" s="85">
        <f t="shared" si="17"/>
        <v>17806.13</v>
      </c>
      <c r="M58" s="100">
        <v>51000</v>
      </c>
      <c r="N58" s="173">
        <f t="shared" si="11"/>
        <v>33193.869999999995</v>
      </c>
    </row>
    <row r="59" spans="1:14">
      <c r="A59" s="17">
        <v>43344</v>
      </c>
      <c r="B59" s="235">
        <v>2418</v>
      </c>
      <c r="C59" s="235"/>
      <c r="D59" s="235">
        <v>204.06</v>
      </c>
      <c r="E59" s="235"/>
      <c r="F59" s="154"/>
      <c r="G59" s="156">
        <f t="shared" si="13"/>
        <v>2622.06</v>
      </c>
      <c r="H59" s="75">
        <v>0</v>
      </c>
      <c r="I59" s="70">
        <v>0</v>
      </c>
      <c r="J59" s="70">
        <v>8649.75</v>
      </c>
      <c r="K59" s="91">
        <f t="shared" si="18"/>
        <v>8649.75</v>
      </c>
      <c r="L59" s="85">
        <f t="shared" si="17"/>
        <v>11271.81</v>
      </c>
      <c r="M59" s="100">
        <v>51000</v>
      </c>
      <c r="N59" s="173">
        <f t="shared" si="11"/>
        <v>39728.19</v>
      </c>
    </row>
    <row r="60" spans="1:14">
      <c r="A60" s="17">
        <v>43374</v>
      </c>
      <c r="B60" s="235">
        <v>2687.74</v>
      </c>
      <c r="C60" s="235"/>
      <c r="D60" s="235">
        <v>0</v>
      </c>
      <c r="E60" s="235"/>
      <c r="F60" s="154"/>
      <c r="G60" s="156">
        <f t="shared" si="13"/>
        <v>2687.74</v>
      </c>
      <c r="H60" s="75">
        <v>799.7</v>
      </c>
      <c r="I60" s="70">
        <v>0</v>
      </c>
      <c r="J60" s="70">
        <v>17086.5</v>
      </c>
      <c r="K60" s="91">
        <f t="shared" si="18"/>
        <v>17886.2</v>
      </c>
      <c r="L60" s="85">
        <f t="shared" si="17"/>
        <v>20573.940000000002</v>
      </c>
      <c r="M60" s="100">
        <v>51000</v>
      </c>
      <c r="N60" s="173">
        <f t="shared" si="11"/>
        <v>30426.059999999998</v>
      </c>
    </row>
    <row r="61" spans="1:14">
      <c r="A61" s="17">
        <v>43405</v>
      </c>
      <c r="B61" s="235">
        <v>5867.28</v>
      </c>
      <c r="C61" s="235"/>
      <c r="D61" s="235">
        <v>0</v>
      </c>
      <c r="E61" s="235"/>
      <c r="F61" s="154"/>
      <c r="G61" s="156">
        <f t="shared" si="13"/>
        <v>5867.28</v>
      </c>
      <c r="H61" s="75">
        <v>0</v>
      </c>
      <c r="I61" s="70">
        <v>0</v>
      </c>
      <c r="J61" s="70">
        <v>0</v>
      </c>
      <c r="K61" s="91">
        <f t="shared" si="18"/>
        <v>0</v>
      </c>
      <c r="L61" s="85">
        <f t="shared" si="17"/>
        <v>5867.28</v>
      </c>
      <c r="M61" s="100">
        <v>51000</v>
      </c>
      <c r="N61" s="173">
        <f t="shared" si="11"/>
        <v>45132.72</v>
      </c>
    </row>
    <row r="62" spans="1:14">
      <c r="A62" s="17">
        <v>43435</v>
      </c>
      <c r="B62" s="235">
        <v>137.5</v>
      </c>
      <c r="C62" s="235"/>
      <c r="D62" s="235">
        <v>0</v>
      </c>
      <c r="E62" s="235"/>
      <c r="F62" s="154"/>
      <c r="G62" s="157">
        <f t="shared" si="13"/>
        <v>137.5</v>
      </c>
      <c r="H62" s="75">
        <v>7708.57</v>
      </c>
      <c r="I62" s="70">
        <v>0</v>
      </c>
      <c r="J62" s="70">
        <v>8559.82</v>
      </c>
      <c r="K62" s="91">
        <f t="shared" si="18"/>
        <v>16268.39</v>
      </c>
      <c r="L62" s="85">
        <f t="shared" si="17"/>
        <v>16405.89</v>
      </c>
      <c r="M62" s="100">
        <v>51000</v>
      </c>
      <c r="N62" s="173">
        <f t="shared" si="11"/>
        <v>34594.11</v>
      </c>
    </row>
    <row r="63" spans="1:14">
      <c r="A63" s="66">
        <v>2018</v>
      </c>
      <c r="B63" s="220">
        <f>SUM(B51:B62)</f>
        <v>54852.389999999992</v>
      </c>
      <c r="C63" s="220"/>
      <c r="D63" s="220">
        <f>SUM(D51:D62)</f>
        <v>8808.26</v>
      </c>
      <c r="E63" s="220"/>
      <c r="F63" s="67">
        <f t="shared" ref="F63:L63" si="19">SUM(F51:F62)</f>
        <v>0</v>
      </c>
      <c r="G63" s="82">
        <f t="shared" si="19"/>
        <v>63660.649999999994</v>
      </c>
      <c r="H63" s="73">
        <f t="shared" si="19"/>
        <v>13278.43</v>
      </c>
      <c r="I63" s="72">
        <f t="shared" si="19"/>
        <v>10643.83</v>
      </c>
      <c r="J63" s="72">
        <f t="shared" si="19"/>
        <v>83403.570000000007</v>
      </c>
      <c r="K63" s="90">
        <f t="shared" si="19"/>
        <v>107325.82999999999</v>
      </c>
      <c r="L63" s="101">
        <f t="shared" si="19"/>
        <v>170986.47999999998</v>
      </c>
      <c r="M63" s="102">
        <f>SUM(M51:M62)</f>
        <v>612000</v>
      </c>
      <c r="N63" s="173">
        <f t="shared" ref="N63" si="20">M63-L63</f>
        <v>441013.52</v>
      </c>
    </row>
    <row r="64" spans="1:14">
      <c r="A64" s="61"/>
      <c r="B64" s="62"/>
      <c r="F64" s="62"/>
      <c r="G64" s="95"/>
      <c r="H64" s="62"/>
      <c r="I64" s="62"/>
      <c r="J64" s="62"/>
      <c r="K64" s="97"/>
      <c r="L64" s="93"/>
      <c r="M64" s="99"/>
      <c r="N64" s="99"/>
    </row>
    <row r="65" spans="1:14">
      <c r="A65" s="77" t="s">
        <v>25</v>
      </c>
      <c r="B65" s="236">
        <f>B24+B37+B50+B63</f>
        <v>280857.92000000004</v>
      </c>
      <c r="C65" s="236"/>
      <c r="D65" s="236">
        <f>D24+D37+D50+D63</f>
        <v>48432.959999999999</v>
      </c>
      <c r="E65" s="236"/>
      <c r="F65" s="100">
        <f t="shared" ref="F65:J65" si="21">F50+F37+F24+F63</f>
        <v>853492.26</v>
      </c>
      <c r="G65" s="96">
        <f>G24+G37+G50+G63</f>
        <v>1182783.1399999999</v>
      </c>
      <c r="H65" s="100">
        <f t="shared" si="21"/>
        <v>164254.60999999999</v>
      </c>
      <c r="I65" s="100">
        <f t="shared" si="21"/>
        <v>45575.43</v>
      </c>
      <c r="J65" s="100">
        <f t="shared" si="21"/>
        <v>348307.32</v>
      </c>
      <c r="K65" s="100">
        <f>K50+K37+K24+K63</f>
        <v>558137.35999999987</v>
      </c>
      <c r="L65" s="94">
        <f>L24+L37+L50+L63</f>
        <v>1740920.5</v>
      </c>
      <c r="M65" s="100">
        <f>M50+M37+M24+M63</f>
        <v>2792000</v>
      </c>
      <c r="N65" s="100">
        <f>N50+N37+N24+N63</f>
        <v>1051079.5</v>
      </c>
    </row>
    <row r="66" spans="1:14">
      <c r="M66" s="174" t="s">
        <v>54</v>
      </c>
      <c r="N66" s="100">
        <f>N65-B69-B70-B71-B72+B74+B75</f>
        <v>927251.32000000007</v>
      </c>
    </row>
    <row r="67" spans="1:14">
      <c r="M67" s="174"/>
      <c r="N67" s="100"/>
    </row>
    <row r="68" spans="1:14" ht="19.5">
      <c r="A68" s="240" t="s">
        <v>28</v>
      </c>
      <c r="B68" s="241"/>
      <c r="D68" s="247" t="s">
        <v>40</v>
      </c>
      <c r="E68" s="248"/>
      <c r="F68" s="248"/>
      <c r="G68" s="248"/>
    </row>
    <row r="69" spans="1:14" ht="15.6" customHeight="1">
      <c r="A69" s="108">
        <v>2015</v>
      </c>
      <c r="B69" s="74">
        <v>40.200000000000003</v>
      </c>
      <c r="D69" s="159"/>
      <c r="E69" s="160"/>
      <c r="F69" s="160"/>
      <c r="G69" s="161"/>
    </row>
    <row r="70" spans="1:14">
      <c r="A70" s="144">
        <v>2016</v>
      </c>
      <c r="B70" s="69">
        <v>32832.730000000003</v>
      </c>
      <c r="D70" s="45"/>
      <c r="E70" s="141">
        <v>2017</v>
      </c>
      <c r="F70" s="141">
        <v>2018</v>
      </c>
      <c r="G70" s="165" t="s">
        <v>48</v>
      </c>
    </row>
    <row r="71" spans="1:14">
      <c r="A71" s="144">
        <v>2017</v>
      </c>
      <c r="B71" s="69">
        <v>58533.86</v>
      </c>
      <c r="D71" s="17" t="s">
        <v>104</v>
      </c>
      <c r="E71" s="158">
        <v>71641.881599999993</v>
      </c>
      <c r="F71" s="158">
        <v>133647.984</v>
      </c>
      <c r="G71" s="166">
        <f>SUM(E71:F71)</f>
        <v>205289.86559999999</v>
      </c>
    </row>
    <row r="72" spans="1:14">
      <c r="A72" s="144">
        <v>2018</v>
      </c>
      <c r="B72" s="69">
        <v>66021.39</v>
      </c>
      <c r="D72" s="17" t="s">
        <v>105</v>
      </c>
      <c r="E72" s="158">
        <v>103217.232</v>
      </c>
      <c r="F72" s="158">
        <v>160511.21</v>
      </c>
      <c r="G72" s="166">
        <f t="shared" ref="G72:G82" si="22">SUM(E72:F72)</f>
        <v>263728.44199999998</v>
      </c>
    </row>
    <row r="73" spans="1:14" ht="19.5">
      <c r="A73" s="245" t="s">
        <v>29</v>
      </c>
      <c r="B73" s="246"/>
      <c r="D73" s="17" t="s">
        <v>106</v>
      </c>
      <c r="E73" s="158">
        <v>184422.94560000001</v>
      </c>
      <c r="F73" s="158">
        <v>218879.92480000001</v>
      </c>
      <c r="G73" s="166">
        <f t="shared" si="22"/>
        <v>403302.87040000001</v>
      </c>
    </row>
    <row r="74" spans="1:14">
      <c r="A74" s="145">
        <v>2017</v>
      </c>
      <c r="B74" s="146">
        <v>16050</v>
      </c>
      <c r="D74" s="17" t="s">
        <v>107</v>
      </c>
      <c r="E74" s="158">
        <v>240114.48480000001</v>
      </c>
      <c r="F74" s="158">
        <v>245234.62239999999</v>
      </c>
      <c r="G74" s="166">
        <f t="shared" si="22"/>
        <v>485349.10719999997</v>
      </c>
    </row>
    <row r="75" spans="1:14">
      <c r="A75" s="162">
        <v>2018</v>
      </c>
      <c r="B75" s="163">
        <v>17550</v>
      </c>
      <c r="D75" s="17" t="s">
        <v>108</v>
      </c>
      <c r="E75" s="158">
        <v>307594.83840000001</v>
      </c>
      <c r="F75" s="158">
        <v>289271.40639999998</v>
      </c>
      <c r="G75" s="166">
        <f t="shared" si="22"/>
        <v>596866.24479999999</v>
      </c>
    </row>
    <row r="76" spans="1:14">
      <c r="D76" s="17" t="s">
        <v>109</v>
      </c>
      <c r="E76" s="158">
        <v>343369.848</v>
      </c>
      <c r="F76" s="158">
        <v>357936.80320000002</v>
      </c>
      <c r="G76" s="166">
        <f t="shared" si="22"/>
        <v>701306.65119999996</v>
      </c>
    </row>
    <row r="77" spans="1:14">
      <c r="D77" s="17" t="s">
        <v>110</v>
      </c>
      <c r="E77" s="158">
        <v>294802.82400000002</v>
      </c>
      <c r="F77" s="158">
        <v>296439.69280000002</v>
      </c>
      <c r="G77" s="166">
        <f t="shared" si="22"/>
        <v>591242.5168000001</v>
      </c>
    </row>
    <row r="78" spans="1:14">
      <c r="D78" s="17" t="s">
        <v>111</v>
      </c>
      <c r="E78" s="158">
        <v>276616.23360000004</v>
      </c>
      <c r="F78" s="158">
        <v>274808.21919999999</v>
      </c>
      <c r="G78" s="166">
        <f t="shared" si="22"/>
        <v>551424.45280000009</v>
      </c>
    </row>
    <row r="79" spans="1:14">
      <c r="D79" s="17" t="s">
        <v>112</v>
      </c>
      <c r="E79" s="158">
        <v>224961.41279999999</v>
      </c>
      <c r="F79" s="158">
        <v>278233.408</v>
      </c>
      <c r="G79" s="166">
        <f t="shared" si="22"/>
        <v>503194.82079999999</v>
      </c>
    </row>
    <row r="80" spans="1:14">
      <c r="D80" s="17" t="s">
        <v>113</v>
      </c>
      <c r="E80" s="158">
        <v>227837.5344</v>
      </c>
      <c r="F80" s="158">
        <v>179731.15359999999</v>
      </c>
      <c r="G80" s="166">
        <f t="shared" si="22"/>
        <v>407568.68799999997</v>
      </c>
    </row>
    <row r="81" spans="4:7">
      <c r="D81" s="17" t="s">
        <v>114</v>
      </c>
      <c r="E81" s="158">
        <v>136140.03840000002</v>
      </c>
      <c r="F81" s="158">
        <v>146292.016</v>
      </c>
      <c r="G81" s="166">
        <f t="shared" si="22"/>
        <v>282432.05440000002</v>
      </c>
    </row>
    <row r="82" spans="4:7">
      <c r="D82" s="17" t="s">
        <v>115</v>
      </c>
      <c r="E82" s="158">
        <v>129102.16799999999</v>
      </c>
      <c r="F82" s="158">
        <v>85459.71</v>
      </c>
      <c r="G82" s="166">
        <f t="shared" si="22"/>
        <v>214561.878</v>
      </c>
    </row>
    <row r="83" spans="4:7">
      <c r="D83" s="45"/>
      <c r="E83" s="46"/>
      <c r="F83" s="46"/>
      <c r="G83" s="57"/>
    </row>
    <row r="84" spans="4:7">
      <c r="D84" s="142" t="s">
        <v>45</v>
      </c>
      <c r="E84" s="143">
        <f>SUM(E71:E83)</f>
        <v>2539821.4416</v>
      </c>
      <c r="F84" s="143">
        <f>SUM(F71:F83)</f>
        <v>2666446.1503999997</v>
      </c>
      <c r="G84" s="167">
        <f>SUM(G71:G83)</f>
        <v>5206267.5919999992</v>
      </c>
    </row>
  </sheetData>
  <mergeCells count="97">
    <mergeCell ref="D56:E56"/>
    <mergeCell ref="D68:G68"/>
    <mergeCell ref="D57:E57"/>
    <mergeCell ref="D58:E58"/>
    <mergeCell ref="D59:E59"/>
    <mergeCell ref="D60:E60"/>
    <mergeCell ref="D61:E61"/>
    <mergeCell ref="D62:E62"/>
    <mergeCell ref="A68:B68"/>
    <mergeCell ref="A73:B73"/>
    <mergeCell ref="B51:C51"/>
    <mergeCell ref="B52:C52"/>
    <mergeCell ref="B53:C53"/>
    <mergeCell ref="B54:C54"/>
    <mergeCell ref="B55:C55"/>
    <mergeCell ref="B56:C56"/>
    <mergeCell ref="B61:C61"/>
    <mergeCell ref="B62:C62"/>
    <mergeCell ref="B63:C63"/>
    <mergeCell ref="B49:C49"/>
    <mergeCell ref="D49:E49"/>
    <mergeCell ref="B50:C50"/>
    <mergeCell ref="D50:E50"/>
    <mergeCell ref="B65:C65"/>
    <mergeCell ref="D65:E65"/>
    <mergeCell ref="B57:C57"/>
    <mergeCell ref="B58:C58"/>
    <mergeCell ref="B59:C59"/>
    <mergeCell ref="B60:C60"/>
    <mergeCell ref="D63:E63"/>
    <mergeCell ref="D51:E51"/>
    <mergeCell ref="D52:E52"/>
    <mergeCell ref="D53:E53"/>
    <mergeCell ref="D54:E54"/>
    <mergeCell ref="D55:E55"/>
    <mergeCell ref="B46:C46"/>
    <mergeCell ref="D46:E46"/>
    <mergeCell ref="B47:C47"/>
    <mergeCell ref="D47:E47"/>
    <mergeCell ref="B48:C48"/>
    <mergeCell ref="D48:E48"/>
    <mergeCell ref="B43:C43"/>
    <mergeCell ref="D43:E43"/>
    <mergeCell ref="B44:C44"/>
    <mergeCell ref="D44:E44"/>
    <mergeCell ref="B45:C45"/>
    <mergeCell ref="D45:E45"/>
    <mergeCell ref="B40:C40"/>
    <mergeCell ref="D40:E40"/>
    <mergeCell ref="B41:C41"/>
    <mergeCell ref="D41:E41"/>
    <mergeCell ref="B42:C42"/>
    <mergeCell ref="D42:E42"/>
    <mergeCell ref="B37:C37"/>
    <mergeCell ref="D37:E37"/>
    <mergeCell ref="B38:C38"/>
    <mergeCell ref="D38:E38"/>
    <mergeCell ref="B39:C39"/>
    <mergeCell ref="D39:E39"/>
    <mergeCell ref="B34:C34"/>
    <mergeCell ref="D34:E34"/>
    <mergeCell ref="B35:C35"/>
    <mergeCell ref="D35:E35"/>
    <mergeCell ref="B36:C36"/>
    <mergeCell ref="D36:E36"/>
    <mergeCell ref="B31:C31"/>
    <mergeCell ref="D31:E31"/>
    <mergeCell ref="B32:C32"/>
    <mergeCell ref="D32:E32"/>
    <mergeCell ref="B33:C33"/>
    <mergeCell ref="D33:E33"/>
    <mergeCell ref="B28:C28"/>
    <mergeCell ref="D28:E28"/>
    <mergeCell ref="B29:C29"/>
    <mergeCell ref="D29:E29"/>
    <mergeCell ref="B30:C30"/>
    <mergeCell ref="D30:E30"/>
    <mergeCell ref="B25:C25"/>
    <mergeCell ref="D25:E25"/>
    <mergeCell ref="B26:C26"/>
    <mergeCell ref="D26:E26"/>
    <mergeCell ref="B27:C27"/>
    <mergeCell ref="D27:E27"/>
    <mergeCell ref="B24:C24"/>
    <mergeCell ref="D24:E24"/>
    <mergeCell ref="A1:P1"/>
    <mergeCell ref="A3:H3"/>
    <mergeCell ref="I3:L3"/>
    <mergeCell ref="M3:P3"/>
    <mergeCell ref="B4:C4"/>
    <mergeCell ref="D4:F4"/>
    <mergeCell ref="G4:H4"/>
    <mergeCell ref="A21:P21"/>
    <mergeCell ref="B22:G22"/>
    <mergeCell ref="H22:K22"/>
    <mergeCell ref="B23:C23"/>
    <mergeCell ref="D23:E23"/>
  </mergeCells>
  <conditionalFormatting sqref="N24:N65">
    <cfRule type="colorScale" priority="2">
      <colorScale>
        <cfvo type="min"/>
        <cfvo type="max"/>
        <color rgb="FFFCFCFF"/>
        <color rgb="FF63BE7B"/>
      </colorScale>
    </cfRule>
  </conditionalFormatting>
  <conditionalFormatting sqref="N66:N67">
    <cfRule type="colorScale" priority="1">
      <colorScale>
        <cfvo type="min"/>
        <cfvo type="max"/>
        <color rgb="FFFCFCFF"/>
        <color rgb="FF63BE7B"/>
      </colorScale>
    </cfRule>
  </conditionalFormatting>
  <pageMargins left="0.7" right="0.7" top="0.75" bottom="0.75" header="0.3" footer="0.3"/>
  <pageSetup paperSize="3" scale="54" orientation="landscape" r:id="rId1"/>
  <ignoredErrors>
    <ignoredError sqref="G65 L65 G50:N50" formula="1"/>
    <ignoredError sqref="B37:N41 B4:P18 E84:G8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selection activeCell="H40" sqref="H40"/>
    </sheetView>
  </sheetViews>
  <sheetFormatPr defaultRowHeight="15"/>
  <cols>
    <col min="1" max="1" width="99" bestFit="1" customWidth="1"/>
    <col min="2" max="2" width="7.28515625" bestFit="1" customWidth="1"/>
    <col min="3" max="3" width="6.7109375" bestFit="1" customWidth="1"/>
    <col min="5" max="5" width="31.28515625" bestFit="1" customWidth="1"/>
    <col min="6" max="6" width="12.5703125" bestFit="1" customWidth="1"/>
    <col min="7" max="7" width="16.7109375" bestFit="1" customWidth="1"/>
  </cols>
  <sheetData>
    <row r="1" spans="1:7" ht="32.25">
      <c r="A1" s="221" t="s">
        <v>61</v>
      </c>
      <c r="B1" s="222"/>
      <c r="C1" s="222"/>
      <c r="D1" s="222"/>
      <c r="E1" s="222"/>
      <c r="F1" s="222"/>
      <c r="G1" s="190" t="s">
        <v>86</v>
      </c>
    </row>
    <row r="3" spans="1:7">
      <c r="A3" s="177" t="s">
        <v>62</v>
      </c>
      <c r="B3" s="177" t="s">
        <v>63</v>
      </c>
    </row>
    <row r="4" spans="1:7">
      <c r="A4" t="s">
        <v>64</v>
      </c>
      <c r="B4" s="62">
        <v>16</v>
      </c>
    </row>
    <row r="5" spans="1:7">
      <c r="A5" s="178" t="s">
        <v>65</v>
      </c>
      <c r="B5" s="179">
        <v>6</v>
      </c>
    </row>
    <row r="6" spans="1:7">
      <c r="A6" t="s">
        <v>66</v>
      </c>
      <c r="B6" s="62">
        <f>B4*B5</f>
        <v>96</v>
      </c>
    </row>
    <row r="8" spans="1:7">
      <c r="A8" t="s">
        <v>67</v>
      </c>
      <c r="B8" s="62">
        <v>8</v>
      </c>
    </row>
    <row r="9" spans="1:7">
      <c r="A9" s="178" t="s">
        <v>68</v>
      </c>
      <c r="B9" s="179">
        <v>6</v>
      </c>
    </row>
    <row r="10" spans="1:7">
      <c r="A10" t="s">
        <v>66</v>
      </c>
      <c r="B10" s="62">
        <f>B8*B9</f>
        <v>48</v>
      </c>
    </row>
    <row r="11" spans="1:7">
      <c r="A11" s="178" t="s">
        <v>69</v>
      </c>
      <c r="B11" s="179">
        <v>24</v>
      </c>
    </row>
    <row r="12" spans="1:7">
      <c r="A12" t="s">
        <v>66</v>
      </c>
      <c r="B12" s="62">
        <f>B10+B11</f>
        <v>72</v>
      </c>
    </row>
    <row r="13" spans="1:7">
      <c r="B13" s="62"/>
    </row>
    <row r="14" spans="1:7">
      <c r="A14" t="s">
        <v>70</v>
      </c>
      <c r="B14" s="62">
        <f>B6+B12</f>
        <v>168</v>
      </c>
    </row>
    <row r="15" spans="1:7">
      <c r="A15" t="s">
        <v>71</v>
      </c>
      <c r="B15" s="62">
        <v>168</v>
      </c>
    </row>
    <row r="16" spans="1:7">
      <c r="B16" s="62"/>
    </row>
    <row r="17" spans="1:6">
      <c r="A17" t="s">
        <v>72</v>
      </c>
      <c r="B17" s="62"/>
    </row>
    <row r="19" spans="1:6">
      <c r="B19" s="180"/>
      <c r="C19" s="181"/>
      <c r="D19" s="180"/>
      <c r="E19" s="62"/>
      <c r="F19" s="180"/>
    </row>
    <row r="20" spans="1:6">
      <c r="A20" s="182" t="s">
        <v>73</v>
      </c>
      <c r="B20" s="179" t="s">
        <v>74</v>
      </c>
      <c r="C20" s="183" t="s">
        <v>75</v>
      </c>
      <c r="D20" s="179" t="s">
        <v>76</v>
      </c>
      <c r="E20" s="179" t="s">
        <v>77</v>
      </c>
      <c r="F20" s="179" t="s">
        <v>78</v>
      </c>
    </row>
    <row r="21" spans="1:6">
      <c r="A21" t="s">
        <v>79</v>
      </c>
      <c r="B21" s="180">
        <v>0.56999999999999995</v>
      </c>
      <c r="C21" s="184">
        <v>1.6859999999999999</v>
      </c>
      <c r="D21" s="180">
        <f>B21*C21</f>
        <v>0.96101999999999987</v>
      </c>
      <c r="E21" s="62">
        <f>8/12</f>
        <v>0.66666666666666663</v>
      </c>
      <c r="F21" s="180">
        <f>D21*E21</f>
        <v>0.64067999999999992</v>
      </c>
    </row>
    <row r="22" spans="1:6">
      <c r="A22" t="s">
        <v>80</v>
      </c>
      <c r="B22" s="180">
        <v>0.43</v>
      </c>
      <c r="C22" s="184">
        <v>1.59</v>
      </c>
      <c r="D22" s="180">
        <f t="shared" ref="D22" si="0">B22*C22</f>
        <v>0.68369999999999997</v>
      </c>
      <c r="E22" s="62">
        <f>8/12</f>
        <v>0.66666666666666663</v>
      </c>
      <c r="F22" s="180">
        <f>D22*E22</f>
        <v>0.45579999999999998</v>
      </c>
    </row>
    <row r="23" spans="1:6">
      <c r="B23" s="180"/>
      <c r="C23" s="181"/>
      <c r="D23" s="180"/>
      <c r="E23" s="62"/>
      <c r="F23" s="180"/>
    </row>
    <row r="24" spans="1:6">
      <c r="A24" s="182" t="s">
        <v>81</v>
      </c>
      <c r="B24" s="179" t="s">
        <v>74</v>
      </c>
      <c r="C24" s="183" t="s">
        <v>75</v>
      </c>
      <c r="D24" s="179" t="s">
        <v>76</v>
      </c>
      <c r="E24" s="179" t="s">
        <v>82</v>
      </c>
      <c r="F24" s="179" t="s">
        <v>78</v>
      </c>
    </row>
    <row r="25" spans="1:6">
      <c r="A25" t="s">
        <v>79</v>
      </c>
      <c r="B25" s="180">
        <f>B6/B14</f>
        <v>0.5714285714285714</v>
      </c>
      <c r="C25" s="184">
        <v>1.8260000000000001</v>
      </c>
      <c r="D25" s="180">
        <f>B25*C25</f>
        <v>1.0434285714285714</v>
      </c>
      <c r="E25" s="62">
        <f>4/12</f>
        <v>0.33333333333333331</v>
      </c>
      <c r="F25" s="180">
        <f>D25*E25</f>
        <v>0.34780952380952379</v>
      </c>
    </row>
    <row r="26" spans="1:6">
      <c r="A26" t="s">
        <v>80</v>
      </c>
      <c r="B26" s="180">
        <f>B12/B14</f>
        <v>0.42857142857142855</v>
      </c>
      <c r="C26" s="184">
        <v>1.1279999999999999</v>
      </c>
      <c r="D26" s="180">
        <f t="shared" ref="D26" si="1">B26*C26</f>
        <v>0.48342857142857137</v>
      </c>
      <c r="E26" s="62">
        <f>4/12</f>
        <v>0.33333333333333331</v>
      </c>
      <c r="F26" s="180">
        <f>D26*E26</f>
        <v>0.16114285714285712</v>
      </c>
    </row>
    <row r="27" spans="1:6" ht="15.75" thickBot="1">
      <c r="C27" s="185"/>
      <c r="D27" s="186"/>
      <c r="E27" s="193" t="s">
        <v>91</v>
      </c>
      <c r="F27" s="137">
        <v>1730390</v>
      </c>
    </row>
    <row r="28" spans="1:6" ht="15.75" thickTop="1"/>
    <row r="29" spans="1:6" ht="15.75" thickBot="1">
      <c r="D29" s="186"/>
      <c r="E29" s="187" t="s">
        <v>83</v>
      </c>
      <c r="F29" s="188">
        <f>(F25+F26+F21+F22)*0.01</f>
        <v>1.6054323809523808E-2</v>
      </c>
    </row>
    <row r="30" spans="1:6" ht="15.75" thickTop="1"/>
    <row r="31" spans="1:6" ht="15.75" thickBot="1">
      <c r="D31" s="186"/>
      <c r="E31" s="187" t="s">
        <v>84</v>
      </c>
      <c r="F31" s="189">
        <f>F29*F27</f>
        <v>27780.241376761904</v>
      </c>
    </row>
    <row r="32" spans="1:6" ht="15.75" thickTop="1"/>
    <row r="33" spans="5:6" ht="15.75" thickBot="1">
      <c r="E33" s="194" t="s">
        <v>99</v>
      </c>
      <c r="F33" s="194" t="s">
        <v>100</v>
      </c>
    </row>
    <row r="34" spans="5:6" ht="15.75" thickTop="1">
      <c r="E34" t="s">
        <v>101</v>
      </c>
      <c r="F34" s="137">
        <v>783657</v>
      </c>
    </row>
    <row r="35" spans="5:6">
      <c r="E35" t="s">
        <v>102</v>
      </c>
      <c r="F35" s="137">
        <v>669894</v>
      </c>
    </row>
    <row r="36" spans="5:6">
      <c r="E36" t="s">
        <v>103</v>
      </c>
      <c r="F36" s="137">
        <v>276839</v>
      </c>
    </row>
    <row r="37" spans="5:6">
      <c r="E37" s="195" t="s">
        <v>98</v>
      </c>
      <c r="F37" s="196">
        <v>1730390</v>
      </c>
    </row>
  </sheetData>
  <mergeCells count="1">
    <mergeCell ref="A1:F1"/>
  </mergeCells>
  <hyperlinks>
    <hyperlink ref="G1" location="Summary!A1" display="Return to Summary"/>
  </hyperlinks>
  <pageMargins left="0.7" right="0.7" top="0.75" bottom="0.75" header="0.3" footer="0.3"/>
  <pageSetup paperSize="3" orientation="landscape" r:id="rId1"/>
  <ignoredErrors>
    <ignoredError sqref="A21:E4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2017 Dashboard</vt:lpstr>
      <vt:lpstr>2018 Dashboard</vt:lpstr>
      <vt:lpstr>Solar Credits Donated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2019-03-28T18:25:09Z</dcterms:created>
  <dcterms:modified xsi:type="dcterms:W3CDTF">2019-03-29T18:19:09Z</dcterms:modified>
  <cp:contentStatus/>
</cp:coreProperties>
</file>