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70" windowHeight="8145"/>
  </bookViews>
  <sheets>
    <sheet name="Appendix B.1" sheetId="67" r:id="rId1"/>
    <sheet name="Table 1" sheetId="25" r:id="rId2"/>
    <sheet name="Table 2" sheetId="66" r:id="rId3"/>
    <sheet name="Table 4" sheetId="28" r:id="rId4"/>
    <sheet name="Table 5" sheetId="31" r:id="rId5"/>
    <sheet name="Table 3 TransCost D2 " sheetId="47" state="hidden" r:id="rId6"/>
    <sheet name="Table 3 UT Wind 2030" sheetId="63" state="hidden" r:id="rId7"/>
    <sheet name="Table 3 DJ Wind 2030" sheetId="42" state="hidden" r:id="rId8"/>
    <sheet name="Table 3 ID Wind 2030" sheetId="64" state="hidden" r:id="rId9"/>
    <sheet name="Table 3 ID Wind 2033" sheetId="44" state="hidden" r:id="rId10"/>
    <sheet name="Table 3 UT Wind 2036" sheetId="50" state="hidden" r:id="rId11"/>
    <sheet name="Table 3 WW Wind 2035" sheetId="52" state="hidden" r:id="rId12"/>
    <sheet name="Table 3 YK Wind 2035" sheetId="53" state="hidden" r:id="rId13"/>
    <sheet name="Table 3 OR Wind 2035" sheetId="54" state="hidden" r:id="rId14"/>
    <sheet name="Table 3 YK Solar 2030" sheetId="41" state="hidden" r:id="rId15"/>
    <sheet name="Table 3 YK Solar 2032" sheetId="56" state="hidden" r:id="rId16"/>
    <sheet name="Table 3 YK Solar 2033" sheetId="57" state="hidden" r:id="rId17"/>
    <sheet name="Table 3 UT Solar 2033 ST" sheetId="40" state="hidden" r:id="rId18"/>
    <sheet name="Table 3 UT Solar 2035 ST" sheetId="62" state="hidden" r:id="rId19"/>
    <sheet name="Table 3 UT Solar 2035 FT" sheetId="55" state="hidden" r:id="rId20"/>
    <sheet name="Table 3 OR Solar 2030" sheetId="58" state="hidden" r:id="rId21"/>
    <sheet name="Table 3 OR Solar 2031" sheetId="59" state="hidden" r:id="rId22"/>
    <sheet name="Table 3 OR Solar 2032" sheetId="60" state="hidden" r:id="rId23"/>
    <sheet name="Table 3 OR Solar 2033" sheetId="61" state="hidden" r:id="rId24"/>
    <sheet name="Table 3 EV2020 Wind_2020" sheetId="43" state="hidden" r:id="rId25"/>
    <sheet name="Table 3 EV2020 Wind_2021" sheetId="49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'Table 1'!$I$17</definedName>
    <definedName name="_30_Geo_West" localSheetId="2">'[1]Table 1'!$I$17</definedName>
    <definedName name="_30_Geo_West" localSheetId="5">'Table 1'!$I$17</definedName>
    <definedName name="_30_Geo_West">'Table 1'!$I$17</definedName>
    <definedName name="_436_CCCT_WestMain" localSheetId="0">'Table 1'!$I$18</definedName>
    <definedName name="_436_CCCT_WestMain" localSheetId="2">'[1]Table 1'!$I$18</definedName>
    <definedName name="_436_CCCT_WestMain" localSheetId="5">'Table 1'!$I$18</definedName>
    <definedName name="_436_CCCT_WestMain">'Table 1'!$I$18</definedName>
    <definedName name="_477_CCCT_WestMain" localSheetId="0">'Table 1'!$I$18</definedName>
    <definedName name="_477_CCCT_WestMain" localSheetId="2">'Table 1'!$I$18</definedName>
    <definedName name="_477_CCCT_WestMain">'[2]Table 1'!$I$18</definedName>
    <definedName name="_477_CCCT_WYNE">'Table 1'!$I$20</definedName>
    <definedName name="_635_CCCT_UtahS" localSheetId="0">'Table 1'!$I$19</definedName>
    <definedName name="_635_CCCT_UtahS" localSheetId="2">'Table 1'!$I$19</definedName>
    <definedName name="_635_CCCT_UtahS">'[2]Table 1'!$I$19</definedName>
    <definedName name="_635_CCCT_WyoNE" localSheetId="0">'Table 1'!$I$17</definedName>
    <definedName name="_635_CCCT_WyoNE" localSheetId="2">'Table 1'!$I$17</definedName>
    <definedName name="_635_CCCT_WyoNE">'[2]Table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2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2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2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2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2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'[3]Table 1'!#REF!</definedName>
    <definedName name="_Percent_Last_CCCT" localSheetId="2">'[1]Table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'[5]on off peak hours'!$C$15:$ED$15</definedName>
    <definedName name="dateTable">'[6]on off peak hours'!$C$15:$ED$15</definedName>
    <definedName name="Discount_Rate" localSheetId="0">'Table 1'!$I$39</definedName>
    <definedName name="Discount_Rate">'Table 1'!$I$39</definedName>
    <definedName name="Discount_Rate_2015_IRP" localSheetId="24">'[7]Table 7 to 8'!$AE$43</definedName>
    <definedName name="Discount_Rate_2015_IRP" localSheetId="25">'[7]Table 7 to 8'!$AE$43</definedName>
    <definedName name="Discount_Rate_2015_IRP" localSheetId="8">'[7]Table 7 to 8'!$AE$43</definedName>
    <definedName name="Discount_Rate_2015_IRP" localSheetId="9">'[7]Table 7 to 8'!$AE$43</definedName>
    <definedName name="Discount_Rate_2015_IRP" localSheetId="20">'[7]Table 7 to 8'!$AE$43</definedName>
    <definedName name="Discount_Rate_2015_IRP" localSheetId="21">'[7]Table 7 to 8'!$AE$43</definedName>
    <definedName name="Discount_Rate_2015_IRP" localSheetId="22">'[7]Table 7 to 8'!$AE$43</definedName>
    <definedName name="Discount_Rate_2015_IRP" localSheetId="23">'[7]Table 7 to 8'!$AE$43</definedName>
    <definedName name="Discount_Rate_2015_IRP" localSheetId="13">'[7]Table 7 to 8'!$AE$43</definedName>
    <definedName name="Discount_Rate_2015_IRP" localSheetId="5">'[7]Table 7 to 8'!$AE$43</definedName>
    <definedName name="Discount_Rate_2015_IRP" localSheetId="17">'[7]Table 7 to 8'!$AE$43</definedName>
    <definedName name="Discount_Rate_2015_IRP" localSheetId="19">'[7]Table 7 to 8'!$AE$43</definedName>
    <definedName name="Discount_Rate_2015_IRP" localSheetId="18">'[7]Table 7 to 8'!$AE$43</definedName>
    <definedName name="Discount_Rate_2015_IRP" localSheetId="6">'[7]Table 7 to 8'!$AE$43</definedName>
    <definedName name="Discount_Rate_2015_IRP" localSheetId="10">'[7]Table 7 to 8'!$AE$43</definedName>
    <definedName name="Discount_Rate_2015_IRP" localSheetId="11">'[7]Table 7 to 8'!$AE$43</definedName>
    <definedName name="Discount_Rate_2015_IRP" localSheetId="14">'[7]Table 7 to 8'!$AE$43</definedName>
    <definedName name="Discount_Rate_2015_IRP" localSheetId="15">'[7]Table 7 to 8'!$AE$43</definedName>
    <definedName name="Discount_Rate_2015_IRP" localSheetId="16">'[7]Table 7 to 8'!$AE$43</definedName>
    <definedName name="Discount_Rate_2015_IRP" localSheetId="12">'[7]Table 7 to 8'!$AE$43</definedName>
    <definedName name="Discount_Rate_2015_IRP">'[8]Table 7 to 8'!$AE$43</definedName>
    <definedName name="DispatchSum">"GRID Thermal Generation!R2C1:R4C2"</definedName>
    <definedName name="FixedSolar_Capacity_Contr" localSheetId="0">'[9]Exhibit 3- Std FixedSolar QF'!$G$53</definedName>
    <definedName name="FixedSolar_Capacity_Contr">'[8]Exhibit 3- Std FixedSolar QF'!$G$53</definedName>
    <definedName name="HoursHoliday" localSheetId="0">'[5]on off peak hours'!$C$16:$ED$20</definedName>
    <definedName name="HoursHoliday">'[6]on off peak hours'!$C$16:$ED$20</definedName>
    <definedName name="Market" localSheetId="0">'[9]OFPC Source'!$J$8:$M$295</definedName>
    <definedName name="Market" localSheetId="7">'[10]OFPC Source'!$J$8:$M$295</definedName>
    <definedName name="Market" localSheetId="24">'[10]OFPC Source'!$J$8:$M$295</definedName>
    <definedName name="Market" localSheetId="25">'[10]OFPC Source'!$J$8:$M$295</definedName>
    <definedName name="Market" localSheetId="8">'[10]OFPC Source'!$J$8:$M$295</definedName>
    <definedName name="Market" localSheetId="9">'[10]OFPC Source'!$J$8:$M$295</definedName>
    <definedName name="Market" localSheetId="20">'[10]OFPC Source'!$J$8:$M$295</definedName>
    <definedName name="Market" localSheetId="21">'[10]OFPC Source'!$J$8:$M$295</definedName>
    <definedName name="Market" localSheetId="22">'[10]OFPC Source'!$J$8:$M$295</definedName>
    <definedName name="Market" localSheetId="23">'[10]OFPC Source'!$J$8:$M$295</definedName>
    <definedName name="Market" localSheetId="13">'[10]OFPC Source'!$J$8:$M$295</definedName>
    <definedName name="Market" localSheetId="5">'[10]OFPC Source'!$J$8:$M$295</definedName>
    <definedName name="Market" localSheetId="17">'[10]OFPC Source'!$J$8:$M$295</definedName>
    <definedName name="Market" localSheetId="19">'[10]OFPC Source'!$J$8:$M$295</definedName>
    <definedName name="Market" localSheetId="18">'[10]OFPC Source'!$J$8:$M$295</definedName>
    <definedName name="Market" localSheetId="6">'[10]OFPC Source'!$J$8:$M$295</definedName>
    <definedName name="Market" localSheetId="10">'[10]OFPC Source'!$J$8:$M$295</definedName>
    <definedName name="Market" localSheetId="11">'[10]OFPC Source'!$J$8:$M$295</definedName>
    <definedName name="Market" localSheetId="14">'[10]OFPC Source'!$J$8:$M$295</definedName>
    <definedName name="Market" localSheetId="15">'[10]OFPC Source'!$J$8:$M$295</definedName>
    <definedName name="Market" localSheetId="16">'[10]OFPC Source'!$J$8:$M$295</definedName>
    <definedName name="Market" localSheetId="12">'[10]OFPC Source'!$J$8:$M$295</definedName>
    <definedName name="Market">'[8]OFPC Source'!$J$8:$M$295</definedName>
    <definedName name="MidC_Flat" localSheetId="0">[11]Market_Price!#REF!</definedName>
    <definedName name="MidC_Flat" localSheetId="2">[11]Market_Price!#REF!</definedName>
    <definedName name="MidC_Flat">[11]Market_Price!#REF!</definedName>
    <definedName name="OR_AC_price" localSheetId="0">#REF!</definedName>
    <definedName name="OR_AC_price" localSheetId="2">#REF!</definedName>
    <definedName name="OR_AC_price">#REF!</definedName>
    <definedName name="_xlnm.Print_Area" localSheetId="0">'Appendix B.1'!$A$1:$L$38</definedName>
    <definedName name="_xlnm.Print_Area" localSheetId="1">'Table 1'!$A$1:$H$53</definedName>
    <definedName name="_xlnm.Print_Area" localSheetId="2">'Table 2'!$B$1:$P$36</definedName>
    <definedName name="_xlnm.Print_Area" localSheetId="7">'Table 3 DJ Wind 2030'!$A$1:$K$74</definedName>
    <definedName name="_xlnm.Print_Area" localSheetId="24">'Table 3 EV2020 Wind_2020'!$A$1:$M$74</definedName>
    <definedName name="_xlnm.Print_Area" localSheetId="25">'Table 3 EV2020 Wind_2021'!$A$1:$M$74</definedName>
    <definedName name="_xlnm.Print_Area" localSheetId="8">'Table 3 ID Wind 2030'!$A$1:$K$74</definedName>
    <definedName name="_xlnm.Print_Area" localSheetId="9">'Table 3 ID Wind 2033'!$A$1:$K$74</definedName>
    <definedName name="_xlnm.Print_Area" localSheetId="20">'Table 3 OR Solar 2030'!$A$1:$K$74</definedName>
    <definedName name="_xlnm.Print_Area" localSheetId="21">'Table 3 OR Solar 2031'!$A$1:$K$74</definedName>
    <definedName name="_xlnm.Print_Area" localSheetId="22">'Table 3 OR Solar 2032'!$A$1:$K$74</definedName>
    <definedName name="_xlnm.Print_Area" localSheetId="23">'Table 3 OR Solar 2033'!$A$1:$K$74</definedName>
    <definedName name="_xlnm.Print_Area" localSheetId="13">'Table 3 OR Wind 2035'!$A$1:$K$74</definedName>
    <definedName name="_xlnm.Print_Area" localSheetId="5">'Table 3 TransCost D2 '!$A$1:$K$49</definedName>
    <definedName name="_xlnm.Print_Area" localSheetId="17">'Table 3 UT Solar 2033 ST'!$A$1:$K$74</definedName>
    <definedName name="_xlnm.Print_Area" localSheetId="19">'Table 3 UT Solar 2035 FT'!$A$1:$K$74</definedName>
    <definedName name="_xlnm.Print_Area" localSheetId="18">'Table 3 UT Solar 2035 ST'!$A$1:$K$74</definedName>
    <definedName name="_xlnm.Print_Area" localSheetId="6">'Table 3 UT Wind 2030'!$A$1:$K$74</definedName>
    <definedName name="_xlnm.Print_Area" localSheetId="10">'Table 3 UT Wind 2036'!$A$1:$K$74</definedName>
    <definedName name="_xlnm.Print_Area" localSheetId="11">'Table 3 WW Wind 2035'!$A$1:$K$74</definedName>
    <definedName name="_xlnm.Print_Area" localSheetId="14">'Table 3 YK Solar 2030'!$A$1:$K$74</definedName>
    <definedName name="_xlnm.Print_Area" localSheetId="15">'Table 3 YK Solar 2032'!$A$1:$K$74</definedName>
    <definedName name="_xlnm.Print_Area" localSheetId="16">'Table 3 YK Solar 2033'!$A$1:$K$74</definedName>
    <definedName name="_xlnm.Print_Area" localSheetId="12">'Table 3 YK Wind 2035'!$A$1:$K$74</definedName>
    <definedName name="_xlnm.Print_Area" localSheetId="3">'Table 4'!$A$1:$E$44</definedName>
    <definedName name="_xlnm.Print_Area" localSheetId="4">'Table 5'!$A$1:$H$266</definedName>
    <definedName name="_xlnm.Print_Titles" localSheetId="2">'Table 2'!$1:$9</definedName>
    <definedName name="_xlnm.Print_Titles" localSheetId="4">'Table 5'!$11:$12</definedName>
    <definedName name="RenewableMarketShape" localSheetId="0">'[9]OFPC Source'!$P$5:$U$33</definedName>
    <definedName name="RenewableMarketShape" localSheetId="7">'[10]OFPC Source'!$P$5:$U$28</definedName>
    <definedName name="RenewableMarketShape" localSheetId="24">'[10]OFPC Source'!$P$5:$U$28</definedName>
    <definedName name="RenewableMarketShape" localSheetId="25">'[10]OFPC Source'!$P$5:$U$28</definedName>
    <definedName name="RenewableMarketShape" localSheetId="8">'[10]OFPC Source'!$P$5:$U$28</definedName>
    <definedName name="RenewableMarketShape" localSheetId="9">'[10]OFPC Source'!$P$5:$U$28</definedName>
    <definedName name="RenewableMarketShape" localSheetId="20">'[10]OFPC Source'!$P$5:$U$28</definedName>
    <definedName name="RenewableMarketShape" localSheetId="21">'[10]OFPC Source'!$P$5:$U$28</definedName>
    <definedName name="RenewableMarketShape" localSheetId="22">'[10]OFPC Source'!$P$5:$U$28</definedName>
    <definedName name="RenewableMarketShape" localSheetId="23">'[10]OFPC Source'!$P$5:$U$28</definedName>
    <definedName name="RenewableMarketShape" localSheetId="13">'[10]OFPC Source'!$P$5:$U$28</definedName>
    <definedName name="RenewableMarketShape" localSheetId="5">'[10]OFPC Source'!$P$5:$U$28</definedName>
    <definedName name="RenewableMarketShape" localSheetId="17">'[10]OFPC Source'!$P$5:$U$28</definedName>
    <definedName name="RenewableMarketShape" localSheetId="19">'[10]OFPC Source'!$P$5:$U$28</definedName>
    <definedName name="RenewableMarketShape" localSheetId="18">'[10]OFPC Source'!$P$5:$U$28</definedName>
    <definedName name="RenewableMarketShape" localSheetId="6">'[10]OFPC Source'!$P$5:$U$28</definedName>
    <definedName name="RenewableMarketShape" localSheetId="10">'[10]OFPC Source'!$P$5:$U$28</definedName>
    <definedName name="RenewableMarketShape" localSheetId="11">'[10]OFPC Source'!$P$5:$U$28</definedName>
    <definedName name="RenewableMarketShape" localSheetId="14">'[10]OFPC Source'!$P$5:$U$28</definedName>
    <definedName name="RenewableMarketShape" localSheetId="15">'[10]OFPC Source'!$P$5:$U$28</definedName>
    <definedName name="RenewableMarketShape" localSheetId="16">'[10]OFPC Source'!$P$5:$U$28</definedName>
    <definedName name="RenewableMarketShape" localSheetId="12">'[10]OFPC Source'!$P$5:$U$28</definedName>
    <definedName name="RenewableMarketShape">'[8]OFPC Source'!$P$5:$U$33</definedName>
    <definedName name="RevenueSum">"GRID Thermal Revenue!R2C1:R4C2"</definedName>
    <definedName name="Solar_Fixed_integr_cost" localSheetId="0">'[12]Table 10'!$B$46</definedName>
    <definedName name="Solar_Fixed_integr_cost">'[13]Table 10'!$B$46</definedName>
    <definedName name="Solar_HLH" localSheetId="0">'[9]OFPC Source'!$U$48</definedName>
    <definedName name="Solar_HLH" localSheetId="7">'[10]OFPC Source'!$U$47</definedName>
    <definedName name="Solar_HLH" localSheetId="24">'[10]OFPC Source'!$U$47</definedName>
    <definedName name="Solar_HLH" localSheetId="25">'[10]OFPC Source'!$U$47</definedName>
    <definedName name="Solar_HLH" localSheetId="8">'[10]OFPC Source'!$U$47</definedName>
    <definedName name="Solar_HLH" localSheetId="9">'[10]OFPC Source'!$U$47</definedName>
    <definedName name="Solar_HLH" localSheetId="20">'[10]OFPC Source'!$U$47</definedName>
    <definedName name="Solar_HLH" localSheetId="21">'[10]OFPC Source'!$U$47</definedName>
    <definedName name="Solar_HLH" localSheetId="22">'[10]OFPC Source'!$U$47</definedName>
    <definedName name="Solar_HLH" localSheetId="23">'[10]OFPC Source'!$U$47</definedName>
    <definedName name="Solar_HLH" localSheetId="13">'[10]OFPC Source'!$U$47</definedName>
    <definedName name="Solar_HLH" localSheetId="5">'[10]OFPC Source'!$U$47</definedName>
    <definedName name="Solar_HLH" localSheetId="17">'[10]OFPC Source'!$U$47</definedName>
    <definedName name="Solar_HLH" localSheetId="19">'[10]OFPC Source'!$U$47</definedName>
    <definedName name="Solar_HLH" localSheetId="18">'[10]OFPC Source'!$U$47</definedName>
    <definedName name="Solar_HLH" localSheetId="6">'[10]OFPC Source'!$U$47</definedName>
    <definedName name="Solar_HLH" localSheetId="10">'[10]OFPC Source'!$U$47</definedName>
    <definedName name="Solar_HLH" localSheetId="11">'[10]OFPC Source'!$U$47</definedName>
    <definedName name="Solar_HLH" localSheetId="14">'[10]OFPC Source'!$U$47</definedName>
    <definedName name="Solar_HLH" localSheetId="15">'[10]OFPC Source'!$U$47</definedName>
    <definedName name="Solar_HLH" localSheetId="16">'[10]OFPC Source'!$U$47</definedName>
    <definedName name="Solar_HLH" localSheetId="12">'[10]OFPC Source'!$U$47</definedName>
    <definedName name="Solar_HLH">'[8]OFPC Source'!$U$48</definedName>
    <definedName name="Solar_LLH" localSheetId="0">'[9]OFPC Source'!$V$48</definedName>
    <definedName name="Solar_LLH" localSheetId="7">'[10]OFPC Source'!$V$47</definedName>
    <definedName name="Solar_LLH" localSheetId="24">'[10]OFPC Source'!$V$47</definedName>
    <definedName name="Solar_LLH" localSheetId="25">'[10]OFPC Source'!$V$47</definedName>
    <definedName name="Solar_LLH" localSheetId="8">'[10]OFPC Source'!$V$47</definedName>
    <definedName name="Solar_LLH" localSheetId="9">'[10]OFPC Source'!$V$47</definedName>
    <definedName name="Solar_LLH" localSheetId="20">'[10]OFPC Source'!$V$47</definedName>
    <definedName name="Solar_LLH" localSheetId="21">'[10]OFPC Source'!$V$47</definedName>
    <definedName name="Solar_LLH" localSheetId="22">'[10]OFPC Source'!$V$47</definedName>
    <definedName name="Solar_LLH" localSheetId="23">'[10]OFPC Source'!$V$47</definedName>
    <definedName name="Solar_LLH" localSheetId="13">'[10]OFPC Source'!$V$47</definedName>
    <definedName name="Solar_LLH" localSheetId="5">'[10]OFPC Source'!$V$47</definedName>
    <definedName name="Solar_LLH" localSheetId="17">'[10]OFPC Source'!$V$47</definedName>
    <definedName name="Solar_LLH" localSheetId="19">'[10]OFPC Source'!$V$47</definedName>
    <definedName name="Solar_LLH" localSheetId="18">'[10]OFPC Source'!$V$47</definedName>
    <definedName name="Solar_LLH" localSheetId="6">'[10]OFPC Source'!$V$47</definedName>
    <definedName name="Solar_LLH" localSheetId="10">'[10]OFPC Source'!$V$47</definedName>
    <definedName name="Solar_LLH" localSheetId="11">'[10]OFPC Source'!$V$47</definedName>
    <definedName name="Solar_LLH" localSheetId="14">'[10]OFPC Source'!$V$47</definedName>
    <definedName name="Solar_LLH" localSheetId="15">'[10]OFPC Source'!$V$47</definedName>
    <definedName name="Solar_LLH" localSheetId="16">'[10]OFPC Source'!$V$47</definedName>
    <definedName name="Solar_LLH" localSheetId="12">'[10]OFPC Source'!$V$47</definedName>
    <definedName name="Solar_LLH">'[8]OFPC Source'!$V$48</definedName>
    <definedName name="Solar_Tracking_integr_cost" localSheetId="0">'[12]Table 10'!$B$45</definedName>
    <definedName name="Solar_Tracking_integr_cost">'[13]Table 10'!$B$45</definedName>
    <definedName name="Study_Cap_Adj" localSheetId="0">'Table 1'!$I$8</definedName>
    <definedName name="Study_Cap_Adj" localSheetId="2">'Table 1'!$I$8</definedName>
    <definedName name="Study_Cap_Adj" localSheetId="5">'Table 1'!$I$8</definedName>
    <definedName name="Study_Cap_Adj">'Table 1'!$I$8</definedName>
    <definedName name="Study_CF" localSheetId="0">'Table 5'!$M$7</definedName>
    <definedName name="Study_CF">'Table 5'!$M$7</definedName>
    <definedName name="Study_MW" localSheetId="0">'Table 5'!$M$6</definedName>
    <definedName name="Study_MW">'Table 5'!$M$6</definedName>
    <definedName name="Study_Name" localSheetId="7">[6]ImportData!$D$7</definedName>
    <definedName name="Study_Name" localSheetId="24">[6]ImportData!$D$7</definedName>
    <definedName name="Study_Name" localSheetId="25">[6]ImportData!$D$7</definedName>
    <definedName name="Study_Name" localSheetId="8">[6]ImportData!$D$7</definedName>
    <definedName name="Study_Name" localSheetId="9">[6]ImportData!$D$7</definedName>
    <definedName name="Study_Name" localSheetId="20">[6]ImportData!$D$7</definedName>
    <definedName name="Study_Name" localSheetId="21">[6]ImportData!$D$7</definedName>
    <definedName name="Study_Name" localSheetId="22">[6]ImportData!$D$7</definedName>
    <definedName name="Study_Name" localSheetId="23">[6]ImportData!$D$7</definedName>
    <definedName name="Study_Name" localSheetId="13">[6]ImportData!$D$7</definedName>
    <definedName name="Study_Name" localSheetId="5">[6]ImportData!$D$7</definedName>
    <definedName name="Study_Name" localSheetId="17">[6]ImportData!$D$7</definedName>
    <definedName name="Study_Name" localSheetId="19">[6]ImportData!$D$7</definedName>
    <definedName name="Study_Name" localSheetId="18">[6]ImportData!$D$7</definedName>
    <definedName name="Study_Name" localSheetId="6">[6]ImportData!$D$7</definedName>
    <definedName name="Study_Name" localSheetId="10">[6]ImportData!$D$7</definedName>
    <definedName name="Study_Name" localSheetId="11">[6]ImportData!$D$7</definedName>
    <definedName name="Study_Name" localSheetId="14">[6]ImportData!$D$7</definedName>
    <definedName name="Study_Name" localSheetId="15">[6]ImportData!$D$7</definedName>
    <definedName name="Study_Name" localSheetId="16">[6]ImportData!$D$7</definedName>
    <definedName name="Study_Name" localSheetId="12">[6]ImportData!$D$7</definedName>
    <definedName name="ValuationDate" localSheetId="0">#REF!</definedName>
    <definedName name="ValuationDate" localSheetId="2">#REF!</definedName>
    <definedName name="ValuationDate">#REF!</definedName>
    <definedName name="Wind_Capacity_Contr" localSheetId="0">'[9]Exhibit 2- Std Wind QF '!$E$57</definedName>
    <definedName name="Wind_Capacity_Contr">'[8]Exhibit 2- Std Wind QF '!$E$57</definedName>
    <definedName name="Wind_Integration_Charge" localSheetId="0">'[9]Exhibit 2- Std Wind QF '!$E$45</definedName>
    <definedName name="Wind_Integration_Charge">'[8]Exhibit 2- Std Wind QF '!$E$45</definedName>
  </definedNames>
  <calcPr calcId="152511"/>
</workbook>
</file>

<file path=xl/calcChain.xml><?xml version="1.0" encoding="utf-8"?>
<calcChain xmlns="http://schemas.openxmlformats.org/spreadsheetml/2006/main">
  <c r="E26" i="67" l="1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D26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8" i="67"/>
  <c r="A45" i="25" l="1"/>
  <c r="A41" i="25"/>
  <c r="A37" i="25"/>
  <c r="B53" i="25"/>
  <c r="B52" i="25"/>
  <c r="B51" i="25"/>
  <c r="B46" i="25"/>
  <c r="B42" i="25"/>
  <c r="B38" i="25"/>
  <c r="A10" i="31"/>
  <c r="A9" i="31"/>
  <c r="A8" i="31"/>
  <c r="P6" i="31"/>
  <c r="Q6" i="31" s="1"/>
  <c r="R6" i="31" s="1"/>
  <c r="R5" i="31"/>
  <c r="Q5" i="31"/>
  <c r="B31" i="67"/>
  <c r="H26" i="67" l="1"/>
  <c r="G26" i="67"/>
  <c r="F26" i="67" l="1"/>
  <c r="B32" i="67" l="1"/>
  <c r="B25" i="67"/>
  <c r="K5" i="67"/>
  <c r="J5" i="67"/>
  <c r="I5" i="67"/>
  <c r="BN9" i="25" l="1"/>
  <c r="BO9" i="25"/>
  <c r="CJ9" i="25" s="1"/>
  <c r="BJ9" i="25"/>
  <c r="CE9" i="25" s="1"/>
  <c r="BI9" i="25"/>
  <c r="AT9" i="25"/>
  <c r="AO9" i="25"/>
  <c r="C24" i="64"/>
  <c r="C68" i="64"/>
  <c r="C67" i="64"/>
  <c r="P11" i="64"/>
  <c r="D47" i="64"/>
  <c r="D46" i="64"/>
  <c r="K11" i="64"/>
  <c r="E11" i="64"/>
  <c r="D49" i="64"/>
  <c r="C49" i="64"/>
  <c r="D48" i="64"/>
  <c r="C48" i="64"/>
  <c r="C47" i="64"/>
  <c r="C46" i="64"/>
  <c r="C45" i="64"/>
  <c r="H11" i="64"/>
  <c r="G11" i="64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P12" i="64"/>
  <c r="P13" i="64" s="1"/>
  <c r="F11" i="64"/>
  <c r="I11" i="64" s="1"/>
  <c r="J11" i="64" s="1"/>
  <c r="B3" i="64"/>
  <c r="C52" i="64" s="1"/>
  <c r="B9" i="64" s="1"/>
  <c r="C69" i="64"/>
  <c r="C70" i="64" l="1"/>
  <c r="P14" i="64" l="1"/>
  <c r="C71" i="64"/>
  <c r="C72" i="64" l="1"/>
  <c r="P15" i="64"/>
  <c r="P16" i="64" l="1"/>
  <c r="C73" i="64"/>
  <c r="C74" i="64" l="1"/>
  <c r="P17" i="64"/>
  <c r="C67" i="63"/>
  <c r="C68" i="63" s="1"/>
  <c r="H11" i="63"/>
  <c r="B3" i="63"/>
  <c r="C52" i="63" s="1"/>
  <c r="B9" i="63" s="1"/>
  <c r="G11" i="63"/>
  <c r="K11" i="63"/>
  <c r="E11" i="63"/>
  <c r="C49" i="63"/>
  <c r="D48" i="63"/>
  <c r="C48" i="63"/>
  <c r="C47" i="63"/>
  <c r="C46" i="63"/>
  <c r="C45" i="63"/>
  <c r="D44" i="63"/>
  <c r="D49" i="63" s="1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F11" i="63" l="1"/>
  <c r="I11" i="63" s="1"/>
  <c r="J11" i="63" s="1"/>
  <c r="D47" i="63"/>
  <c r="P11" i="63"/>
  <c r="D46" i="63"/>
  <c r="D24" i="63"/>
  <c r="P18" i="64"/>
  <c r="F66" i="64"/>
  <c r="C69" i="63"/>
  <c r="P19" i="64" l="1"/>
  <c r="F67" i="64"/>
  <c r="P12" i="63"/>
  <c r="P13" i="63" s="1"/>
  <c r="C70" i="63"/>
  <c r="F68" i="64" l="1"/>
  <c r="P20" i="64"/>
  <c r="C71" i="63"/>
  <c r="P14" i="63"/>
  <c r="P21" i="64" l="1"/>
  <c r="F69" i="64"/>
  <c r="P15" i="63"/>
  <c r="C72" i="63"/>
  <c r="P22" i="64" l="1"/>
  <c r="F70" i="64"/>
  <c r="P16" i="63"/>
  <c r="C73" i="63"/>
  <c r="P23" i="64" l="1"/>
  <c r="F71" i="64"/>
  <c r="C74" i="63"/>
  <c r="P17" i="63"/>
  <c r="P24" i="64" l="1"/>
  <c r="P18" i="63"/>
  <c r="F72" i="64"/>
  <c r="F66" i="63"/>
  <c r="P25" i="64" l="1"/>
  <c r="F73" i="64"/>
  <c r="F67" i="63"/>
  <c r="P19" i="63"/>
  <c r="P20" i="63" l="1"/>
  <c r="F74" i="64"/>
  <c r="P26" i="64"/>
  <c r="F68" i="63"/>
  <c r="I66" i="64" l="1"/>
  <c r="P27" i="64"/>
  <c r="P21" i="63"/>
  <c r="F69" i="63"/>
  <c r="P28" i="64" l="1"/>
  <c r="I67" i="64"/>
  <c r="F70" i="63"/>
  <c r="P22" i="63"/>
  <c r="I68" i="64" l="1"/>
  <c r="P29" i="64"/>
  <c r="F71" i="63"/>
  <c r="P23" i="63"/>
  <c r="P24" i="63" l="1"/>
  <c r="P30" i="64"/>
  <c r="I69" i="64"/>
  <c r="F72" i="63"/>
  <c r="I70" i="64" l="1"/>
  <c r="P31" i="64"/>
  <c r="P25" i="63"/>
  <c r="F73" i="63"/>
  <c r="P32" i="64" l="1"/>
  <c r="I71" i="64"/>
  <c r="F74" i="63"/>
  <c r="P26" i="63"/>
  <c r="P33" i="64" l="1"/>
  <c r="I72" i="64"/>
  <c r="I66" i="63"/>
  <c r="P27" i="63"/>
  <c r="P34" i="64" l="1"/>
  <c r="P28" i="63"/>
  <c r="I73" i="64"/>
  <c r="I67" i="63"/>
  <c r="P35" i="64" l="1"/>
  <c r="I74" i="64"/>
  <c r="I68" i="63"/>
  <c r="P29" i="63"/>
  <c r="D25" i="64" l="1"/>
  <c r="K12" i="64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K28" i="64" s="1"/>
  <c r="K29" i="64" s="1"/>
  <c r="K30" i="64" s="1"/>
  <c r="K31" i="64" s="1"/>
  <c r="K32" i="64" s="1"/>
  <c r="K33" i="64" s="1"/>
  <c r="K34" i="64" s="1"/>
  <c r="K35" i="64" s="1"/>
  <c r="K36" i="64" s="1"/>
  <c r="E12" i="64"/>
  <c r="H12" i="64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2" i="64" s="1"/>
  <c r="H33" i="64" s="1"/>
  <c r="H34" i="64" s="1"/>
  <c r="H35" i="64" s="1"/>
  <c r="H36" i="64" s="1"/>
  <c r="G12" i="64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P36" i="64"/>
  <c r="P30" i="63"/>
  <c r="I69" i="63"/>
  <c r="D26" i="64" l="1"/>
  <c r="E13" i="64"/>
  <c r="F12" i="64"/>
  <c r="I12" i="64" s="1"/>
  <c r="J12" i="64" s="1"/>
  <c r="P31" i="63"/>
  <c r="I70" i="63"/>
  <c r="E14" i="64" l="1"/>
  <c r="F13" i="64"/>
  <c r="I13" i="64" s="1"/>
  <c r="J13" i="64" s="1"/>
  <c r="D27" i="64"/>
  <c r="P32" i="63"/>
  <c r="I71" i="63"/>
  <c r="E15" i="64" l="1"/>
  <c r="F14" i="64"/>
  <c r="I14" i="64" s="1"/>
  <c r="J14" i="64" s="1"/>
  <c r="D28" i="64"/>
  <c r="P33" i="63"/>
  <c r="I72" i="63"/>
  <c r="D29" i="64" l="1"/>
  <c r="E16" i="64"/>
  <c r="F15" i="64"/>
  <c r="I15" i="64" s="1"/>
  <c r="J15" i="64" s="1"/>
  <c r="I73" i="63"/>
  <c r="P34" i="63"/>
  <c r="E17" i="64" l="1"/>
  <c r="F16" i="64"/>
  <c r="I16" i="64" s="1"/>
  <c r="J16" i="64" s="1"/>
  <c r="D30" i="64"/>
  <c r="P35" i="63"/>
  <c r="I74" i="63"/>
  <c r="D31" i="64" l="1"/>
  <c r="G12" i="63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H12" i="63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D25" i="63"/>
  <c r="E12" i="63"/>
  <c r="K12" i="63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E18" i="64"/>
  <c r="F17" i="64"/>
  <c r="I17" i="64" s="1"/>
  <c r="J17" i="64" s="1"/>
  <c r="P36" i="63"/>
  <c r="E19" i="64" l="1"/>
  <c r="F18" i="64"/>
  <c r="I18" i="64" s="1"/>
  <c r="J18" i="64" s="1"/>
  <c r="E13" i="63"/>
  <c r="F12" i="63"/>
  <c r="I12" i="63" s="1"/>
  <c r="J12" i="63" s="1"/>
  <c r="D26" i="63"/>
  <c r="D32" i="64"/>
  <c r="E14" i="63" l="1"/>
  <c r="F13" i="63"/>
  <c r="I13" i="63" s="1"/>
  <c r="J13" i="63" s="1"/>
  <c r="D33" i="64"/>
  <c r="D27" i="63"/>
  <c r="E20" i="64"/>
  <c r="F19" i="64"/>
  <c r="I19" i="64" s="1"/>
  <c r="J19" i="64" s="1"/>
  <c r="C65" i="64"/>
  <c r="C65" i="63"/>
  <c r="E21" i="64" l="1"/>
  <c r="F20" i="64"/>
  <c r="I20" i="64" s="1"/>
  <c r="J20" i="64" s="1"/>
  <c r="D34" i="64"/>
  <c r="D28" i="63"/>
  <c r="E15" i="63"/>
  <c r="F14" i="63"/>
  <c r="I14" i="63" s="1"/>
  <c r="J14" i="63" s="1"/>
  <c r="D35" i="64" l="1"/>
  <c r="E16" i="63"/>
  <c r="F15" i="63"/>
  <c r="I15" i="63" s="1"/>
  <c r="J15" i="63" s="1"/>
  <c r="D29" i="63"/>
  <c r="E22" i="64"/>
  <c r="F21" i="64"/>
  <c r="I21" i="64" s="1"/>
  <c r="J21" i="64" s="1"/>
  <c r="CT9" i="25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E23" i="64" l="1"/>
  <c r="F22" i="64"/>
  <c r="I22" i="64" s="1"/>
  <c r="J22" i="64" s="1"/>
  <c r="E17" i="63"/>
  <c r="F16" i="63"/>
  <c r="I16" i="63" s="1"/>
  <c r="J16" i="63" s="1"/>
  <c r="D30" i="63"/>
  <c r="D36" i="64"/>
  <c r="C29" i="62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E18" i="63" l="1"/>
  <c r="F17" i="63"/>
  <c r="I17" i="63" s="1"/>
  <c r="J17" i="63" s="1"/>
  <c r="D31" i="63"/>
  <c r="E24" i="64"/>
  <c r="F23" i="64"/>
  <c r="I23" i="64" s="1"/>
  <c r="J23" i="64" s="1"/>
  <c r="D44" i="49"/>
  <c r="D32" i="63" l="1"/>
  <c r="E25" i="64"/>
  <c r="F24" i="64"/>
  <c r="I24" i="64" s="1"/>
  <c r="J24" i="64" s="1"/>
  <c r="E19" i="63"/>
  <c r="F18" i="63"/>
  <c r="I18" i="63" s="1"/>
  <c r="J18" i="63" s="1"/>
  <c r="C67" i="62"/>
  <c r="C68" i="62" s="1"/>
  <c r="D11" i="62"/>
  <c r="B3" i="62"/>
  <c r="C52" i="62" s="1"/>
  <c r="B9" i="62" s="1"/>
  <c r="D29" i="62"/>
  <c r="G11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B11" i="62"/>
  <c r="B12" i="62" s="1"/>
  <c r="E26" i="64" l="1"/>
  <c r="F25" i="64"/>
  <c r="I25" i="64" s="1"/>
  <c r="J25" i="64" s="1"/>
  <c r="E20" i="63"/>
  <c r="F19" i="63"/>
  <c r="I19" i="63" s="1"/>
  <c r="J19" i="63" s="1"/>
  <c r="D33" i="63"/>
  <c r="D46" i="62"/>
  <c r="F11" i="62"/>
  <c r="I11" i="62" s="1"/>
  <c r="J11" i="62" s="1"/>
  <c r="C69" i="62"/>
  <c r="E27" i="64" l="1"/>
  <c r="F26" i="64"/>
  <c r="I26" i="64" s="1"/>
  <c r="J26" i="64" s="1"/>
  <c r="E21" i="63"/>
  <c r="F20" i="63"/>
  <c r="I20" i="63" s="1"/>
  <c r="J20" i="63" s="1"/>
  <c r="D34" i="63"/>
  <c r="C70" i="62"/>
  <c r="D12" i="62"/>
  <c r="E22" i="63" l="1"/>
  <c r="F21" i="63"/>
  <c r="I21" i="63" s="1"/>
  <c r="J21" i="63" s="1"/>
  <c r="D35" i="63"/>
  <c r="E28" i="64"/>
  <c r="F27" i="64"/>
  <c r="I27" i="64" s="1"/>
  <c r="J27" i="64" s="1"/>
  <c r="C71" i="62"/>
  <c r="D13" i="62"/>
  <c r="D36" i="63" l="1"/>
  <c r="E29" i="64"/>
  <c r="F28" i="64"/>
  <c r="I28" i="64" s="1"/>
  <c r="J28" i="64" s="1"/>
  <c r="E23" i="63"/>
  <c r="F22" i="63"/>
  <c r="I22" i="63" s="1"/>
  <c r="J22" i="63" s="1"/>
  <c r="D14" i="62"/>
  <c r="C72" i="62"/>
  <c r="E30" i="64" l="1"/>
  <c r="F29" i="64"/>
  <c r="I29" i="64" s="1"/>
  <c r="J29" i="64" s="1"/>
  <c r="E24" i="63"/>
  <c r="F23" i="63"/>
  <c r="I23" i="63" s="1"/>
  <c r="J23" i="63" s="1"/>
  <c r="D15" i="62"/>
  <c r="C73" i="62"/>
  <c r="E25" i="63" l="1"/>
  <c r="F24" i="63"/>
  <c r="I24" i="63" s="1"/>
  <c r="J24" i="63" s="1"/>
  <c r="E31" i="64"/>
  <c r="F30" i="64"/>
  <c r="I30" i="64" s="1"/>
  <c r="J30" i="64" s="1"/>
  <c r="D16" i="62"/>
  <c r="C74" i="62"/>
  <c r="E32" i="64" l="1"/>
  <c r="F31" i="64"/>
  <c r="I31" i="64" s="1"/>
  <c r="J31" i="64" s="1"/>
  <c r="E26" i="63"/>
  <c r="F25" i="63"/>
  <c r="I25" i="63" s="1"/>
  <c r="J25" i="63" s="1"/>
  <c r="D17" i="62"/>
  <c r="F66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E27" i="63" l="1"/>
  <c r="F26" i="63"/>
  <c r="I26" i="63" s="1"/>
  <c r="J26" i="63" s="1"/>
  <c r="E33" i="64"/>
  <c r="F32" i="64"/>
  <c r="I32" i="64" s="1"/>
  <c r="J32" i="64" s="1"/>
  <c r="F67" i="62"/>
  <c r="D18" i="62"/>
  <c r="E28" i="63" l="1"/>
  <c r="F27" i="63"/>
  <c r="I27" i="63" s="1"/>
  <c r="J27" i="63" s="1"/>
  <c r="E34" i="64"/>
  <c r="F33" i="64"/>
  <c r="I33" i="64" s="1"/>
  <c r="J33" i="64" s="1"/>
  <c r="F68" i="62"/>
  <c r="D19" i="62"/>
  <c r="C27" i="61"/>
  <c r="C67" i="61"/>
  <c r="B3" i="61"/>
  <c r="C52" i="61" s="1"/>
  <c r="B9" i="61" s="1"/>
  <c r="K11" i="61"/>
  <c r="E11" i="61"/>
  <c r="C49" i="61"/>
  <c r="D48" i="61"/>
  <c r="C48" i="61"/>
  <c r="C47" i="61"/>
  <c r="D46" i="61"/>
  <c r="C46" i="61"/>
  <c r="C45" i="61"/>
  <c r="D49" i="61"/>
  <c r="H11" i="61"/>
  <c r="G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E11" i="59"/>
  <c r="C49" i="59"/>
  <c r="D48" i="59"/>
  <c r="C48" i="59"/>
  <c r="C47" i="59"/>
  <c r="D46" i="59"/>
  <c r="C46" i="59"/>
  <c r="C45" i="59"/>
  <c r="D49" i="59"/>
  <c r="H11" i="59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E11" i="58"/>
  <c r="C68" i="58"/>
  <c r="C69" i="58" s="1"/>
  <c r="C67" i="58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H11" i="58"/>
  <c r="B11" i="58"/>
  <c r="C27" i="57"/>
  <c r="C68" i="57"/>
  <c r="C69" i="57" s="1"/>
  <c r="C67" i="57"/>
  <c r="B3" i="57"/>
  <c r="C52" i="57" s="1"/>
  <c r="B9" i="57" s="1"/>
  <c r="D46" i="57"/>
  <c r="G11" i="57"/>
  <c r="K11" i="57"/>
  <c r="E11" i="57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C67" i="53"/>
  <c r="D47" i="53"/>
  <c r="D46" i="53"/>
  <c r="G11" i="53"/>
  <c r="K11" i="53"/>
  <c r="E11" i="53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C24" i="42"/>
  <c r="C68" i="50"/>
  <c r="C67" i="50"/>
  <c r="H11" i="50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E35" i="64" l="1"/>
  <c r="F34" i="64"/>
  <c r="I34" i="64" s="1"/>
  <c r="J34" i="64" s="1"/>
  <c r="E29" i="63"/>
  <c r="F28" i="63"/>
  <c r="I28" i="63" s="1"/>
  <c r="J28" i="63" s="1"/>
  <c r="F11" i="58"/>
  <c r="F11" i="60"/>
  <c r="F11" i="50"/>
  <c r="F11" i="53"/>
  <c r="F11" i="56"/>
  <c r="F11" i="57"/>
  <c r="I11" i="57" s="1"/>
  <c r="J11" i="57" s="1"/>
  <c r="D27" i="40"/>
  <c r="B3" i="50"/>
  <c r="C52" i="50" s="1"/>
  <c r="B9" i="50" s="1"/>
  <c r="P12" i="54"/>
  <c r="B3" i="58"/>
  <c r="C52" i="58" s="1"/>
  <c r="B9" i="58" s="1"/>
  <c r="P11" i="52"/>
  <c r="P11" i="50"/>
  <c r="P12" i="50" s="1"/>
  <c r="P11" i="53"/>
  <c r="P12" i="53" s="1"/>
  <c r="P13" i="53" s="1"/>
  <c r="D20" i="62"/>
  <c r="F69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D27" i="57"/>
  <c r="D29" i="55"/>
  <c r="D26" i="60"/>
  <c r="D26" i="56"/>
  <c r="D25" i="59"/>
  <c r="F11" i="61"/>
  <c r="I11" i="61" s="1"/>
  <c r="J11" i="61" s="1"/>
  <c r="C68" i="61"/>
  <c r="D47" i="61"/>
  <c r="I11" i="60"/>
  <c r="J11" i="60" s="1"/>
  <c r="C69" i="60"/>
  <c r="C69" i="59"/>
  <c r="F11" i="59"/>
  <c r="I11" i="59" s="1"/>
  <c r="J11" i="59" s="1"/>
  <c r="I11" i="58"/>
  <c r="J11" i="58" s="1"/>
  <c r="C70" i="58"/>
  <c r="C70" i="57"/>
  <c r="C70" i="56"/>
  <c r="F11" i="55"/>
  <c r="I11" i="55" s="1"/>
  <c r="J11" i="55" s="1"/>
  <c r="C69" i="55"/>
  <c r="F11" i="54"/>
  <c r="I11" i="54" s="1"/>
  <c r="J11" i="54" s="1"/>
  <c r="C69" i="54"/>
  <c r="C69" i="53"/>
  <c r="F11" i="52"/>
  <c r="I11" i="52" s="1"/>
  <c r="J11" i="52" s="1"/>
  <c r="C68" i="52"/>
  <c r="B3" i="52"/>
  <c r="C52" i="52" s="1"/>
  <c r="B9" i="52" s="1"/>
  <c r="C69" i="50"/>
  <c r="B15" i="49"/>
  <c r="C71" i="49"/>
  <c r="E36" i="64" l="1"/>
  <c r="F36" i="64" s="1"/>
  <c r="I36" i="64" s="1"/>
  <c r="J36" i="64" s="1"/>
  <c r="F35" i="64"/>
  <c r="I35" i="64" s="1"/>
  <c r="J35" i="64" s="1"/>
  <c r="E30" i="63"/>
  <c r="F29" i="63"/>
  <c r="I29" i="63" s="1"/>
  <c r="J29" i="63" s="1"/>
  <c r="P13" i="54"/>
  <c r="D21" i="62"/>
  <c r="F70" i="62"/>
  <c r="C69" i="61"/>
  <c r="C70" i="60"/>
  <c r="C70" i="59"/>
  <c r="C71" i="58"/>
  <c r="C71" i="57"/>
  <c r="C71" i="56"/>
  <c r="I11" i="56"/>
  <c r="J11" i="56" s="1"/>
  <c r="D12" i="55"/>
  <c r="C70" i="55"/>
  <c r="C70" i="54"/>
  <c r="C70" i="53"/>
  <c r="C69" i="52"/>
  <c r="P12" i="52"/>
  <c r="C70" i="50"/>
  <c r="P13" i="50"/>
  <c r="B16" i="49"/>
  <c r="C72" i="49"/>
  <c r="E31" i="63" l="1"/>
  <c r="F30" i="63"/>
  <c r="I30" i="63" s="1"/>
  <c r="J30" i="63" s="1"/>
  <c r="P14" i="54"/>
  <c r="P14" i="50"/>
  <c r="D22" i="62"/>
  <c r="F71" i="62"/>
  <c r="C70" i="61"/>
  <c r="C71" i="60"/>
  <c r="C71" i="59"/>
  <c r="C72" i="58"/>
  <c r="C72" i="57"/>
  <c r="C72" i="56"/>
  <c r="D13" i="55"/>
  <c r="C71" i="55"/>
  <c r="C71" i="54"/>
  <c r="P14" i="53"/>
  <c r="C71" i="53"/>
  <c r="P13" i="52"/>
  <c r="C70" i="52"/>
  <c r="C71" i="50"/>
  <c r="B17" i="49"/>
  <c r="C73" i="49"/>
  <c r="E32" i="63" l="1"/>
  <c r="F31" i="63"/>
  <c r="I31" i="63" s="1"/>
  <c r="J31" i="63" s="1"/>
  <c r="P15" i="54"/>
  <c r="F72" i="62"/>
  <c r="D23" i="62"/>
  <c r="C71" i="61"/>
  <c r="C72" i="60"/>
  <c r="C72" i="59"/>
  <c r="C24" i="58"/>
  <c r="D24" i="58" s="1"/>
  <c r="C73" i="58"/>
  <c r="C73" i="57"/>
  <c r="C73" i="56"/>
  <c r="C72" i="55"/>
  <c r="D14" i="55"/>
  <c r="C72" i="54"/>
  <c r="P15" i="53"/>
  <c r="C72" i="53"/>
  <c r="P14" i="52"/>
  <c r="C71" i="52"/>
  <c r="C72" i="50"/>
  <c r="P15" i="50"/>
  <c r="C74" i="49"/>
  <c r="B18" i="49"/>
  <c r="E33" i="63" l="1"/>
  <c r="F32" i="63"/>
  <c r="I32" i="63" s="1"/>
  <c r="J32" i="63" s="1"/>
  <c r="P16" i="54"/>
  <c r="P16" i="53"/>
  <c r="F73" i="62"/>
  <c r="D24" i="62"/>
  <c r="C72" i="61"/>
  <c r="C73" i="60"/>
  <c r="C73" i="59"/>
  <c r="C74" i="58"/>
  <c r="C74" i="57"/>
  <c r="C74" i="56"/>
  <c r="C73" i="55"/>
  <c r="D15" i="55"/>
  <c r="C73" i="54"/>
  <c r="C73" i="53"/>
  <c r="C72" i="52"/>
  <c r="P15" i="52"/>
  <c r="P16" i="50"/>
  <c r="C73" i="50"/>
  <c r="F66" i="49"/>
  <c r="B19" i="49"/>
  <c r="E34" i="63" l="1"/>
  <c r="F33" i="63"/>
  <c r="I33" i="63" s="1"/>
  <c r="J33" i="63" s="1"/>
  <c r="P17" i="54"/>
  <c r="P17" i="53"/>
  <c r="F74" i="62"/>
  <c r="D25" i="62"/>
  <c r="C73" i="61"/>
  <c r="C74" i="60"/>
  <c r="C74" i="59"/>
  <c r="F66" i="58"/>
  <c r="F66" i="57"/>
  <c r="F66" i="56"/>
  <c r="C74" i="55"/>
  <c r="D16" i="55"/>
  <c r="C74" i="54"/>
  <c r="C74" i="53"/>
  <c r="C73" i="52"/>
  <c r="P16" i="52"/>
  <c r="C74" i="50"/>
  <c r="P17" i="50"/>
  <c r="F67" i="49"/>
  <c r="B20" i="49"/>
  <c r="E35" i="63" l="1"/>
  <c r="F34" i="63"/>
  <c r="I34" i="63" s="1"/>
  <c r="J34" i="63" s="1"/>
  <c r="P18" i="54"/>
  <c r="P19" i="54" s="1"/>
  <c r="P18" i="53"/>
  <c r="P17" i="52"/>
  <c r="D26" i="62"/>
  <c r="I66" i="62"/>
  <c r="C74" i="61"/>
  <c r="F66" i="60"/>
  <c r="F66" i="59"/>
  <c r="F67" i="58"/>
  <c r="F67" i="57"/>
  <c r="F67" i="56"/>
  <c r="F66" i="55"/>
  <c r="D17" i="55"/>
  <c r="F66" i="54"/>
  <c r="F66" i="53"/>
  <c r="C74" i="52"/>
  <c r="P18" i="50"/>
  <c r="F66" i="50"/>
  <c r="B21" i="49"/>
  <c r="F68" i="49"/>
  <c r="E36" i="63" l="1"/>
  <c r="F36" i="63" s="1"/>
  <c r="I36" i="63" s="1"/>
  <c r="J36" i="63" s="1"/>
  <c r="F35" i="63"/>
  <c r="I35" i="63" s="1"/>
  <c r="J35" i="63" s="1"/>
  <c r="P20" i="54"/>
  <c r="P19" i="50"/>
  <c r="D27" i="62"/>
  <c r="D28" i="62" s="1"/>
  <c r="I67" i="62"/>
  <c r="F66" i="61"/>
  <c r="F67" i="60"/>
  <c r="F67" i="59"/>
  <c r="F68" i="58"/>
  <c r="F68" i="57"/>
  <c r="F68" i="56"/>
  <c r="D18" i="55"/>
  <c r="F67" i="55"/>
  <c r="F67" i="54"/>
  <c r="F67" i="53"/>
  <c r="P19" i="53"/>
  <c r="F66" i="52"/>
  <c r="P18" i="52"/>
  <c r="F67" i="50"/>
  <c r="F69" i="49"/>
  <c r="B22" i="49"/>
  <c r="D30" i="62" l="1"/>
  <c r="P19" i="52"/>
  <c r="I68" i="62"/>
  <c r="F67" i="61"/>
  <c r="F68" i="60"/>
  <c r="F68" i="59"/>
  <c r="F69" i="58"/>
  <c r="F69" i="57"/>
  <c r="F69" i="56"/>
  <c r="F68" i="55"/>
  <c r="D19" i="55"/>
  <c r="F68" i="54"/>
  <c r="P20" i="53"/>
  <c r="F68" i="53"/>
  <c r="F67" i="52"/>
  <c r="F68" i="50"/>
  <c r="P20" i="50"/>
  <c r="F70" i="49"/>
  <c r="B23" i="49"/>
  <c r="D31" i="62" l="1"/>
  <c r="P20" i="52"/>
  <c r="P21" i="50"/>
  <c r="I69" i="62"/>
  <c r="F68" i="61"/>
  <c r="F69" i="60"/>
  <c r="F69" i="59"/>
  <c r="F70" i="58"/>
  <c r="F70" i="57"/>
  <c r="F70" i="56"/>
  <c r="D20" i="55"/>
  <c r="F69" i="55"/>
  <c r="F69" i="54"/>
  <c r="P21" i="54"/>
  <c r="F69" i="53"/>
  <c r="P21" i="53"/>
  <c r="F68" i="52"/>
  <c r="F69" i="50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D32" i="62" l="1"/>
  <c r="P22" i="54"/>
  <c r="P22" i="50"/>
  <c r="I70" i="62"/>
  <c r="F69" i="61"/>
  <c r="F70" i="60"/>
  <c r="F70" i="59"/>
  <c r="F71" i="58"/>
  <c r="F71" i="57"/>
  <c r="F71" i="56"/>
  <c r="D21" i="55"/>
  <c r="F70" i="55"/>
  <c r="F70" i="54"/>
  <c r="P22" i="53"/>
  <c r="F70" i="53"/>
  <c r="F69" i="52"/>
  <c r="P21" i="52"/>
  <c r="F70" i="50"/>
  <c r="F72" i="49"/>
  <c r="D33" i="62" l="1"/>
  <c r="P22" i="52"/>
  <c r="P23" i="53"/>
  <c r="P23" i="54"/>
  <c r="I71" i="62"/>
  <c r="F70" i="61"/>
  <c r="F71" i="60"/>
  <c r="F71" i="59"/>
  <c r="F72" i="58"/>
  <c r="F72" i="57"/>
  <c r="F72" i="56"/>
  <c r="F71" i="55"/>
  <c r="D22" i="55"/>
  <c r="F71" i="54"/>
  <c r="F71" i="53"/>
  <c r="F70" i="52"/>
  <c r="P23" i="50"/>
  <c r="F71" i="50"/>
  <c r="F73" i="49"/>
  <c r="D34" i="62" l="1"/>
  <c r="P24" i="54"/>
  <c r="P25" i="54" s="1"/>
  <c r="P24" i="53"/>
  <c r="I72" i="62"/>
  <c r="F71" i="61"/>
  <c r="F72" i="60"/>
  <c r="F72" i="59"/>
  <c r="F73" i="58"/>
  <c r="F73" i="57"/>
  <c r="F73" i="56"/>
  <c r="D23" i="55"/>
  <c r="F72" i="55"/>
  <c r="F72" i="54"/>
  <c r="F72" i="53"/>
  <c r="P23" i="52"/>
  <c r="F71" i="52"/>
  <c r="F72" i="50"/>
  <c r="P24" i="50"/>
  <c r="F74" i="49"/>
  <c r="D35" i="62" l="1"/>
  <c r="P25" i="53"/>
  <c r="I73" i="62"/>
  <c r="F72" i="61"/>
  <c r="F73" i="60"/>
  <c r="F73" i="59"/>
  <c r="F74" i="58"/>
  <c r="F74" i="57"/>
  <c r="F74" i="56"/>
  <c r="D24" i="55"/>
  <c r="F73" i="55"/>
  <c r="F73" i="54"/>
  <c r="P26" i="54"/>
  <c r="F73" i="53"/>
  <c r="F72" i="52"/>
  <c r="P24" i="52"/>
  <c r="P25" i="50"/>
  <c r="F73" i="50"/>
  <c r="I66" i="49"/>
  <c r="D36" i="62" l="1"/>
  <c r="P25" i="52"/>
  <c r="P26" i="53"/>
  <c r="I74" i="62"/>
  <c r="F73" i="61"/>
  <c r="F74" i="60"/>
  <c r="F74" i="59"/>
  <c r="I66" i="58"/>
  <c r="I66" i="57"/>
  <c r="I66" i="56"/>
  <c r="F74" i="55"/>
  <c r="D25" i="55"/>
  <c r="F74" i="54"/>
  <c r="F74" i="53"/>
  <c r="F73" i="52"/>
  <c r="F74" i="50"/>
  <c r="P26" i="50"/>
  <c r="I67" i="49"/>
  <c r="E12" i="62" l="1"/>
  <c r="H12" i="62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K12" i="62"/>
  <c r="K13" i="62" s="1"/>
  <c r="K14" i="62" s="1"/>
  <c r="K15" i="62" s="1"/>
  <c r="K16" i="62" s="1"/>
  <c r="K17" i="62" s="1"/>
  <c r="K18" i="62" s="1"/>
  <c r="K19" i="62" s="1"/>
  <c r="K20" i="62" s="1"/>
  <c r="K21" i="62" s="1"/>
  <c r="K22" i="62" s="1"/>
  <c r="K23" i="62" s="1"/>
  <c r="K24" i="62" s="1"/>
  <c r="K25" i="62" s="1"/>
  <c r="K26" i="62" s="1"/>
  <c r="K27" i="62" s="1"/>
  <c r="K28" i="62" s="1"/>
  <c r="K29" i="62" s="1"/>
  <c r="K30" i="62" s="1"/>
  <c r="K31" i="62" s="1"/>
  <c r="K32" i="62" s="1"/>
  <c r="K33" i="62" s="1"/>
  <c r="K34" i="62" s="1"/>
  <c r="K35" i="62" s="1"/>
  <c r="K36" i="62" s="1"/>
  <c r="G12" i="62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P27" i="50"/>
  <c r="P27" i="54"/>
  <c r="F74" i="61"/>
  <c r="I66" i="60"/>
  <c r="I66" i="59"/>
  <c r="I67" i="58"/>
  <c r="I67" i="57"/>
  <c r="I67" i="56"/>
  <c r="D26" i="55"/>
  <c r="I66" i="55"/>
  <c r="I66" i="54"/>
  <c r="I66" i="53"/>
  <c r="P27" i="53"/>
  <c r="P26" i="52"/>
  <c r="F74" i="52"/>
  <c r="I66" i="50"/>
  <c r="I68" i="49"/>
  <c r="E13" i="62" l="1"/>
  <c r="F12" i="62"/>
  <c r="I12" i="62" s="1"/>
  <c r="J12" i="62" s="1"/>
  <c r="P28" i="54"/>
  <c r="D27" i="55"/>
  <c r="D28" i="55" s="1"/>
  <c r="I66" i="61"/>
  <c r="I67" i="60"/>
  <c r="I67" i="59"/>
  <c r="I68" i="58"/>
  <c r="I68" i="57"/>
  <c r="I68" i="56"/>
  <c r="I67" i="55"/>
  <c r="I67" i="54"/>
  <c r="P28" i="53"/>
  <c r="I67" i="53"/>
  <c r="I66" i="52"/>
  <c r="P27" i="52"/>
  <c r="I67" i="50"/>
  <c r="P28" i="50"/>
  <c r="I69" i="49"/>
  <c r="D30" i="54" l="1"/>
  <c r="E14" i="62"/>
  <c r="F13" i="62"/>
  <c r="I13" i="62" s="1"/>
  <c r="J13" i="62" s="1"/>
  <c r="D30" i="55"/>
  <c r="D30" i="53"/>
  <c r="P29" i="54"/>
  <c r="I67" i="61"/>
  <c r="I68" i="60"/>
  <c r="I68" i="59"/>
  <c r="I69" i="58"/>
  <c r="I69" i="57"/>
  <c r="I69" i="56"/>
  <c r="I68" i="55"/>
  <c r="I68" i="54"/>
  <c r="I68" i="53"/>
  <c r="P29" i="53"/>
  <c r="I67" i="52"/>
  <c r="D30" i="52" s="1"/>
  <c r="P28" i="52"/>
  <c r="I68" i="50"/>
  <c r="P29" i="50"/>
  <c r="I70" i="49"/>
  <c r="D31" i="55" l="1"/>
  <c r="D31" i="53"/>
  <c r="D31" i="50"/>
  <c r="D31" i="54"/>
  <c r="E15" i="62"/>
  <c r="F14" i="62"/>
  <c r="I14" i="62" s="1"/>
  <c r="J14" i="62" s="1"/>
  <c r="P29" i="52"/>
  <c r="P30" i="53"/>
  <c r="P30" i="54"/>
  <c r="I68" i="61"/>
  <c r="I69" i="60"/>
  <c r="I69" i="59"/>
  <c r="I70" i="58"/>
  <c r="I70" i="57"/>
  <c r="I70" i="56"/>
  <c r="I69" i="55"/>
  <c r="I69" i="54"/>
  <c r="I69" i="53"/>
  <c r="I68" i="52"/>
  <c r="I69" i="50"/>
  <c r="P30" i="50"/>
  <c r="I71" i="49"/>
  <c r="D32" i="50" l="1"/>
  <c r="D32" i="55"/>
  <c r="D31" i="52"/>
  <c r="D32" i="53"/>
  <c r="D32" i="54"/>
  <c r="E16" i="62"/>
  <c r="F15" i="62"/>
  <c r="I15" i="62" s="1"/>
  <c r="J15" i="62" s="1"/>
  <c r="P31" i="53"/>
  <c r="P31" i="50"/>
  <c r="I69" i="61"/>
  <c r="I70" i="60"/>
  <c r="I70" i="59"/>
  <c r="I71" i="58"/>
  <c r="I71" i="57"/>
  <c r="I71" i="56"/>
  <c r="I70" i="55"/>
  <c r="I70" i="54"/>
  <c r="P31" i="54"/>
  <c r="I70" i="53"/>
  <c r="P30" i="52"/>
  <c r="I69" i="52"/>
  <c r="I70" i="50"/>
  <c r="I72" i="49"/>
  <c r="D33" i="55" l="1"/>
  <c r="D32" i="52"/>
  <c r="E17" i="62"/>
  <c r="F16" i="62"/>
  <c r="I16" i="62" s="1"/>
  <c r="J16" i="62" s="1"/>
  <c r="D33" i="54"/>
  <c r="D33" i="50"/>
  <c r="D33" i="53"/>
  <c r="P32" i="53"/>
  <c r="P31" i="52"/>
  <c r="I70" i="61"/>
  <c r="I71" i="60"/>
  <c r="I71" i="59"/>
  <c r="I72" i="58"/>
  <c r="I72" i="57"/>
  <c r="I72" i="56"/>
  <c r="I71" i="55"/>
  <c r="P32" i="54"/>
  <c r="I71" i="54"/>
  <c r="I71" i="53"/>
  <c r="I70" i="52"/>
  <c r="I71" i="50"/>
  <c r="P32" i="50"/>
  <c r="I73" i="49"/>
  <c r="D34" i="54" l="1"/>
  <c r="D34" i="55"/>
  <c r="D34" i="53"/>
  <c r="D33" i="52"/>
  <c r="D34" i="50"/>
  <c r="E18" i="62"/>
  <c r="F17" i="62"/>
  <c r="I17" i="62" s="1"/>
  <c r="J17" i="62" s="1"/>
  <c r="P33" i="53"/>
  <c r="P32" i="52"/>
  <c r="P33" i="54"/>
  <c r="P33" i="50"/>
  <c r="P34" i="50" s="1"/>
  <c r="I71" i="61"/>
  <c r="I72" i="60"/>
  <c r="I72" i="59"/>
  <c r="I73" i="58"/>
  <c r="I73" i="57"/>
  <c r="I73" i="56"/>
  <c r="I72" i="55"/>
  <c r="I72" i="54"/>
  <c r="I72" i="53"/>
  <c r="I71" i="52"/>
  <c r="I72" i="50"/>
  <c r="I74" i="49"/>
  <c r="D35" i="50" l="1"/>
  <c r="D34" i="52"/>
  <c r="G12" i="49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G30" i="49" s="1"/>
  <c r="G31" i="49" s="1"/>
  <c r="G32" i="49" s="1"/>
  <c r="G33" i="49" s="1"/>
  <c r="G34" i="49" s="1"/>
  <c r="G35" i="49" s="1"/>
  <c r="G36" i="49" s="1"/>
  <c r="E12" i="49"/>
  <c r="L12" i="49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L28" i="49" s="1"/>
  <c r="L29" i="49" s="1"/>
  <c r="L30" i="49" s="1"/>
  <c r="L31" i="49" s="1"/>
  <c r="L32" i="49" s="1"/>
  <c r="L33" i="49" s="1"/>
  <c r="L34" i="49" s="1"/>
  <c r="L35" i="49" s="1"/>
  <c r="L36" i="49" s="1"/>
  <c r="H12" i="49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H30" i="49" s="1"/>
  <c r="H31" i="49" s="1"/>
  <c r="H32" i="49" s="1"/>
  <c r="H33" i="49" s="1"/>
  <c r="H34" i="49" s="1"/>
  <c r="H35" i="49" s="1"/>
  <c r="H36" i="49" s="1"/>
  <c r="D16" i="49"/>
  <c r="D35" i="53"/>
  <c r="D35" i="55"/>
  <c r="E19" i="62"/>
  <c r="F18" i="62"/>
  <c r="I18" i="62" s="1"/>
  <c r="J18" i="62" s="1"/>
  <c r="D35" i="54"/>
  <c r="P34" i="53"/>
  <c r="P34" i="54"/>
  <c r="I72" i="61"/>
  <c r="I73" i="60"/>
  <c r="I73" i="59"/>
  <c r="I74" i="58"/>
  <c r="I74" i="57"/>
  <c r="I74" i="56"/>
  <c r="I73" i="55"/>
  <c r="I73" i="54"/>
  <c r="I73" i="53"/>
  <c r="P33" i="52"/>
  <c r="I72" i="52"/>
  <c r="P35" i="50"/>
  <c r="I73" i="50"/>
  <c r="D36" i="54" l="1"/>
  <c r="D36" i="53"/>
  <c r="K12" i="57"/>
  <c r="K13" i="57" s="1"/>
  <c r="K14" i="57" s="1"/>
  <c r="K15" i="57" s="1"/>
  <c r="K16" i="57" s="1"/>
  <c r="K17" i="57" s="1"/>
  <c r="K18" i="57" s="1"/>
  <c r="K19" i="57" s="1"/>
  <c r="K20" i="57" s="1"/>
  <c r="K21" i="57" s="1"/>
  <c r="K22" i="57" s="1"/>
  <c r="K23" i="57" s="1"/>
  <c r="K24" i="57" s="1"/>
  <c r="K25" i="57" s="1"/>
  <c r="K26" i="57" s="1"/>
  <c r="K27" i="57" s="1"/>
  <c r="K28" i="57" s="1"/>
  <c r="K29" i="57" s="1"/>
  <c r="K30" i="57" s="1"/>
  <c r="K31" i="57" s="1"/>
  <c r="K32" i="57" s="1"/>
  <c r="K33" i="57" s="1"/>
  <c r="K34" i="57" s="1"/>
  <c r="K35" i="57" s="1"/>
  <c r="K36" i="57" s="1"/>
  <c r="D28" i="57"/>
  <c r="H12" i="57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G12" i="57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E12" i="57"/>
  <c r="D36" i="55"/>
  <c r="K12" i="56"/>
  <c r="K13" i="56" s="1"/>
  <c r="K14" i="56" s="1"/>
  <c r="K15" i="56" s="1"/>
  <c r="K16" i="56" s="1"/>
  <c r="K17" i="56" s="1"/>
  <c r="K18" i="56" s="1"/>
  <c r="K19" i="56" s="1"/>
  <c r="K20" i="56" s="1"/>
  <c r="K21" i="56" s="1"/>
  <c r="K22" i="56" s="1"/>
  <c r="K23" i="56" s="1"/>
  <c r="K24" i="56" s="1"/>
  <c r="K25" i="56" s="1"/>
  <c r="K26" i="56" s="1"/>
  <c r="K27" i="56" s="1"/>
  <c r="K28" i="56" s="1"/>
  <c r="K29" i="56" s="1"/>
  <c r="K30" i="56" s="1"/>
  <c r="K31" i="56" s="1"/>
  <c r="K32" i="56" s="1"/>
  <c r="K33" i="56" s="1"/>
  <c r="K34" i="56" s="1"/>
  <c r="K35" i="56" s="1"/>
  <c r="K36" i="56" s="1"/>
  <c r="H12" i="56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G12" i="56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E12" i="56"/>
  <c r="D27" i="56"/>
  <c r="H12" i="58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2" i="58" s="1"/>
  <c r="H33" i="58" s="1"/>
  <c r="H34" i="58" s="1"/>
  <c r="H35" i="58" s="1"/>
  <c r="H36" i="58" s="1"/>
  <c r="K12" i="58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G12" i="58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E12" i="58"/>
  <c r="D25" i="58"/>
  <c r="D17" i="49"/>
  <c r="E20" i="62"/>
  <c r="F19" i="62"/>
  <c r="I19" i="62" s="1"/>
  <c r="J19" i="62" s="1"/>
  <c r="D35" i="52"/>
  <c r="E13" i="49"/>
  <c r="F12" i="49"/>
  <c r="J12" i="49" s="1"/>
  <c r="K12" i="49" s="1"/>
  <c r="D36" i="50"/>
  <c r="P35" i="53"/>
  <c r="P36" i="53" s="1"/>
  <c r="P35" i="54"/>
  <c r="I73" i="61"/>
  <c r="I74" i="60"/>
  <c r="I74" i="59"/>
  <c r="I74" i="55"/>
  <c r="I74" i="54"/>
  <c r="I74" i="53"/>
  <c r="P34" i="52"/>
  <c r="I73" i="52"/>
  <c r="P36" i="50"/>
  <c r="I74" i="50"/>
  <c r="K12" i="55" l="1"/>
  <c r="K13" i="55" s="1"/>
  <c r="K14" i="55" s="1"/>
  <c r="K15" i="55" s="1"/>
  <c r="K16" i="55" s="1"/>
  <c r="K17" i="55" s="1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K28" i="55" s="1"/>
  <c r="K29" i="55" s="1"/>
  <c r="K30" i="55" s="1"/>
  <c r="K31" i="55" s="1"/>
  <c r="K32" i="55" s="1"/>
  <c r="K33" i="55" s="1"/>
  <c r="K34" i="55" s="1"/>
  <c r="K35" i="55" s="1"/>
  <c r="K36" i="55" s="1"/>
  <c r="E12" i="55"/>
  <c r="G12" i="55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H12" i="55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D36" i="52"/>
  <c r="D18" i="49"/>
  <c r="E13" i="56"/>
  <c r="F12" i="56"/>
  <c r="I12" i="56" s="1"/>
  <c r="J12" i="56" s="1"/>
  <c r="E12" i="50"/>
  <c r="H12" i="50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G12" i="50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K12" i="50"/>
  <c r="K13" i="50" s="1"/>
  <c r="K14" i="50" s="1"/>
  <c r="K15" i="50" s="1"/>
  <c r="K16" i="50" s="1"/>
  <c r="K17" i="50" s="1"/>
  <c r="K18" i="50" s="1"/>
  <c r="K19" i="50" s="1"/>
  <c r="K20" i="50" s="1"/>
  <c r="K21" i="50" s="1"/>
  <c r="K22" i="50" s="1"/>
  <c r="K23" i="50" s="1"/>
  <c r="K24" i="50" s="1"/>
  <c r="K25" i="50" s="1"/>
  <c r="K26" i="50" s="1"/>
  <c r="K27" i="50" s="1"/>
  <c r="K28" i="50" s="1"/>
  <c r="K29" i="50" s="1"/>
  <c r="K30" i="50" s="1"/>
  <c r="K31" i="50" s="1"/>
  <c r="K32" i="50" s="1"/>
  <c r="K33" i="50" s="1"/>
  <c r="K34" i="50" s="1"/>
  <c r="K35" i="50" s="1"/>
  <c r="K36" i="50" s="1"/>
  <c r="H12" i="53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E12" i="53"/>
  <c r="K12" i="53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G12" i="53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D26" i="59"/>
  <c r="H12" i="59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E12" i="59"/>
  <c r="G12" i="59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K12" i="59"/>
  <c r="K13" i="59" s="1"/>
  <c r="K14" i="59" s="1"/>
  <c r="K15" i="59" s="1"/>
  <c r="K16" i="59" s="1"/>
  <c r="K17" i="59" s="1"/>
  <c r="K18" i="59" s="1"/>
  <c r="K19" i="59" s="1"/>
  <c r="K20" i="59" s="1"/>
  <c r="K21" i="59" s="1"/>
  <c r="K22" i="59" s="1"/>
  <c r="K23" i="59" s="1"/>
  <c r="K24" i="59" s="1"/>
  <c r="K25" i="59" s="1"/>
  <c r="K26" i="59" s="1"/>
  <c r="K27" i="59" s="1"/>
  <c r="K28" i="59" s="1"/>
  <c r="K29" i="59" s="1"/>
  <c r="K30" i="59" s="1"/>
  <c r="K31" i="59" s="1"/>
  <c r="K32" i="59" s="1"/>
  <c r="K33" i="59" s="1"/>
  <c r="K34" i="59" s="1"/>
  <c r="K35" i="59" s="1"/>
  <c r="K36" i="59" s="1"/>
  <c r="D26" i="58"/>
  <c r="D29" i="57"/>
  <c r="E14" i="49"/>
  <c r="F13" i="49"/>
  <c r="J13" i="49" s="1"/>
  <c r="K13" i="49" s="1"/>
  <c r="D28" i="56"/>
  <c r="H12" i="54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2" i="54" s="1"/>
  <c r="H33" i="54" s="1"/>
  <c r="H34" i="54" s="1"/>
  <c r="H35" i="54" s="1"/>
  <c r="H36" i="54" s="1"/>
  <c r="K12" i="54"/>
  <c r="K13" i="54" s="1"/>
  <c r="K14" i="54" s="1"/>
  <c r="K15" i="54" s="1"/>
  <c r="K16" i="54" s="1"/>
  <c r="K17" i="54" s="1"/>
  <c r="K18" i="54" s="1"/>
  <c r="K19" i="54" s="1"/>
  <c r="K20" i="54" s="1"/>
  <c r="K21" i="54" s="1"/>
  <c r="K22" i="54" s="1"/>
  <c r="K23" i="54" s="1"/>
  <c r="K24" i="54" s="1"/>
  <c r="K25" i="54" s="1"/>
  <c r="K26" i="54" s="1"/>
  <c r="K27" i="54" s="1"/>
  <c r="K28" i="54" s="1"/>
  <c r="K29" i="54" s="1"/>
  <c r="K30" i="54" s="1"/>
  <c r="K31" i="54" s="1"/>
  <c r="K32" i="54" s="1"/>
  <c r="K33" i="54" s="1"/>
  <c r="K34" i="54" s="1"/>
  <c r="K35" i="54" s="1"/>
  <c r="K36" i="54" s="1"/>
  <c r="E12" i="54"/>
  <c r="G12" i="54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D27" i="60"/>
  <c r="K12" i="60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K30" i="60" s="1"/>
  <c r="K31" i="60" s="1"/>
  <c r="K32" i="60" s="1"/>
  <c r="K33" i="60" s="1"/>
  <c r="K34" i="60" s="1"/>
  <c r="K35" i="60" s="1"/>
  <c r="K36" i="60" s="1"/>
  <c r="E12" i="60"/>
  <c r="G12" i="60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H12" i="60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E21" i="62"/>
  <c r="F20" i="62"/>
  <c r="I20" i="62" s="1"/>
  <c r="J20" i="62" s="1"/>
  <c r="E13" i="58"/>
  <c r="F12" i="58"/>
  <c r="I12" i="58" s="1"/>
  <c r="J12" i="58" s="1"/>
  <c r="E13" i="57"/>
  <c r="F12" i="57"/>
  <c r="I12" i="57" s="1"/>
  <c r="J12" i="57" s="1"/>
  <c r="P36" i="54"/>
  <c r="I74" i="61"/>
  <c r="P35" i="52"/>
  <c r="I74" i="52"/>
  <c r="E13" i="59" l="1"/>
  <c r="F12" i="59"/>
  <c r="I12" i="59" s="1"/>
  <c r="J12" i="59" s="1"/>
  <c r="G12" i="52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H12" i="52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E12" i="52"/>
  <c r="K12" i="52"/>
  <c r="K13" i="52" s="1"/>
  <c r="K14" i="52" s="1"/>
  <c r="K15" i="52" s="1"/>
  <c r="K16" i="52" s="1"/>
  <c r="K17" i="52" s="1"/>
  <c r="K18" i="52" s="1"/>
  <c r="K19" i="52" s="1"/>
  <c r="K20" i="52" s="1"/>
  <c r="K21" i="52" s="1"/>
  <c r="K22" i="52" s="1"/>
  <c r="K23" i="52" s="1"/>
  <c r="K24" i="52" s="1"/>
  <c r="K25" i="52" s="1"/>
  <c r="K26" i="52" s="1"/>
  <c r="K27" i="52" s="1"/>
  <c r="K28" i="52" s="1"/>
  <c r="K29" i="52" s="1"/>
  <c r="K30" i="52" s="1"/>
  <c r="K31" i="52" s="1"/>
  <c r="K32" i="52" s="1"/>
  <c r="K33" i="52" s="1"/>
  <c r="K34" i="52" s="1"/>
  <c r="K35" i="52" s="1"/>
  <c r="K36" i="52" s="1"/>
  <c r="E13" i="60"/>
  <c r="F12" i="60"/>
  <c r="I12" i="60" s="1"/>
  <c r="J12" i="60" s="1"/>
  <c r="E15" i="49"/>
  <c r="F14" i="49"/>
  <c r="J14" i="49" s="1"/>
  <c r="K14" i="49" s="1"/>
  <c r="D27" i="58"/>
  <c r="D19" i="49"/>
  <c r="E13" i="55"/>
  <c r="F12" i="55"/>
  <c r="I12" i="55" s="1"/>
  <c r="J12" i="55" s="1"/>
  <c r="E13" i="50"/>
  <c r="F12" i="50"/>
  <c r="I12" i="50" s="1"/>
  <c r="J12" i="50" s="1"/>
  <c r="E14" i="57"/>
  <c r="F13" i="57"/>
  <c r="I13" i="57" s="1"/>
  <c r="J13" i="57" s="1"/>
  <c r="E22" i="62"/>
  <c r="F21" i="62"/>
  <c r="I21" i="62" s="1"/>
  <c r="J21" i="62" s="1"/>
  <c r="E13" i="54"/>
  <c r="F12" i="54"/>
  <c r="I12" i="54" s="1"/>
  <c r="J12" i="54" s="1"/>
  <c r="D27" i="59"/>
  <c r="E13" i="53"/>
  <c r="F12" i="53"/>
  <c r="I12" i="53" s="1"/>
  <c r="J12" i="53" s="1"/>
  <c r="D28" i="61"/>
  <c r="G12" i="6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H12" i="6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E12" i="61"/>
  <c r="K12" i="61"/>
  <c r="K13" i="61" s="1"/>
  <c r="K14" i="61" s="1"/>
  <c r="K15" i="61" s="1"/>
  <c r="K16" i="61" s="1"/>
  <c r="K17" i="61" s="1"/>
  <c r="K18" i="61" s="1"/>
  <c r="K19" i="61" s="1"/>
  <c r="K20" i="61" s="1"/>
  <c r="K21" i="61" s="1"/>
  <c r="K22" i="61" s="1"/>
  <c r="K23" i="61" s="1"/>
  <c r="K24" i="61" s="1"/>
  <c r="K25" i="61" s="1"/>
  <c r="K26" i="61" s="1"/>
  <c r="K27" i="61" s="1"/>
  <c r="K28" i="61" s="1"/>
  <c r="K29" i="61" s="1"/>
  <c r="K30" i="61" s="1"/>
  <c r="K31" i="61" s="1"/>
  <c r="K32" i="61" s="1"/>
  <c r="K33" i="61" s="1"/>
  <c r="K34" i="61" s="1"/>
  <c r="K35" i="61" s="1"/>
  <c r="K36" i="61" s="1"/>
  <c r="E14" i="58"/>
  <c r="F13" i="58"/>
  <c r="I13" i="58" s="1"/>
  <c r="J13" i="58" s="1"/>
  <c r="D28" i="60"/>
  <c r="D29" i="56"/>
  <c r="D30" i="57"/>
  <c r="E14" i="56"/>
  <c r="F13" i="56"/>
  <c r="I13" i="56" s="1"/>
  <c r="J13" i="56" s="1"/>
  <c r="P36" i="52"/>
  <c r="E15" i="56" l="1"/>
  <c r="F14" i="56"/>
  <c r="I14" i="56" s="1"/>
  <c r="J14" i="56" s="1"/>
  <c r="D30" i="56"/>
  <c r="E15" i="58"/>
  <c r="F14" i="58"/>
  <c r="I14" i="58" s="1"/>
  <c r="J14" i="58" s="1"/>
  <c r="E14" i="53"/>
  <c r="F13" i="53"/>
  <c r="I13" i="53" s="1"/>
  <c r="J13" i="53" s="1"/>
  <c r="E15" i="57"/>
  <c r="F14" i="57"/>
  <c r="I14" i="57" s="1"/>
  <c r="J14" i="57" s="1"/>
  <c r="E14" i="55"/>
  <c r="F13" i="55"/>
  <c r="I13" i="55" s="1"/>
  <c r="J13" i="55" s="1"/>
  <c r="D28" i="58"/>
  <c r="E14" i="60"/>
  <c r="F13" i="60"/>
  <c r="I13" i="60" s="1"/>
  <c r="J13" i="60" s="1"/>
  <c r="E14" i="54"/>
  <c r="F13" i="54"/>
  <c r="I13" i="54" s="1"/>
  <c r="J13" i="54" s="1"/>
  <c r="D29" i="61"/>
  <c r="D31" i="57"/>
  <c r="D29" i="60"/>
  <c r="E13" i="61"/>
  <c r="F12" i="61"/>
  <c r="I12" i="61" s="1"/>
  <c r="J12" i="61" s="1"/>
  <c r="D28" i="59"/>
  <c r="E23" i="62"/>
  <c r="F22" i="62"/>
  <c r="I22" i="62" s="1"/>
  <c r="J22" i="62" s="1"/>
  <c r="E14" i="50"/>
  <c r="F13" i="50"/>
  <c r="I13" i="50" s="1"/>
  <c r="J13" i="50" s="1"/>
  <c r="D20" i="49"/>
  <c r="E16" i="49"/>
  <c r="F15" i="49"/>
  <c r="J15" i="49" s="1"/>
  <c r="K15" i="49" s="1"/>
  <c r="E13" i="52"/>
  <c r="F12" i="52"/>
  <c r="I12" i="52" s="1"/>
  <c r="J12" i="52" s="1"/>
  <c r="E14" i="59"/>
  <c r="F13" i="59"/>
  <c r="I13" i="59" s="1"/>
  <c r="J13" i="59" s="1"/>
  <c r="E15" i="59" l="1"/>
  <c r="F14" i="59"/>
  <c r="I14" i="59" s="1"/>
  <c r="J14" i="59" s="1"/>
  <c r="D21" i="49"/>
  <c r="E14" i="61"/>
  <c r="F13" i="61"/>
  <c r="I13" i="61" s="1"/>
  <c r="J13" i="61" s="1"/>
  <c r="E15" i="50"/>
  <c r="F14" i="50"/>
  <c r="I14" i="50" s="1"/>
  <c r="J14" i="50" s="1"/>
  <c r="D30" i="60"/>
  <c r="D30" i="61"/>
  <c r="E15" i="55"/>
  <c r="F14" i="55"/>
  <c r="I14" i="55" s="1"/>
  <c r="J14" i="55" s="1"/>
  <c r="E15" i="53"/>
  <c r="F14" i="53"/>
  <c r="I14" i="53" s="1"/>
  <c r="J14" i="53" s="1"/>
  <c r="D31" i="56"/>
  <c r="E17" i="49"/>
  <c r="F16" i="49"/>
  <c r="J16" i="49" s="1"/>
  <c r="K16" i="49" s="1"/>
  <c r="D29" i="59"/>
  <c r="E15" i="60"/>
  <c r="F14" i="60"/>
  <c r="I14" i="60" s="1"/>
  <c r="J14" i="60" s="1"/>
  <c r="E14" i="52"/>
  <c r="F13" i="52"/>
  <c r="I13" i="52" s="1"/>
  <c r="J13" i="52" s="1"/>
  <c r="E24" i="62"/>
  <c r="F23" i="62"/>
  <c r="I23" i="62" s="1"/>
  <c r="J23" i="62" s="1"/>
  <c r="D32" i="57"/>
  <c r="E15" i="54"/>
  <c r="F14" i="54"/>
  <c r="I14" i="54" s="1"/>
  <c r="J14" i="54" s="1"/>
  <c r="D29" i="58"/>
  <c r="E16" i="57"/>
  <c r="F15" i="57"/>
  <c r="I15" i="57" s="1"/>
  <c r="J15" i="57" s="1"/>
  <c r="E16" i="58"/>
  <c r="F15" i="58"/>
  <c r="I15" i="58" s="1"/>
  <c r="J15" i="58" s="1"/>
  <c r="E16" i="56"/>
  <c r="F15" i="56"/>
  <c r="I15" i="56" s="1"/>
  <c r="J15" i="56" s="1"/>
  <c r="E11" i="42"/>
  <c r="C14" i="43"/>
  <c r="D33" i="57" l="1"/>
  <c r="E17" i="57"/>
  <c r="F16" i="57"/>
  <c r="I16" i="57" s="1"/>
  <c r="J16" i="57" s="1"/>
  <c r="E16" i="60"/>
  <c r="F15" i="60"/>
  <c r="I15" i="60" s="1"/>
  <c r="J15" i="60" s="1"/>
  <c r="E16" i="53"/>
  <c r="F15" i="53"/>
  <c r="I15" i="53" s="1"/>
  <c r="J15" i="53" s="1"/>
  <c r="D31" i="61"/>
  <c r="D22" i="49"/>
  <c r="E17" i="56"/>
  <c r="F16" i="56"/>
  <c r="I16" i="56" s="1"/>
  <c r="J16" i="56" s="1"/>
  <c r="E16" i="54"/>
  <c r="F15" i="54"/>
  <c r="I15" i="54" s="1"/>
  <c r="J15" i="54" s="1"/>
  <c r="E25" i="62"/>
  <c r="F24" i="62"/>
  <c r="I24" i="62" s="1"/>
  <c r="J24" i="62" s="1"/>
  <c r="E18" i="49"/>
  <c r="F17" i="49"/>
  <c r="J17" i="49" s="1"/>
  <c r="K17" i="49" s="1"/>
  <c r="E16" i="50"/>
  <c r="F15" i="50"/>
  <c r="I15" i="50" s="1"/>
  <c r="J15" i="50" s="1"/>
  <c r="E17" i="58"/>
  <c r="F16" i="58"/>
  <c r="I16" i="58" s="1"/>
  <c r="J16" i="58" s="1"/>
  <c r="D30" i="58"/>
  <c r="E15" i="52"/>
  <c r="F14" i="52"/>
  <c r="I14" i="52" s="1"/>
  <c r="J14" i="52" s="1"/>
  <c r="D30" i="59"/>
  <c r="D32" i="56"/>
  <c r="E16" i="55"/>
  <c r="F15" i="55"/>
  <c r="I15" i="55" s="1"/>
  <c r="J15" i="55" s="1"/>
  <c r="D31" i="60"/>
  <c r="E15" i="61"/>
  <c r="F14" i="61"/>
  <c r="I14" i="61" s="1"/>
  <c r="J14" i="61" s="1"/>
  <c r="E16" i="59"/>
  <c r="F15" i="59"/>
  <c r="I15" i="59" s="1"/>
  <c r="J15" i="59" s="1"/>
  <c r="D33" i="56" l="1"/>
  <c r="E18" i="58"/>
  <c r="F17" i="58"/>
  <c r="I17" i="58" s="1"/>
  <c r="J17" i="58" s="1"/>
  <c r="E19" i="49"/>
  <c r="F18" i="49"/>
  <c r="J18" i="49" s="1"/>
  <c r="K18" i="49" s="1"/>
  <c r="E17" i="54"/>
  <c r="F16" i="54"/>
  <c r="I16" i="54" s="1"/>
  <c r="J16" i="54" s="1"/>
  <c r="D23" i="49"/>
  <c r="E17" i="53"/>
  <c r="F16" i="53"/>
  <c r="I16" i="53" s="1"/>
  <c r="J16" i="53" s="1"/>
  <c r="E18" i="57"/>
  <c r="F17" i="57"/>
  <c r="I17" i="57" s="1"/>
  <c r="J17" i="57" s="1"/>
  <c r="D32" i="60"/>
  <c r="E16" i="52"/>
  <c r="F15" i="52"/>
  <c r="I15" i="52" s="1"/>
  <c r="J15" i="52" s="1"/>
  <c r="E17" i="59"/>
  <c r="F16" i="59"/>
  <c r="I16" i="59" s="1"/>
  <c r="J16" i="59" s="1"/>
  <c r="E17" i="55"/>
  <c r="F16" i="55"/>
  <c r="I16" i="55" s="1"/>
  <c r="J16" i="55" s="1"/>
  <c r="D31" i="58"/>
  <c r="E26" i="62"/>
  <c r="F25" i="62"/>
  <c r="I25" i="62" s="1"/>
  <c r="J25" i="62" s="1"/>
  <c r="E18" i="56"/>
  <c r="F17" i="56"/>
  <c r="I17" i="56" s="1"/>
  <c r="J17" i="56" s="1"/>
  <c r="D32" i="61"/>
  <c r="E17" i="60"/>
  <c r="F16" i="60"/>
  <c r="I16" i="60" s="1"/>
  <c r="J16" i="60" s="1"/>
  <c r="D34" i="57"/>
  <c r="E16" i="61"/>
  <c r="F15" i="61"/>
  <c r="I15" i="61" s="1"/>
  <c r="J15" i="61" s="1"/>
  <c r="D31" i="59"/>
  <c r="E17" i="50"/>
  <c r="F16" i="50"/>
  <c r="I16" i="50" s="1"/>
  <c r="J16" i="50" s="1"/>
  <c r="B11" i="43"/>
  <c r="B12" i="43"/>
  <c r="B13" i="43" s="1"/>
  <c r="E18" i="50" l="1"/>
  <c r="F17" i="50"/>
  <c r="I17" i="50" s="1"/>
  <c r="J17" i="50" s="1"/>
  <c r="D35" i="57"/>
  <c r="E27" i="62"/>
  <c r="F26" i="62"/>
  <c r="I26" i="62" s="1"/>
  <c r="J26" i="62" s="1"/>
  <c r="E18" i="60"/>
  <c r="F17" i="60"/>
  <c r="I17" i="60" s="1"/>
  <c r="J17" i="60" s="1"/>
  <c r="D32" i="58"/>
  <c r="E18" i="59"/>
  <c r="F17" i="59"/>
  <c r="I17" i="59" s="1"/>
  <c r="J17" i="59" s="1"/>
  <c r="E18" i="53"/>
  <c r="F17" i="53"/>
  <c r="I17" i="53" s="1"/>
  <c r="J17" i="53" s="1"/>
  <c r="E18" i="54"/>
  <c r="F17" i="54"/>
  <c r="I17" i="54" s="1"/>
  <c r="J17" i="54" s="1"/>
  <c r="E19" i="58"/>
  <c r="F18" i="58"/>
  <c r="I18" i="58" s="1"/>
  <c r="J18" i="58" s="1"/>
  <c r="E17" i="61"/>
  <c r="F16" i="61"/>
  <c r="I16" i="61" s="1"/>
  <c r="J16" i="61" s="1"/>
  <c r="E19" i="56"/>
  <c r="F18" i="56"/>
  <c r="I18" i="56" s="1"/>
  <c r="J18" i="56" s="1"/>
  <c r="D33" i="60"/>
  <c r="D32" i="59"/>
  <c r="D33" i="61"/>
  <c r="E18" i="55"/>
  <c r="F17" i="55"/>
  <c r="I17" i="55" s="1"/>
  <c r="J17" i="55" s="1"/>
  <c r="E17" i="52"/>
  <c r="F16" i="52"/>
  <c r="I16" i="52" s="1"/>
  <c r="J16" i="52" s="1"/>
  <c r="E19" i="57"/>
  <c r="F18" i="57"/>
  <c r="I18" i="57" s="1"/>
  <c r="J18" i="57" s="1"/>
  <c r="D24" i="49"/>
  <c r="E20" i="49"/>
  <c r="F19" i="49"/>
  <c r="J19" i="49" s="1"/>
  <c r="K19" i="49" s="1"/>
  <c r="D34" i="56"/>
  <c r="H11" i="43"/>
  <c r="D14" i="43"/>
  <c r="E18" i="52" l="1"/>
  <c r="F17" i="52"/>
  <c r="I17" i="52" s="1"/>
  <c r="J17" i="52" s="1"/>
  <c r="E20" i="57"/>
  <c r="F19" i="57"/>
  <c r="I19" i="57" s="1"/>
  <c r="J19" i="57" s="1"/>
  <c r="D33" i="59"/>
  <c r="D35" i="56"/>
  <c r="D34" i="61"/>
  <c r="E18" i="61"/>
  <c r="F17" i="61"/>
  <c r="I17" i="61" s="1"/>
  <c r="J17" i="61" s="1"/>
  <c r="E19" i="59"/>
  <c r="F18" i="59"/>
  <c r="I18" i="59" s="1"/>
  <c r="J18" i="59" s="1"/>
  <c r="E19" i="60"/>
  <c r="F18" i="60"/>
  <c r="I18" i="60" s="1"/>
  <c r="J18" i="60" s="1"/>
  <c r="D36" i="57"/>
  <c r="D25" i="49"/>
  <c r="D34" i="60"/>
  <c r="E19" i="54"/>
  <c r="F18" i="54"/>
  <c r="I18" i="54" s="1"/>
  <c r="J18" i="54" s="1"/>
  <c r="E21" i="49"/>
  <c r="F20" i="49"/>
  <c r="J20" i="49" s="1"/>
  <c r="K20" i="49" s="1"/>
  <c r="E19" i="55"/>
  <c r="F18" i="55"/>
  <c r="I18" i="55" s="1"/>
  <c r="J18" i="55" s="1"/>
  <c r="E20" i="56"/>
  <c r="F19" i="56"/>
  <c r="I19" i="56" s="1"/>
  <c r="J19" i="56" s="1"/>
  <c r="E20" i="58"/>
  <c r="F19" i="58"/>
  <c r="I19" i="58" s="1"/>
  <c r="J19" i="58" s="1"/>
  <c r="E19" i="53"/>
  <c r="F18" i="53"/>
  <c r="I18" i="53" s="1"/>
  <c r="J18" i="53" s="1"/>
  <c r="D33" i="58"/>
  <c r="E28" i="62"/>
  <c r="F27" i="62"/>
  <c r="I27" i="62" s="1"/>
  <c r="J27" i="62" s="1"/>
  <c r="E19" i="50"/>
  <c r="F18" i="50"/>
  <c r="I18" i="50" s="1"/>
  <c r="J18" i="50" s="1"/>
  <c r="G11" i="43"/>
  <c r="L11" i="43"/>
  <c r="E11" i="43"/>
  <c r="E20" i="50" l="1"/>
  <c r="F19" i="50"/>
  <c r="I19" i="50" s="1"/>
  <c r="J19" i="50" s="1"/>
  <c r="E21" i="58"/>
  <c r="F20" i="58"/>
  <c r="I20" i="58" s="1"/>
  <c r="J20" i="58" s="1"/>
  <c r="E29" i="62"/>
  <c r="F28" i="62"/>
  <c r="I28" i="62" s="1"/>
  <c r="J28" i="62" s="1"/>
  <c r="E21" i="56"/>
  <c r="F20" i="56"/>
  <c r="I20" i="56" s="1"/>
  <c r="J20" i="56" s="1"/>
  <c r="E20" i="54"/>
  <c r="F19" i="54"/>
  <c r="I19" i="54" s="1"/>
  <c r="J19" i="54" s="1"/>
  <c r="E20" i="60"/>
  <c r="F19" i="60"/>
  <c r="I19" i="60" s="1"/>
  <c r="J19" i="60" s="1"/>
  <c r="D36" i="56"/>
  <c r="E21" i="57"/>
  <c r="F20" i="57"/>
  <c r="I20" i="57" s="1"/>
  <c r="J20" i="57" s="1"/>
  <c r="E20" i="53"/>
  <c r="F19" i="53"/>
  <c r="I19" i="53" s="1"/>
  <c r="J19" i="53" s="1"/>
  <c r="E22" i="49"/>
  <c r="F21" i="49"/>
  <c r="J21" i="49" s="1"/>
  <c r="K21" i="49" s="1"/>
  <c r="D26" i="49"/>
  <c r="E19" i="61"/>
  <c r="F18" i="61"/>
  <c r="I18" i="61" s="1"/>
  <c r="J18" i="61" s="1"/>
  <c r="D34" i="58"/>
  <c r="E20" i="55"/>
  <c r="F19" i="55"/>
  <c r="I19" i="55" s="1"/>
  <c r="J19" i="55" s="1"/>
  <c r="D35" i="60"/>
  <c r="E20" i="59"/>
  <c r="F19" i="59"/>
  <c r="I19" i="59" s="1"/>
  <c r="J19" i="59" s="1"/>
  <c r="D35" i="61"/>
  <c r="D34" i="59"/>
  <c r="E19" i="52"/>
  <c r="F18" i="52"/>
  <c r="I18" i="52" s="1"/>
  <c r="J18" i="52" s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D36" i="60" l="1"/>
  <c r="D35" i="58"/>
  <c r="D27" i="49"/>
  <c r="E21" i="53"/>
  <c r="F20" i="53"/>
  <c r="I20" i="53" s="1"/>
  <c r="J20" i="53" s="1"/>
  <c r="E22" i="58"/>
  <c r="F21" i="58"/>
  <c r="I21" i="58" s="1"/>
  <c r="J21" i="58" s="1"/>
  <c r="D35" i="59"/>
  <c r="E21" i="59"/>
  <c r="F20" i="59"/>
  <c r="I20" i="59" s="1"/>
  <c r="J20" i="59" s="1"/>
  <c r="E21" i="54"/>
  <c r="F20" i="54"/>
  <c r="I20" i="54" s="1"/>
  <c r="J20" i="54" s="1"/>
  <c r="E30" i="62"/>
  <c r="F29" i="62"/>
  <c r="I29" i="62" s="1"/>
  <c r="J29" i="62" s="1"/>
  <c r="E21" i="55"/>
  <c r="F20" i="55"/>
  <c r="I20" i="55" s="1"/>
  <c r="J20" i="55" s="1"/>
  <c r="E20" i="61"/>
  <c r="F19" i="61"/>
  <c r="I19" i="61" s="1"/>
  <c r="J19" i="61" s="1"/>
  <c r="E23" i="49"/>
  <c r="F22" i="49"/>
  <c r="J22" i="49" s="1"/>
  <c r="K22" i="49" s="1"/>
  <c r="E21" i="50"/>
  <c r="F20" i="50"/>
  <c r="I20" i="50" s="1"/>
  <c r="J20" i="50" s="1"/>
  <c r="E20" i="52"/>
  <c r="F19" i="52"/>
  <c r="I19" i="52" s="1"/>
  <c r="J19" i="52" s="1"/>
  <c r="D36" i="61"/>
  <c r="E22" i="57"/>
  <c r="F21" i="57"/>
  <c r="I21" i="57" s="1"/>
  <c r="J21" i="57" s="1"/>
  <c r="E21" i="60"/>
  <c r="F20" i="60"/>
  <c r="I20" i="60" s="1"/>
  <c r="J20" i="60" s="1"/>
  <c r="E22" i="56"/>
  <c r="F21" i="56"/>
  <c r="I21" i="56" s="1"/>
  <c r="J21" i="56" s="1"/>
  <c r="C11" i="47"/>
  <c r="E23" i="57" l="1"/>
  <c r="F22" i="57"/>
  <c r="I22" i="57" s="1"/>
  <c r="J22" i="57" s="1"/>
  <c r="E21" i="52"/>
  <c r="F20" i="52"/>
  <c r="I20" i="52" s="1"/>
  <c r="J20" i="52" s="1"/>
  <c r="E24" i="49"/>
  <c r="F23" i="49"/>
  <c r="J23" i="49" s="1"/>
  <c r="K23" i="49" s="1"/>
  <c r="E22" i="55"/>
  <c r="F21" i="55"/>
  <c r="I21" i="55" s="1"/>
  <c r="J21" i="55" s="1"/>
  <c r="E22" i="54"/>
  <c r="F21" i="54"/>
  <c r="I21" i="54" s="1"/>
  <c r="J21" i="54" s="1"/>
  <c r="D36" i="59"/>
  <c r="E22" i="53"/>
  <c r="F21" i="53"/>
  <c r="I21" i="53" s="1"/>
  <c r="J21" i="53" s="1"/>
  <c r="D36" i="58"/>
  <c r="E22" i="60"/>
  <c r="F21" i="60"/>
  <c r="I21" i="60" s="1"/>
  <c r="J21" i="60" s="1"/>
  <c r="E22" i="50"/>
  <c r="F21" i="50"/>
  <c r="I21" i="50" s="1"/>
  <c r="J21" i="50" s="1"/>
  <c r="E21" i="61"/>
  <c r="F20" i="61"/>
  <c r="I20" i="61" s="1"/>
  <c r="J20" i="61" s="1"/>
  <c r="E31" i="62"/>
  <c r="F30" i="62"/>
  <c r="I30" i="62" s="1"/>
  <c r="J30" i="62" s="1"/>
  <c r="E23" i="56"/>
  <c r="F22" i="56"/>
  <c r="I22" i="56" s="1"/>
  <c r="J22" i="56" s="1"/>
  <c r="E22" i="59"/>
  <c r="F21" i="59"/>
  <c r="I21" i="59" s="1"/>
  <c r="J21" i="59" s="1"/>
  <c r="E23" i="58"/>
  <c r="F22" i="58"/>
  <c r="I22" i="58" s="1"/>
  <c r="J22" i="58" s="1"/>
  <c r="D28" i="49"/>
  <c r="E24" i="56" l="1"/>
  <c r="F23" i="56"/>
  <c r="I23" i="56" s="1"/>
  <c r="J23" i="56" s="1"/>
  <c r="E23" i="59"/>
  <c r="F22" i="59"/>
  <c r="I22" i="59" s="1"/>
  <c r="J22" i="59" s="1"/>
  <c r="E23" i="50"/>
  <c r="F22" i="50"/>
  <c r="I22" i="50" s="1"/>
  <c r="J22" i="50" s="1"/>
  <c r="E24" i="58"/>
  <c r="F23" i="58"/>
  <c r="I23" i="58" s="1"/>
  <c r="J23" i="58" s="1"/>
  <c r="E23" i="55"/>
  <c r="F22" i="55"/>
  <c r="I22" i="55" s="1"/>
  <c r="J22" i="55" s="1"/>
  <c r="E22" i="52"/>
  <c r="F21" i="52"/>
  <c r="I21" i="52" s="1"/>
  <c r="J21" i="52" s="1"/>
  <c r="E22" i="61"/>
  <c r="F21" i="61"/>
  <c r="I21" i="61" s="1"/>
  <c r="J21" i="61" s="1"/>
  <c r="E23" i="60"/>
  <c r="F22" i="60"/>
  <c r="I22" i="60" s="1"/>
  <c r="J22" i="60" s="1"/>
  <c r="D29" i="49"/>
  <c r="E32" i="62"/>
  <c r="F31" i="62"/>
  <c r="I31" i="62" s="1"/>
  <c r="J31" i="62" s="1"/>
  <c r="E23" i="53"/>
  <c r="F22" i="53"/>
  <c r="I22" i="53" s="1"/>
  <c r="J22" i="53" s="1"/>
  <c r="E23" i="54"/>
  <c r="F22" i="54"/>
  <c r="I22" i="54" s="1"/>
  <c r="J22" i="54" s="1"/>
  <c r="E25" i="49"/>
  <c r="F24" i="49"/>
  <c r="J24" i="49" s="1"/>
  <c r="K24" i="49" s="1"/>
  <c r="E24" i="57"/>
  <c r="F23" i="57"/>
  <c r="I23" i="57" s="1"/>
  <c r="J23" i="57" s="1"/>
  <c r="E33" i="62" l="1"/>
  <c r="F32" i="62"/>
  <c r="I32" i="62" s="1"/>
  <c r="J32" i="62" s="1"/>
  <c r="E24" i="53"/>
  <c r="F23" i="53"/>
  <c r="I23" i="53" s="1"/>
  <c r="J23" i="53" s="1"/>
  <c r="E23" i="61"/>
  <c r="F22" i="61"/>
  <c r="I22" i="61" s="1"/>
  <c r="J22" i="61" s="1"/>
  <c r="E24" i="55"/>
  <c r="F23" i="55"/>
  <c r="I23" i="55" s="1"/>
  <c r="J23" i="55" s="1"/>
  <c r="E24" i="59"/>
  <c r="F23" i="59"/>
  <c r="I23" i="59" s="1"/>
  <c r="J23" i="59" s="1"/>
  <c r="E26" i="49"/>
  <c r="F25" i="49"/>
  <c r="J25" i="49" s="1"/>
  <c r="K25" i="49" s="1"/>
  <c r="D30" i="49"/>
  <c r="E25" i="58"/>
  <c r="F24" i="58"/>
  <c r="I24" i="58" s="1"/>
  <c r="J24" i="58" s="1"/>
  <c r="E25" i="57"/>
  <c r="F24" i="57"/>
  <c r="I24" i="57" s="1"/>
  <c r="J24" i="57" s="1"/>
  <c r="E24" i="54"/>
  <c r="F23" i="54"/>
  <c r="I23" i="54" s="1"/>
  <c r="J23" i="54" s="1"/>
  <c r="E24" i="60"/>
  <c r="F23" i="60"/>
  <c r="I23" i="60" s="1"/>
  <c r="J23" i="60" s="1"/>
  <c r="E23" i="52"/>
  <c r="F22" i="52"/>
  <c r="I22" i="52" s="1"/>
  <c r="J22" i="52" s="1"/>
  <c r="E24" i="50"/>
  <c r="F23" i="50"/>
  <c r="I23" i="50" s="1"/>
  <c r="J23" i="50" s="1"/>
  <c r="E25" i="56"/>
  <c r="F24" i="56"/>
  <c r="I24" i="56" s="1"/>
  <c r="J24" i="56" s="1"/>
  <c r="C43" i="47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E26" i="57" l="1"/>
  <c r="F25" i="57"/>
  <c r="I25" i="57" s="1"/>
  <c r="J25" i="57" s="1"/>
  <c r="E24" i="52"/>
  <c r="F23" i="52"/>
  <c r="I23" i="52" s="1"/>
  <c r="J23" i="52" s="1"/>
  <c r="E26" i="58"/>
  <c r="F25" i="58"/>
  <c r="I25" i="58" s="1"/>
  <c r="J25" i="58" s="1"/>
  <c r="E25" i="55"/>
  <c r="F24" i="55"/>
  <c r="I24" i="55" s="1"/>
  <c r="J24" i="55" s="1"/>
  <c r="E25" i="53"/>
  <c r="F24" i="53"/>
  <c r="I24" i="53" s="1"/>
  <c r="J24" i="53" s="1"/>
  <c r="E26" i="56"/>
  <c r="F25" i="56"/>
  <c r="I25" i="56" s="1"/>
  <c r="J25" i="56" s="1"/>
  <c r="E25" i="54"/>
  <c r="F24" i="54"/>
  <c r="I24" i="54" s="1"/>
  <c r="J24" i="54" s="1"/>
  <c r="E27" i="49"/>
  <c r="F26" i="49"/>
  <c r="J26" i="49" s="1"/>
  <c r="K26" i="49" s="1"/>
  <c r="E25" i="50"/>
  <c r="F24" i="50"/>
  <c r="I24" i="50" s="1"/>
  <c r="J24" i="50" s="1"/>
  <c r="E25" i="60"/>
  <c r="F24" i="60"/>
  <c r="I24" i="60" s="1"/>
  <c r="J24" i="60" s="1"/>
  <c r="D31" i="49"/>
  <c r="E25" i="59"/>
  <c r="F24" i="59"/>
  <c r="I24" i="59" s="1"/>
  <c r="J24" i="59" s="1"/>
  <c r="E24" i="61"/>
  <c r="F23" i="61"/>
  <c r="I23" i="61" s="1"/>
  <c r="J23" i="61" s="1"/>
  <c r="E34" i="62"/>
  <c r="F33" i="62"/>
  <c r="I33" i="62" s="1"/>
  <c r="J33" i="62" s="1"/>
  <c r="C44" i="47"/>
  <c r="E35" i="62" l="1"/>
  <c r="F34" i="62"/>
  <c r="I34" i="62" s="1"/>
  <c r="J34" i="62" s="1"/>
  <c r="E26" i="60"/>
  <c r="F25" i="60"/>
  <c r="I25" i="60" s="1"/>
  <c r="J25" i="60" s="1"/>
  <c r="E28" i="49"/>
  <c r="F27" i="49"/>
  <c r="J27" i="49" s="1"/>
  <c r="K27" i="49" s="1"/>
  <c r="E26" i="55"/>
  <c r="F25" i="55"/>
  <c r="I25" i="55" s="1"/>
  <c r="J25" i="55" s="1"/>
  <c r="E25" i="52"/>
  <c r="F24" i="52"/>
  <c r="I24" i="52" s="1"/>
  <c r="J24" i="52" s="1"/>
  <c r="E26" i="59"/>
  <c r="F25" i="59"/>
  <c r="I25" i="59" s="1"/>
  <c r="J25" i="59" s="1"/>
  <c r="E27" i="56"/>
  <c r="F26" i="56"/>
  <c r="I26" i="56" s="1"/>
  <c r="J26" i="56" s="1"/>
  <c r="E25" i="61"/>
  <c r="F24" i="61"/>
  <c r="I24" i="61" s="1"/>
  <c r="J24" i="61" s="1"/>
  <c r="D32" i="49"/>
  <c r="E26" i="50"/>
  <c r="F25" i="50"/>
  <c r="I25" i="50" s="1"/>
  <c r="J25" i="50" s="1"/>
  <c r="E26" i="54"/>
  <c r="F25" i="54"/>
  <c r="I25" i="54" s="1"/>
  <c r="J25" i="54" s="1"/>
  <c r="E26" i="53"/>
  <c r="F25" i="53"/>
  <c r="I25" i="53" s="1"/>
  <c r="J25" i="53" s="1"/>
  <c r="E27" i="58"/>
  <c r="F26" i="58"/>
  <c r="I26" i="58" s="1"/>
  <c r="J26" i="58" s="1"/>
  <c r="E27" i="57"/>
  <c r="F26" i="57"/>
  <c r="I26" i="57" s="1"/>
  <c r="J26" i="57" s="1"/>
  <c r="C10" i="47"/>
  <c r="E10" i="47" s="1"/>
  <c r="C45" i="47"/>
  <c r="C40" i="47"/>
  <c r="E28" i="58" l="1"/>
  <c r="F27" i="58"/>
  <c r="I27" i="58" s="1"/>
  <c r="J27" i="58" s="1"/>
  <c r="E28" i="57"/>
  <c r="F27" i="57"/>
  <c r="I27" i="57" s="1"/>
  <c r="J27" i="57" s="1"/>
  <c r="E27" i="50"/>
  <c r="F26" i="50"/>
  <c r="I26" i="50" s="1"/>
  <c r="J26" i="50" s="1"/>
  <c r="E27" i="59"/>
  <c r="F26" i="59"/>
  <c r="I26" i="59" s="1"/>
  <c r="J26" i="59" s="1"/>
  <c r="E27" i="55"/>
  <c r="F26" i="55"/>
  <c r="I26" i="55" s="1"/>
  <c r="J26" i="55" s="1"/>
  <c r="E27" i="60"/>
  <c r="F26" i="60"/>
  <c r="I26" i="60" s="1"/>
  <c r="J26" i="60" s="1"/>
  <c r="E27" i="53"/>
  <c r="F26" i="53"/>
  <c r="I26" i="53" s="1"/>
  <c r="J26" i="53" s="1"/>
  <c r="E26" i="61"/>
  <c r="F25" i="61"/>
  <c r="I25" i="61" s="1"/>
  <c r="J25" i="61" s="1"/>
  <c r="E27" i="54"/>
  <c r="F26" i="54"/>
  <c r="I26" i="54" s="1"/>
  <c r="J26" i="54" s="1"/>
  <c r="D33" i="49"/>
  <c r="E28" i="56"/>
  <c r="F27" i="56"/>
  <c r="I27" i="56" s="1"/>
  <c r="J27" i="56" s="1"/>
  <c r="E26" i="52"/>
  <c r="F25" i="52"/>
  <c r="I25" i="52" s="1"/>
  <c r="J25" i="52" s="1"/>
  <c r="E29" i="49"/>
  <c r="F28" i="49"/>
  <c r="J28" i="49" s="1"/>
  <c r="K28" i="49" s="1"/>
  <c r="E36" i="62"/>
  <c r="F36" i="62" s="1"/>
  <c r="I36" i="62" s="1"/>
  <c r="J36" i="62" s="1"/>
  <c r="F35" i="62"/>
  <c r="I35" i="62" s="1"/>
  <c r="J35" i="62" s="1"/>
  <c r="C46" i="47"/>
  <c r="E30" i="49" l="1"/>
  <c r="F29" i="49"/>
  <c r="J29" i="49" s="1"/>
  <c r="K29" i="49" s="1"/>
  <c r="D34" i="49"/>
  <c r="E28" i="60"/>
  <c r="F27" i="60"/>
  <c r="I27" i="60" s="1"/>
  <c r="J27" i="60" s="1"/>
  <c r="E28" i="59"/>
  <c r="F27" i="59"/>
  <c r="I27" i="59" s="1"/>
  <c r="J27" i="59" s="1"/>
  <c r="E29" i="57"/>
  <c r="F28" i="57"/>
  <c r="I28" i="57" s="1"/>
  <c r="J28" i="57" s="1"/>
  <c r="E27" i="52"/>
  <c r="F26" i="52"/>
  <c r="I26" i="52" s="1"/>
  <c r="J26" i="52" s="1"/>
  <c r="E27" i="61"/>
  <c r="F26" i="61"/>
  <c r="I26" i="61" s="1"/>
  <c r="J26" i="61" s="1"/>
  <c r="E29" i="56"/>
  <c r="F28" i="56"/>
  <c r="I28" i="56" s="1"/>
  <c r="J28" i="56" s="1"/>
  <c r="E28" i="54"/>
  <c r="F27" i="54"/>
  <c r="I27" i="54" s="1"/>
  <c r="J27" i="54" s="1"/>
  <c r="E28" i="53"/>
  <c r="F27" i="53"/>
  <c r="I27" i="53" s="1"/>
  <c r="J27" i="53" s="1"/>
  <c r="E28" i="55"/>
  <c r="F27" i="55"/>
  <c r="I27" i="55" s="1"/>
  <c r="J27" i="55" s="1"/>
  <c r="E28" i="50"/>
  <c r="F27" i="50"/>
  <c r="I27" i="50" s="1"/>
  <c r="J27" i="50" s="1"/>
  <c r="E29" i="58"/>
  <c r="F28" i="58"/>
  <c r="I28" i="58" s="1"/>
  <c r="J28" i="58" s="1"/>
  <c r="C47" i="47"/>
  <c r="E30" i="58" l="1"/>
  <c r="F29" i="58"/>
  <c r="I29" i="58" s="1"/>
  <c r="J29" i="58" s="1"/>
  <c r="E29" i="50"/>
  <c r="F28" i="50"/>
  <c r="I28" i="50" s="1"/>
  <c r="J28" i="50" s="1"/>
  <c r="E30" i="56"/>
  <c r="F29" i="56"/>
  <c r="I29" i="56" s="1"/>
  <c r="J29" i="56" s="1"/>
  <c r="E29" i="59"/>
  <c r="F28" i="59"/>
  <c r="I28" i="59" s="1"/>
  <c r="J28" i="59" s="1"/>
  <c r="D35" i="49"/>
  <c r="E29" i="53"/>
  <c r="F28" i="53"/>
  <c r="I28" i="53" s="1"/>
  <c r="J28" i="53" s="1"/>
  <c r="E28" i="52"/>
  <c r="F27" i="52"/>
  <c r="I27" i="52" s="1"/>
  <c r="J27" i="52" s="1"/>
  <c r="E29" i="55"/>
  <c r="F28" i="55"/>
  <c r="I28" i="55" s="1"/>
  <c r="J28" i="55" s="1"/>
  <c r="E29" i="54"/>
  <c r="F28" i="54"/>
  <c r="I28" i="54" s="1"/>
  <c r="J28" i="54" s="1"/>
  <c r="E28" i="61"/>
  <c r="F27" i="61"/>
  <c r="I27" i="61" s="1"/>
  <c r="J27" i="61" s="1"/>
  <c r="E30" i="57"/>
  <c r="F29" i="57"/>
  <c r="I29" i="57" s="1"/>
  <c r="J29" i="57" s="1"/>
  <c r="E29" i="60"/>
  <c r="F28" i="60"/>
  <c r="I28" i="60" s="1"/>
  <c r="J28" i="60" s="1"/>
  <c r="E31" i="49"/>
  <c r="F30" i="49"/>
  <c r="J30" i="49" s="1"/>
  <c r="K30" i="49" s="1"/>
  <c r="C48" i="47"/>
  <c r="C10" i="25"/>
  <c r="E32" i="49" l="1"/>
  <c r="F31" i="49"/>
  <c r="J31" i="49" s="1"/>
  <c r="K31" i="49" s="1"/>
  <c r="E29" i="52"/>
  <c r="F28" i="52"/>
  <c r="I28" i="52" s="1"/>
  <c r="J28" i="52" s="1"/>
  <c r="E29" i="61"/>
  <c r="F28" i="61"/>
  <c r="I28" i="61" s="1"/>
  <c r="J28" i="61" s="1"/>
  <c r="E30" i="53"/>
  <c r="F29" i="53"/>
  <c r="I29" i="53" s="1"/>
  <c r="J29" i="53" s="1"/>
  <c r="E30" i="59"/>
  <c r="F29" i="59"/>
  <c r="I29" i="59" s="1"/>
  <c r="J29" i="59" s="1"/>
  <c r="E30" i="50"/>
  <c r="F29" i="50"/>
  <c r="I29" i="50" s="1"/>
  <c r="J29" i="50" s="1"/>
  <c r="E30" i="60"/>
  <c r="F29" i="60"/>
  <c r="I29" i="60" s="1"/>
  <c r="J29" i="60" s="1"/>
  <c r="E30" i="55"/>
  <c r="F29" i="55"/>
  <c r="I29" i="55" s="1"/>
  <c r="J29" i="55" s="1"/>
  <c r="E31" i="57"/>
  <c r="F30" i="57"/>
  <c r="I30" i="57" s="1"/>
  <c r="J30" i="57" s="1"/>
  <c r="E30" i="54"/>
  <c r="F29" i="54"/>
  <c r="I29" i="54" s="1"/>
  <c r="J29" i="54" s="1"/>
  <c r="D36" i="49"/>
  <c r="E31" i="56"/>
  <c r="F30" i="56"/>
  <c r="I30" i="56" s="1"/>
  <c r="J30" i="56" s="1"/>
  <c r="E31" i="58"/>
  <c r="F30" i="58"/>
  <c r="I30" i="58" s="1"/>
  <c r="J30" i="58" s="1"/>
  <c r="C49" i="47"/>
  <c r="E32" i="58" l="1"/>
  <c r="F31" i="58"/>
  <c r="I31" i="58" s="1"/>
  <c r="J31" i="58" s="1"/>
  <c r="E31" i="54"/>
  <c r="F30" i="54"/>
  <c r="I30" i="54" s="1"/>
  <c r="J30" i="54" s="1"/>
  <c r="E31" i="50"/>
  <c r="F30" i="50"/>
  <c r="I30" i="50" s="1"/>
  <c r="J30" i="50" s="1"/>
  <c r="E31" i="53"/>
  <c r="F30" i="53"/>
  <c r="I30" i="53" s="1"/>
  <c r="J30" i="53" s="1"/>
  <c r="E30" i="52"/>
  <c r="F29" i="52"/>
  <c r="I29" i="52" s="1"/>
  <c r="J29" i="52" s="1"/>
  <c r="E32" i="56"/>
  <c r="F31" i="56"/>
  <c r="I31" i="56" s="1"/>
  <c r="J31" i="56" s="1"/>
  <c r="E31" i="55"/>
  <c r="F30" i="55"/>
  <c r="I30" i="55" s="1"/>
  <c r="J30" i="55" s="1"/>
  <c r="E32" i="57"/>
  <c r="F31" i="57"/>
  <c r="I31" i="57" s="1"/>
  <c r="J31" i="57" s="1"/>
  <c r="E31" i="60"/>
  <c r="F30" i="60"/>
  <c r="I30" i="60" s="1"/>
  <c r="J30" i="60" s="1"/>
  <c r="E31" i="59"/>
  <c r="F30" i="59"/>
  <c r="I30" i="59" s="1"/>
  <c r="J30" i="59" s="1"/>
  <c r="E30" i="61"/>
  <c r="F29" i="61"/>
  <c r="I29" i="61" s="1"/>
  <c r="J29" i="61" s="1"/>
  <c r="E33" i="49"/>
  <c r="F32" i="49"/>
  <c r="J32" i="49" s="1"/>
  <c r="K32" i="49" s="1"/>
  <c r="F41" i="47"/>
  <c r="E34" i="49" l="1"/>
  <c r="F33" i="49"/>
  <c r="J33" i="49" s="1"/>
  <c r="K33" i="49" s="1"/>
  <c r="E32" i="59"/>
  <c r="F31" i="59"/>
  <c r="I31" i="59" s="1"/>
  <c r="J31" i="59" s="1"/>
  <c r="E33" i="57"/>
  <c r="F32" i="57"/>
  <c r="I32" i="57" s="1"/>
  <c r="J32" i="57" s="1"/>
  <c r="E33" i="56"/>
  <c r="F32" i="56"/>
  <c r="I32" i="56" s="1"/>
  <c r="J32" i="56" s="1"/>
  <c r="E32" i="53"/>
  <c r="F31" i="53"/>
  <c r="I31" i="53" s="1"/>
  <c r="J31" i="53" s="1"/>
  <c r="E32" i="54"/>
  <c r="F31" i="54"/>
  <c r="I31" i="54" s="1"/>
  <c r="J31" i="54" s="1"/>
  <c r="E31" i="61"/>
  <c r="F30" i="61"/>
  <c r="I30" i="61" s="1"/>
  <c r="J30" i="61" s="1"/>
  <c r="E32" i="60"/>
  <c r="F31" i="60"/>
  <c r="I31" i="60" s="1"/>
  <c r="J31" i="60" s="1"/>
  <c r="E32" i="55"/>
  <c r="F31" i="55"/>
  <c r="I31" i="55" s="1"/>
  <c r="J31" i="55" s="1"/>
  <c r="E31" i="52"/>
  <c r="F30" i="52"/>
  <c r="I30" i="52" s="1"/>
  <c r="J30" i="52" s="1"/>
  <c r="E32" i="50"/>
  <c r="F31" i="50"/>
  <c r="I31" i="50" s="1"/>
  <c r="J31" i="50" s="1"/>
  <c r="E33" i="58"/>
  <c r="F32" i="58"/>
  <c r="I32" i="58" s="1"/>
  <c r="J32" i="58" s="1"/>
  <c r="F42" i="47"/>
  <c r="E33" i="55" l="1"/>
  <c r="F32" i="55"/>
  <c r="I32" i="55" s="1"/>
  <c r="J32" i="55" s="1"/>
  <c r="E32" i="61"/>
  <c r="F31" i="61"/>
  <c r="I31" i="61" s="1"/>
  <c r="J31" i="61" s="1"/>
  <c r="E33" i="59"/>
  <c r="F32" i="59"/>
  <c r="I32" i="59" s="1"/>
  <c r="J32" i="59" s="1"/>
  <c r="E33" i="50"/>
  <c r="F32" i="50"/>
  <c r="I32" i="50" s="1"/>
  <c r="J32" i="50" s="1"/>
  <c r="E33" i="53"/>
  <c r="F32" i="53"/>
  <c r="I32" i="53" s="1"/>
  <c r="J32" i="53" s="1"/>
  <c r="E34" i="58"/>
  <c r="F33" i="58"/>
  <c r="I33" i="58" s="1"/>
  <c r="J33" i="58" s="1"/>
  <c r="E32" i="52"/>
  <c r="F31" i="52"/>
  <c r="I31" i="52" s="1"/>
  <c r="J31" i="52" s="1"/>
  <c r="E33" i="60"/>
  <c r="F32" i="60"/>
  <c r="I32" i="60" s="1"/>
  <c r="J32" i="60" s="1"/>
  <c r="E33" i="54"/>
  <c r="F32" i="54"/>
  <c r="I32" i="54" s="1"/>
  <c r="J32" i="54" s="1"/>
  <c r="E34" i="56"/>
  <c r="F33" i="56"/>
  <c r="I33" i="56" s="1"/>
  <c r="J33" i="56" s="1"/>
  <c r="E34" i="57"/>
  <c r="F33" i="57"/>
  <c r="I33" i="57" s="1"/>
  <c r="J33" i="57" s="1"/>
  <c r="E35" i="49"/>
  <c r="F34" i="49"/>
  <c r="J34" i="49" s="1"/>
  <c r="K34" i="49" s="1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36" i="49" l="1"/>
  <c r="F36" i="49" s="1"/>
  <c r="J36" i="49" s="1"/>
  <c r="K36" i="49" s="1"/>
  <c r="F35" i="49"/>
  <c r="J35" i="49" s="1"/>
  <c r="K35" i="49" s="1"/>
  <c r="E35" i="58"/>
  <c r="F34" i="58"/>
  <c r="I34" i="58" s="1"/>
  <c r="J34" i="58" s="1"/>
  <c r="E33" i="61"/>
  <c r="F32" i="61"/>
  <c r="I32" i="61" s="1"/>
  <c r="J32" i="61" s="1"/>
  <c r="E34" i="60"/>
  <c r="F33" i="60"/>
  <c r="I33" i="60" s="1"/>
  <c r="J33" i="60" s="1"/>
  <c r="E34" i="50"/>
  <c r="F33" i="50"/>
  <c r="I33" i="50" s="1"/>
  <c r="J33" i="50" s="1"/>
  <c r="E34" i="54"/>
  <c r="F33" i="54"/>
  <c r="I33" i="54" s="1"/>
  <c r="J33" i="54" s="1"/>
  <c r="E34" i="53"/>
  <c r="F33" i="53"/>
  <c r="I33" i="53" s="1"/>
  <c r="J33" i="53" s="1"/>
  <c r="E34" i="55"/>
  <c r="F33" i="55"/>
  <c r="I33" i="55" s="1"/>
  <c r="J33" i="55" s="1"/>
  <c r="E35" i="56"/>
  <c r="F34" i="56"/>
  <c r="I34" i="56" s="1"/>
  <c r="J34" i="56" s="1"/>
  <c r="E35" i="57"/>
  <c r="F34" i="57"/>
  <c r="I34" i="57" s="1"/>
  <c r="J34" i="57" s="1"/>
  <c r="E33" i="52"/>
  <c r="F32" i="52"/>
  <c r="I32" i="52" s="1"/>
  <c r="J32" i="52" s="1"/>
  <c r="E34" i="59"/>
  <c r="F33" i="59"/>
  <c r="I33" i="59" s="1"/>
  <c r="J33" i="59" s="1"/>
  <c r="F44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34" i="52" l="1"/>
  <c r="F33" i="52"/>
  <c r="I33" i="52" s="1"/>
  <c r="J33" i="52" s="1"/>
  <c r="E35" i="59"/>
  <c r="F34" i="59"/>
  <c r="I34" i="59" s="1"/>
  <c r="J34" i="59" s="1"/>
  <c r="E35" i="55"/>
  <c r="F34" i="55"/>
  <c r="I34" i="55" s="1"/>
  <c r="J34" i="55" s="1"/>
  <c r="E35" i="60"/>
  <c r="F34" i="60"/>
  <c r="I34" i="60" s="1"/>
  <c r="J34" i="60" s="1"/>
  <c r="E36" i="58"/>
  <c r="F36" i="58" s="1"/>
  <c r="I36" i="58" s="1"/>
  <c r="J36" i="58" s="1"/>
  <c r="F35" i="58"/>
  <c r="I35" i="58" s="1"/>
  <c r="J35" i="58" s="1"/>
  <c r="E36" i="57"/>
  <c r="F36" i="57" s="1"/>
  <c r="I36" i="57" s="1"/>
  <c r="J36" i="57" s="1"/>
  <c r="F35" i="57"/>
  <c r="I35" i="57" s="1"/>
  <c r="J35" i="57" s="1"/>
  <c r="E35" i="54"/>
  <c r="F34" i="54"/>
  <c r="I34" i="54" s="1"/>
  <c r="J34" i="54" s="1"/>
  <c r="E36" i="56"/>
  <c r="F36" i="56" s="1"/>
  <c r="I36" i="56" s="1"/>
  <c r="J36" i="56" s="1"/>
  <c r="F35" i="56"/>
  <c r="I35" i="56" s="1"/>
  <c r="J35" i="56" s="1"/>
  <c r="E35" i="53"/>
  <c r="F34" i="53"/>
  <c r="I34" i="53" s="1"/>
  <c r="J34" i="53" s="1"/>
  <c r="E35" i="50"/>
  <c r="F34" i="50"/>
  <c r="I34" i="50" s="1"/>
  <c r="J34" i="50" s="1"/>
  <c r="E34" i="61"/>
  <c r="F33" i="61"/>
  <c r="I33" i="61" s="1"/>
  <c r="J33" i="61" s="1"/>
  <c r="F45" i="47"/>
  <c r="F11" i="44"/>
  <c r="I11" i="44" s="1"/>
  <c r="J11" i="44" s="1"/>
  <c r="F11" i="43"/>
  <c r="J11" i="43" s="1"/>
  <c r="C71" i="44"/>
  <c r="P12" i="44"/>
  <c r="B16" i="44"/>
  <c r="C70" i="43"/>
  <c r="E36" i="50" l="1"/>
  <c r="F36" i="50" s="1"/>
  <c r="I36" i="50" s="1"/>
  <c r="J36" i="50" s="1"/>
  <c r="F35" i="50"/>
  <c r="I35" i="50" s="1"/>
  <c r="J35" i="50" s="1"/>
  <c r="E36" i="60"/>
  <c r="F36" i="60" s="1"/>
  <c r="I36" i="60" s="1"/>
  <c r="J36" i="60" s="1"/>
  <c r="F35" i="60"/>
  <c r="I35" i="60" s="1"/>
  <c r="J35" i="60" s="1"/>
  <c r="E36" i="59"/>
  <c r="F36" i="59" s="1"/>
  <c r="I36" i="59" s="1"/>
  <c r="J36" i="59" s="1"/>
  <c r="F35" i="59"/>
  <c r="I35" i="59" s="1"/>
  <c r="J35" i="59" s="1"/>
  <c r="E35" i="61"/>
  <c r="F34" i="61"/>
  <c r="I34" i="61" s="1"/>
  <c r="J34" i="61" s="1"/>
  <c r="E36" i="53"/>
  <c r="F36" i="53" s="1"/>
  <c r="I36" i="53" s="1"/>
  <c r="J36" i="53" s="1"/>
  <c r="F35" i="53"/>
  <c r="I35" i="53" s="1"/>
  <c r="J35" i="53" s="1"/>
  <c r="E36" i="54"/>
  <c r="F36" i="54" s="1"/>
  <c r="I36" i="54" s="1"/>
  <c r="J36" i="54" s="1"/>
  <c r="F35" i="54"/>
  <c r="I35" i="54" s="1"/>
  <c r="J35" i="54" s="1"/>
  <c r="E36" i="55"/>
  <c r="F36" i="55" s="1"/>
  <c r="I36" i="55" s="1"/>
  <c r="J36" i="55" s="1"/>
  <c r="F35" i="55"/>
  <c r="I35" i="55" s="1"/>
  <c r="J35" i="55" s="1"/>
  <c r="E35" i="52"/>
  <c r="F34" i="52"/>
  <c r="I34" i="52" s="1"/>
  <c r="J34" i="52" s="1"/>
  <c r="K11" i="43"/>
  <c r="F46" i="47"/>
  <c r="C72" i="44"/>
  <c r="B17" i="44"/>
  <c r="P13" i="44"/>
  <c r="C71" i="43"/>
  <c r="B14" i="43"/>
  <c r="E36" i="52" l="1"/>
  <c r="F36" i="52" s="1"/>
  <c r="I36" i="52" s="1"/>
  <c r="J36" i="52" s="1"/>
  <c r="F35" i="52"/>
  <c r="I35" i="52" s="1"/>
  <c r="J35" i="52" s="1"/>
  <c r="E36" i="61"/>
  <c r="F36" i="61" s="1"/>
  <c r="I36" i="61" s="1"/>
  <c r="J36" i="61" s="1"/>
  <c r="F35" i="61"/>
  <c r="I35" i="61" s="1"/>
  <c r="J35" i="61" s="1"/>
  <c r="F47" i="47"/>
  <c r="C73" i="44"/>
  <c r="P14" i="44"/>
  <c r="B18" i="44"/>
  <c r="B15" i="43"/>
  <c r="C72" i="43"/>
  <c r="F48" i="47" l="1"/>
  <c r="C74" i="44"/>
  <c r="B19" i="44"/>
  <c r="P15" i="44"/>
  <c r="C73" i="43"/>
  <c r="B16" i="43"/>
  <c r="F49" i="47" l="1"/>
  <c r="F66" i="44"/>
  <c r="B20" i="44"/>
  <c r="P16" i="44"/>
  <c r="B17" i="43"/>
  <c r="C74" i="43"/>
  <c r="I41" i="47" l="1"/>
  <c r="F67" i="44"/>
  <c r="B21" i="44"/>
  <c r="P17" i="44"/>
  <c r="F66" i="43"/>
  <c r="B18" i="43"/>
  <c r="I42" i="47" l="1"/>
  <c r="F68" i="44"/>
  <c r="B22" i="44"/>
  <c r="P18" i="44"/>
  <c r="F67" i="43"/>
  <c r="B19" i="43"/>
  <c r="I43" i="47" l="1"/>
  <c r="F69" i="44"/>
  <c r="P19" i="44"/>
  <c r="B23" i="44"/>
  <c r="F68" i="43"/>
  <c r="B20" i="43"/>
  <c r="I44" i="47" l="1"/>
  <c r="F70" i="44"/>
  <c r="B24" i="44"/>
  <c r="P20" i="44"/>
  <c r="B21" i="43"/>
  <c r="F69" i="43"/>
  <c r="I45" i="47" l="1"/>
  <c r="F71" i="44"/>
  <c r="P21" i="44"/>
  <c r="B25" i="44"/>
  <c r="F70" i="43"/>
  <c r="B22" i="43"/>
  <c r="I46" i="47" l="1"/>
  <c r="F72" i="44"/>
  <c r="B26" i="44"/>
  <c r="P22" i="44"/>
  <c r="B23" i="43"/>
  <c r="F71" i="43"/>
  <c r="I47" i="47" l="1"/>
  <c r="F73" i="44"/>
  <c r="P23" i="44"/>
  <c r="B27" i="44"/>
  <c r="B24" i="43"/>
  <c r="F72" i="43"/>
  <c r="I48" i="47" l="1"/>
  <c r="F74" i="44"/>
  <c r="B28" i="44"/>
  <c r="P24" i="44"/>
  <c r="B25" i="43"/>
  <c r="F73" i="43"/>
  <c r="I49" i="47" l="1"/>
  <c r="I66" i="44"/>
  <c r="P25" i="44"/>
  <c r="B29" i="44"/>
  <c r="F74" i="43"/>
  <c r="B26" i="43"/>
  <c r="C12" i="47" l="1"/>
  <c r="I67" i="44"/>
  <c r="B30" i="44"/>
  <c r="P26" i="44"/>
  <c r="B27" i="43"/>
  <c r="I66" i="43"/>
  <c r="C13" i="47" l="1"/>
  <c r="E12" i="47"/>
  <c r="I68" i="44"/>
  <c r="P27" i="44"/>
  <c r="B31" i="44"/>
  <c r="B28" i="43"/>
  <c r="I67" i="43"/>
  <c r="C14" i="47" l="1"/>
  <c r="E13" i="47"/>
  <c r="I69" i="44"/>
  <c r="B32" i="44"/>
  <c r="P28" i="44"/>
  <c r="B29" i="43"/>
  <c r="I68" i="43"/>
  <c r="C15" i="47" l="1"/>
  <c r="E14" i="47"/>
  <c r="I70" i="44"/>
  <c r="B33" i="44"/>
  <c r="P29" i="44"/>
  <c r="B30" i="43"/>
  <c r="I69" i="43"/>
  <c r="C16" i="47" l="1"/>
  <c r="E15" i="47"/>
  <c r="I71" i="44"/>
  <c r="B34" i="44"/>
  <c r="P30" i="44"/>
  <c r="I70" i="43"/>
  <c r="B31" i="43"/>
  <c r="C17" i="47" l="1"/>
  <c r="E16" i="47"/>
  <c r="I72" i="44"/>
  <c r="B35" i="44"/>
  <c r="P31" i="44"/>
  <c r="B32" i="43"/>
  <c r="I71" i="43"/>
  <c r="C18" i="47" l="1"/>
  <c r="E17" i="47"/>
  <c r="I73" i="44"/>
  <c r="P32" i="44"/>
  <c r="B36" i="44"/>
  <c r="I72" i="43"/>
  <c r="B33" i="43"/>
  <c r="C19" i="47" l="1"/>
  <c r="E18" i="47"/>
  <c r="I74" i="44"/>
  <c r="P33" i="44"/>
  <c r="B34" i="43"/>
  <c r="I73" i="43"/>
  <c r="H12" i="44" l="1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E12" i="44"/>
  <c r="G12" i="44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K12" i="44"/>
  <c r="K13" i="44" s="1"/>
  <c r="K14" i="44" s="1"/>
  <c r="K15" i="44" s="1"/>
  <c r="K16" i="44" s="1"/>
  <c r="K17" i="44" s="1"/>
  <c r="K18" i="44" s="1"/>
  <c r="K19" i="44" s="1"/>
  <c r="K20" i="44" s="1"/>
  <c r="K21" i="44" s="1"/>
  <c r="K22" i="44" s="1"/>
  <c r="K23" i="44" s="1"/>
  <c r="K24" i="44" s="1"/>
  <c r="K25" i="44" s="1"/>
  <c r="K26" i="44" s="1"/>
  <c r="K27" i="44" s="1"/>
  <c r="K28" i="44" s="1"/>
  <c r="K29" i="44" s="1"/>
  <c r="K30" i="44" s="1"/>
  <c r="K31" i="44" s="1"/>
  <c r="K32" i="44" s="1"/>
  <c r="K33" i="44" s="1"/>
  <c r="K34" i="44" s="1"/>
  <c r="K35" i="44" s="1"/>
  <c r="K36" i="44" s="1"/>
  <c r="D28" i="44"/>
  <c r="C20" i="47"/>
  <c r="E19" i="47"/>
  <c r="P34" i="44"/>
  <c r="B35" i="43"/>
  <c r="I74" i="43"/>
  <c r="D29" i="44" l="1"/>
  <c r="D15" i="43"/>
  <c r="E12" i="43"/>
  <c r="H12" i="43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L12" i="43"/>
  <c r="L13" i="43" s="1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L30" i="43" s="1"/>
  <c r="L31" i="43" s="1"/>
  <c r="L32" i="43" s="1"/>
  <c r="L33" i="43" s="1"/>
  <c r="L34" i="43" s="1"/>
  <c r="L35" i="43" s="1"/>
  <c r="L36" i="43" s="1"/>
  <c r="G12" i="43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G30" i="43" s="1"/>
  <c r="G31" i="43" s="1"/>
  <c r="G32" i="43" s="1"/>
  <c r="G33" i="43" s="1"/>
  <c r="G34" i="43" s="1"/>
  <c r="G35" i="43" s="1"/>
  <c r="G36" i="43" s="1"/>
  <c r="C21" i="47"/>
  <c r="E20" i="47"/>
  <c r="E13" i="44"/>
  <c r="F12" i="44"/>
  <c r="I12" i="44" s="1"/>
  <c r="J12" i="44" s="1"/>
  <c r="P35" i="44"/>
  <c r="B36" i="43"/>
  <c r="D16" i="43" l="1"/>
  <c r="E14" i="44"/>
  <c r="F13" i="44"/>
  <c r="I13" i="44" s="1"/>
  <c r="J13" i="44" s="1"/>
  <c r="C22" i="47"/>
  <c r="E21" i="47"/>
  <c r="E13" i="43"/>
  <c r="F12" i="43"/>
  <c r="J12" i="43" s="1"/>
  <c r="K12" i="43" s="1"/>
  <c r="D30" i="44"/>
  <c r="P36" i="44"/>
  <c r="E15" i="44" l="1"/>
  <c r="F14" i="44"/>
  <c r="I14" i="44" s="1"/>
  <c r="J14" i="44" s="1"/>
  <c r="E14" i="43"/>
  <c r="F13" i="43"/>
  <c r="J13" i="43" s="1"/>
  <c r="K13" i="43" s="1"/>
  <c r="D31" i="44"/>
  <c r="C23" i="47"/>
  <c r="E22" i="47"/>
  <c r="D17" i="43"/>
  <c r="E15" i="43" l="1"/>
  <c r="F14" i="43"/>
  <c r="J14" i="43" s="1"/>
  <c r="K14" i="43" s="1"/>
  <c r="C24" i="47"/>
  <c r="E23" i="47"/>
  <c r="D18" i="43"/>
  <c r="D32" i="44"/>
  <c r="E16" i="44"/>
  <c r="F15" i="44"/>
  <c r="I15" i="44" s="1"/>
  <c r="J15" i="44" s="1"/>
  <c r="C67" i="42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C25" i="47" l="1"/>
  <c r="E24" i="47"/>
  <c r="D33" i="44"/>
  <c r="E17" i="44"/>
  <c r="F16" i="44"/>
  <c r="I16" i="44" s="1"/>
  <c r="J16" i="44" s="1"/>
  <c r="D19" i="43"/>
  <c r="E16" i="43"/>
  <c r="F15" i="43"/>
  <c r="J15" i="43" s="1"/>
  <c r="K15" i="43" s="1"/>
  <c r="P11" i="42"/>
  <c r="B26" i="42"/>
  <c r="C69" i="42"/>
  <c r="B3" i="42"/>
  <c r="C52" i="42" s="1"/>
  <c r="B9" i="42" s="1"/>
  <c r="D47" i="42"/>
  <c r="D34" i="44" l="1"/>
  <c r="C26" i="47"/>
  <c r="E25" i="47"/>
  <c r="D20" i="43"/>
  <c r="E17" i="43"/>
  <c r="F16" i="43"/>
  <c r="J16" i="43" s="1"/>
  <c r="K16" i="43" s="1"/>
  <c r="E18" i="44"/>
  <c r="F17" i="44"/>
  <c r="I17" i="44" s="1"/>
  <c r="J17" i="44" s="1"/>
  <c r="P12" i="42"/>
  <c r="F11" i="42"/>
  <c r="I11" i="42" s="1"/>
  <c r="C70" i="42"/>
  <c r="B27" i="42"/>
  <c r="C27" i="47" l="1"/>
  <c r="E26" i="47"/>
  <c r="E18" i="43"/>
  <c r="F17" i="43"/>
  <c r="J17" i="43" s="1"/>
  <c r="K17" i="43" s="1"/>
  <c r="E19" i="44"/>
  <c r="F18" i="44"/>
  <c r="I18" i="44" s="1"/>
  <c r="J18" i="44" s="1"/>
  <c r="D21" i="43"/>
  <c r="D35" i="44"/>
  <c r="J11" i="42"/>
  <c r="P13" i="42"/>
  <c r="P14" i="42" s="1"/>
  <c r="C71" i="42"/>
  <c r="B28" i="42"/>
  <c r="D22" i="43" l="1"/>
  <c r="E19" i="43"/>
  <c r="F18" i="43"/>
  <c r="J18" i="43" s="1"/>
  <c r="K18" i="43" s="1"/>
  <c r="D36" i="44"/>
  <c r="E20" i="44"/>
  <c r="F19" i="44"/>
  <c r="I19" i="44" s="1"/>
  <c r="J19" i="44" s="1"/>
  <c r="C28" i="47"/>
  <c r="E27" i="47"/>
  <c r="C72" i="42"/>
  <c r="B29" i="42"/>
  <c r="P15" i="42"/>
  <c r="E21" i="44" l="1"/>
  <c r="F20" i="44"/>
  <c r="I20" i="44" s="1"/>
  <c r="J20" i="44" s="1"/>
  <c r="E20" i="43"/>
  <c r="F19" i="43"/>
  <c r="J19" i="43" s="1"/>
  <c r="K19" i="43" s="1"/>
  <c r="C29" i="47"/>
  <c r="E28" i="47"/>
  <c r="D23" i="43"/>
  <c r="P16" i="42"/>
  <c r="C73" i="42"/>
  <c r="B30" i="42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D24" i="43" l="1"/>
  <c r="E21" i="43"/>
  <c r="F20" i="43"/>
  <c r="J20" i="43" s="1"/>
  <c r="K20" i="43" s="1"/>
  <c r="C30" i="47"/>
  <c r="E29" i="47"/>
  <c r="E22" i="44"/>
  <c r="F21" i="44"/>
  <c r="I21" i="44" s="1"/>
  <c r="J21" i="44" s="1"/>
  <c r="C68" i="41"/>
  <c r="P17" i="42"/>
  <c r="C74" i="42"/>
  <c r="B31" i="42"/>
  <c r="B26" i="41"/>
  <c r="B3" i="41"/>
  <c r="C52" i="41" s="1"/>
  <c r="B9" i="41" s="1"/>
  <c r="D47" i="41"/>
  <c r="C69" i="41"/>
  <c r="E23" i="44" l="1"/>
  <c r="F22" i="44"/>
  <c r="I22" i="44" s="1"/>
  <c r="J22" i="44" s="1"/>
  <c r="E22" i="43"/>
  <c r="F21" i="43"/>
  <c r="J21" i="43" s="1"/>
  <c r="K21" i="43" s="1"/>
  <c r="C31" i="47"/>
  <c r="E30" i="47"/>
  <c r="D25" i="43"/>
  <c r="F11" i="41"/>
  <c r="P18" i="42"/>
  <c r="F66" i="42"/>
  <c r="B32" i="42"/>
  <c r="C70" i="41"/>
  <c r="B27" i="41"/>
  <c r="D26" i="43" l="1"/>
  <c r="E23" i="43"/>
  <c r="F22" i="43"/>
  <c r="J22" i="43" s="1"/>
  <c r="K22" i="43" s="1"/>
  <c r="C32" i="47"/>
  <c r="E32" i="47" s="1"/>
  <c r="E31" i="47"/>
  <c r="E24" i="44"/>
  <c r="F23" i="44"/>
  <c r="I23" i="44" s="1"/>
  <c r="J23" i="44" s="1"/>
  <c r="F67" i="42"/>
  <c r="P19" i="42"/>
  <c r="B33" i="42"/>
  <c r="C71" i="41"/>
  <c r="B28" i="41"/>
  <c r="E25" i="44" l="1"/>
  <c r="F24" i="44"/>
  <c r="I24" i="44" s="1"/>
  <c r="J24" i="44" s="1"/>
  <c r="D27" i="43"/>
  <c r="E24" i="43"/>
  <c r="F23" i="43"/>
  <c r="J23" i="43" s="1"/>
  <c r="K23" i="43" s="1"/>
  <c r="I11" i="41"/>
  <c r="J11" i="41" s="1"/>
  <c r="F68" i="42"/>
  <c r="P20" i="42"/>
  <c r="B34" i="42"/>
  <c r="B29" i="41"/>
  <c r="C72" i="41"/>
  <c r="D28" i="43" l="1"/>
  <c r="E25" i="43"/>
  <c r="F24" i="43"/>
  <c r="J24" i="43" s="1"/>
  <c r="K24" i="43" s="1"/>
  <c r="E26" i="44"/>
  <c r="F25" i="44"/>
  <c r="I25" i="44" s="1"/>
  <c r="J25" i="44" s="1"/>
  <c r="P21" i="42"/>
  <c r="B35" i="42"/>
  <c r="F69" i="42"/>
  <c r="C73" i="41"/>
  <c r="B30" i="41"/>
  <c r="E27" i="44" l="1"/>
  <c r="F26" i="44"/>
  <c r="I26" i="44" s="1"/>
  <c r="J26" i="44" s="1"/>
  <c r="E26" i="43"/>
  <c r="F25" i="43"/>
  <c r="J25" i="43" s="1"/>
  <c r="K25" i="43" s="1"/>
  <c r="D29" i="43"/>
  <c r="B36" i="42"/>
  <c r="F70" i="42"/>
  <c r="P22" i="42"/>
  <c r="C74" i="41"/>
  <c r="B31" i="41"/>
  <c r="E27" i="43" l="1"/>
  <c r="F26" i="43"/>
  <c r="J26" i="43" s="1"/>
  <c r="K26" i="43" s="1"/>
  <c r="E28" i="44"/>
  <c r="F27" i="44"/>
  <c r="I27" i="44" s="1"/>
  <c r="J27" i="44" s="1"/>
  <c r="D30" i="43"/>
  <c r="P23" i="42"/>
  <c r="F71" i="42"/>
  <c r="F66" i="41"/>
  <c r="B32" i="41"/>
  <c r="D31" i="43" l="1"/>
  <c r="E29" i="44"/>
  <c r="F28" i="44"/>
  <c r="I28" i="44" s="1"/>
  <c r="J28" i="44" s="1"/>
  <c r="E28" i="43"/>
  <c r="F27" i="43"/>
  <c r="J27" i="43" s="1"/>
  <c r="K27" i="43" s="1"/>
  <c r="P24" i="42"/>
  <c r="F72" i="42"/>
  <c r="B33" i="41"/>
  <c r="F67" i="41"/>
  <c r="E29" i="43" l="1"/>
  <c r="F28" i="43"/>
  <c r="J28" i="43" s="1"/>
  <c r="K28" i="43" s="1"/>
  <c r="D32" i="43"/>
  <c r="E30" i="44"/>
  <c r="F29" i="44"/>
  <c r="I29" i="44" s="1"/>
  <c r="J29" i="44" s="1"/>
  <c r="F73" i="42"/>
  <c r="P25" i="42"/>
  <c r="B34" i="41"/>
  <c r="F68" i="41"/>
  <c r="E30" i="43" l="1"/>
  <c r="F29" i="43"/>
  <c r="J29" i="43" s="1"/>
  <c r="K29" i="43" s="1"/>
  <c r="E31" i="44"/>
  <c r="F30" i="44"/>
  <c r="I30" i="44" s="1"/>
  <c r="J30" i="44" s="1"/>
  <c r="D33" i="43"/>
  <c r="P26" i="42"/>
  <c r="F74" i="42"/>
  <c r="F69" i="41"/>
  <c r="B35" i="41"/>
  <c r="E31" i="43" l="1"/>
  <c r="F30" i="43"/>
  <c r="J30" i="43" s="1"/>
  <c r="K30" i="43" s="1"/>
  <c r="D34" i="43"/>
  <c r="E32" i="44"/>
  <c r="F31" i="44"/>
  <c r="I31" i="44" s="1"/>
  <c r="J31" i="44" s="1"/>
  <c r="P27" i="42"/>
  <c r="I66" i="42"/>
  <c r="F70" i="41"/>
  <c r="B36" i="41"/>
  <c r="D35" i="43" l="1"/>
  <c r="E32" i="43"/>
  <c r="F31" i="43"/>
  <c r="J31" i="43" s="1"/>
  <c r="K31" i="43" s="1"/>
  <c r="E33" i="44"/>
  <c r="F32" i="44"/>
  <c r="I32" i="44" s="1"/>
  <c r="J32" i="44" s="1"/>
  <c r="I67" i="42"/>
  <c r="P28" i="42"/>
  <c r="F71" i="41"/>
  <c r="D36" i="43" l="1"/>
  <c r="E33" i="43"/>
  <c r="F32" i="43"/>
  <c r="J32" i="43" s="1"/>
  <c r="K32" i="43" s="1"/>
  <c r="E34" i="44"/>
  <c r="F33" i="44"/>
  <c r="I33" i="44" s="1"/>
  <c r="J33" i="44" s="1"/>
  <c r="P29" i="42"/>
  <c r="I68" i="42"/>
  <c r="F72" i="41"/>
  <c r="E34" i="43" l="1"/>
  <c r="F33" i="43"/>
  <c r="J33" i="43" s="1"/>
  <c r="K33" i="43" s="1"/>
  <c r="E35" i="44"/>
  <c r="F34" i="44"/>
  <c r="I34" i="44" s="1"/>
  <c r="J34" i="44" s="1"/>
  <c r="P30" i="42"/>
  <c r="I69" i="42"/>
  <c r="F73" i="41"/>
  <c r="E36" i="44" l="1"/>
  <c r="F36" i="44" s="1"/>
  <c r="I36" i="44" s="1"/>
  <c r="J36" i="44" s="1"/>
  <c r="F35" i="44"/>
  <c r="I35" i="44" s="1"/>
  <c r="J35" i="44" s="1"/>
  <c r="E35" i="43"/>
  <c r="F34" i="43"/>
  <c r="J34" i="43" s="1"/>
  <c r="K34" i="43" s="1"/>
  <c r="P31" i="42"/>
  <c r="I70" i="42"/>
  <c r="F74" i="41"/>
  <c r="E36" i="43" l="1"/>
  <c r="F36" i="43" s="1"/>
  <c r="J36" i="43" s="1"/>
  <c r="K36" i="43" s="1"/>
  <c r="F35" i="43"/>
  <c r="J35" i="43" s="1"/>
  <c r="K35" i="43" s="1"/>
  <c r="P32" i="42"/>
  <c r="I71" i="42"/>
  <c r="I66" i="41"/>
  <c r="I72" i="42" l="1"/>
  <c r="P33" i="42"/>
  <c r="I67" i="41"/>
  <c r="P34" i="42" l="1"/>
  <c r="I73" i="42"/>
  <c r="I68" i="41"/>
  <c r="I74" i="42" l="1"/>
  <c r="P35" i="42"/>
  <c r="I69" i="41"/>
  <c r="E12" i="42" l="1"/>
  <c r="H12" i="42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D25" i="42"/>
  <c r="K12" i="42"/>
  <c r="K13" i="42" s="1"/>
  <c r="K14" i="42" s="1"/>
  <c r="K15" i="42" s="1"/>
  <c r="K16" i="42" s="1"/>
  <c r="K17" i="42" s="1"/>
  <c r="K18" i="42" s="1"/>
  <c r="K19" i="42" s="1"/>
  <c r="K20" i="42" s="1"/>
  <c r="K21" i="42" s="1"/>
  <c r="K22" i="42" s="1"/>
  <c r="K23" i="42" s="1"/>
  <c r="K24" i="42" s="1"/>
  <c r="K25" i="42" s="1"/>
  <c r="K26" i="42" s="1"/>
  <c r="K27" i="42" s="1"/>
  <c r="K28" i="42" s="1"/>
  <c r="K29" i="42" s="1"/>
  <c r="K30" i="42" s="1"/>
  <c r="K31" i="42" s="1"/>
  <c r="K32" i="42" s="1"/>
  <c r="K33" i="42" s="1"/>
  <c r="K34" i="42" s="1"/>
  <c r="K35" i="42" s="1"/>
  <c r="K36" i="42" s="1"/>
  <c r="G12" i="42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P36" i="42"/>
  <c r="I70" i="41"/>
  <c r="E13" i="42" l="1"/>
  <c r="F12" i="42"/>
  <c r="I12" i="42" s="1"/>
  <c r="J12" i="42" s="1"/>
  <c r="D26" i="42"/>
  <c r="I71" i="41"/>
  <c r="D27" i="42" l="1"/>
  <c r="E14" i="42"/>
  <c r="F13" i="42"/>
  <c r="I13" i="42" s="1"/>
  <c r="J13" i="42" s="1"/>
  <c r="I72" i="41"/>
  <c r="E15" i="42" l="1"/>
  <c r="F14" i="42"/>
  <c r="I14" i="42" s="1"/>
  <c r="J14" i="42" s="1"/>
  <c r="D28" i="42"/>
  <c r="I73" i="41"/>
  <c r="D29" i="42" l="1"/>
  <c r="E16" i="42"/>
  <c r="F15" i="42"/>
  <c r="I15" i="42" s="1"/>
  <c r="J15" i="42" s="1"/>
  <c r="I74" i="41"/>
  <c r="E17" i="42" l="1"/>
  <c r="F16" i="42"/>
  <c r="I16" i="42" s="1"/>
  <c r="J16" i="42" s="1"/>
  <c r="H12" i="4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K12" i="41"/>
  <c r="K13" i="41" s="1"/>
  <c r="K14" i="41" s="1"/>
  <c r="K15" i="41" s="1"/>
  <c r="K16" i="41" s="1"/>
  <c r="K17" i="41" s="1"/>
  <c r="K18" i="41" s="1"/>
  <c r="K19" i="41" s="1"/>
  <c r="K20" i="41" s="1"/>
  <c r="K21" i="41" s="1"/>
  <c r="K22" i="41" s="1"/>
  <c r="K23" i="41" s="1"/>
  <c r="K24" i="41" s="1"/>
  <c r="K25" i="41" s="1"/>
  <c r="K26" i="41" s="1"/>
  <c r="K27" i="41" s="1"/>
  <c r="K28" i="41" s="1"/>
  <c r="K29" i="41" s="1"/>
  <c r="K30" i="41" s="1"/>
  <c r="K31" i="41" s="1"/>
  <c r="K32" i="41" s="1"/>
  <c r="K33" i="41" s="1"/>
  <c r="K34" i="41" s="1"/>
  <c r="K35" i="41" s="1"/>
  <c r="K36" i="41" s="1"/>
  <c r="G12" i="4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D25" i="41"/>
  <c r="E12" i="41"/>
  <c r="D30" i="42"/>
  <c r="D31" i="42" l="1"/>
  <c r="E13" i="41"/>
  <c r="F12" i="41"/>
  <c r="I12" i="41" s="1"/>
  <c r="J12" i="41" s="1"/>
  <c r="D26" i="41"/>
  <c r="E18" i="42"/>
  <c r="F17" i="42"/>
  <c r="I17" i="42" s="1"/>
  <c r="J17" i="42" s="1"/>
  <c r="E14" i="41" l="1"/>
  <c r="F13" i="41"/>
  <c r="I13" i="41" s="1"/>
  <c r="J13" i="41" s="1"/>
  <c r="E19" i="42"/>
  <c r="F18" i="42"/>
  <c r="I18" i="42" s="1"/>
  <c r="J18" i="42" s="1"/>
  <c r="D27" i="41"/>
  <c r="D32" i="42"/>
  <c r="C67" i="40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E20" i="42" l="1"/>
  <c r="F19" i="42"/>
  <c r="I19" i="42" s="1"/>
  <c r="J19" i="42" s="1"/>
  <c r="D33" i="42"/>
  <c r="D28" i="41"/>
  <c r="E15" i="41"/>
  <c r="F14" i="41"/>
  <c r="I14" i="41" s="1"/>
  <c r="J14" i="41" s="1"/>
  <c r="D11" i="40"/>
  <c r="B26" i="40"/>
  <c r="C69" i="40"/>
  <c r="E16" i="41" l="1"/>
  <c r="F15" i="41"/>
  <c r="I15" i="41" s="1"/>
  <c r="J15" i="41" s="1"/>
  <c r="D34" i="42"/>
  <c r="D29" i="41"/>
  <c r="E21" i="42"/>
  <c r="F20" i="42"/>
  <c r="I20" i="42" s="1"/>
  <c r="J20" i="42" s="1"/>
  <c r="B27" i="40"/>
  <c r="D12" i="40"/>
  <c r="D13" i="40" s="1"/>
  <c r="F11" i="40"/>
  <c r="C70" i="40"/>
  <c r="E22" i="42" l="1"/>
  <c r="F21" i="42"/>
  <c r="I21" i="42" s="1"/>
  <c r="J21" i="42" s="1"/>
  <c r="D35" i="42"/>
  <c r="D30" i="41"/>
  <c r="E17" i="41"/>
  <c r="F16" i="41"/>
  <c r="I16" i="41" s="1"/>
  <c r="J16" i="41" s="1"/>
  <c r="D14" i="40"/>
  <c r="B28" i="40"/>
  <c r="C71" i="40"/>
  <c r="D36" i="42" l="1"/>
  <c r="E18" i="41"/>
  <c r="F17" i="41"/>
  <c r="I17" i="41" s="1"/>
  <c r="J17" i="41" s="1"/>
  <c r="D31" i="41"/>
  <c r="E23" i="42"/>
  <c r="F22" i="42"/>
  <c r="I22" i="42" s="1"/>
  <c r="J22" i="42" s="1"/>
  <c r="I11" i="40"/>
  <c r="J11" i="40" s="1"/>
  <c r="D15" i="40"/>
  <c r="B29" i="40"/>
  <c r="C72" i="40"/>
  <c r="E24" i="42" l="1"/>
  <c r="F23" i="42"/>
  <c r="I23" i="42" s="1"/>
  <c r="J23" i="42" s="1"/>
  <c r="E19" i="41"/>
  <c r="F18" i="41"/>
  <c r="I18" i="41" s="1"/>
  <c r="J18" i="41" s="1"/>
  <c r="D32" i="41"/>
  <c r="D16" i="40"/>
  <c r="B30" i="40"/>
  <c r="C73" i="40"/>
  <c r="E20" i="41" l="1"/>
  <c r="F19" i="41"/>
  <c r="I19" i="41" s="1"/>
  <c r="J19" i="41" s="1"/>
  <c r="D33" i="41"/>
  <c r="E25" i="42"/>
  <c r="F24" i="42"/>
  <c r="I24" i="42" s="1"/>
  <c r="J24" i="42" s="1"/>
  <c r="D17" i="40"/>
  <c r="B31" i="40"/>
  <c r="C74" i="40"/>
  <c r="D34" i="41" l="1"/>
  <c r="E26" i="42"/>
  <c r="F25" i="42"/>
  <c r="I25" i="42" s="1"/>
  <c r="J25" i="42" s="1"/>
  <c r="E21" i="41"/>
  <c r="F20" i="41"/>
  <c r="I20" i="41" s="1"/>
  <c r="J20" i="41" s="1"/>
  <c r="B32" i="40"/>
  <c r="D18" i="40"/>
  <c r="F66" i="40"/>
  <c r="E27" i="42" l="1"/>
  <c r="F26" i="42"/>
  <c r="I26" i="42" s="1"/>
  <c r="J26" i="42" s="1"/>
  <c r="E22" i="41"/>
  <c r="F21" i="41"/>
  <c r="I21" i="41" s="1"/>
  <c r="J21" i="41" s="1"/>
  <c r="D35" i="41"/>
  <c r="B33" i="40"/>
  <c r="D19" i="40"/>
  <c r="F67" i="40"/>
  <c r="D36" i="41" l="1"/>
  <c r="E23" i="41"/>
  <c r="F22" i="41"/>
  <c r="I22" i="41" s="1"/>
  <c r="J22" i="41" s="1"/>
  <c r="E28" i="42"/>
  <c r="F27" i="42"/>
  <c r="I27" i="42" s="1"/>
  <c r="J27" i="42" s="1"/>
  <c r="D20" i="40"/>
  <c r="B34" i="40"/>
  <c r="F68" i="40"/>
  <c r="E29" i="42" l="1"/>
  <c r="F28" i="42"/>
  <c r="I28" i="42" s="1"/>
  <c r="J28" i="42" s="1"/>
  <c r="E24" i="41"/>
  <c r="F23" i="41"/>
  <c r="I23" i="41" s="1"/>
  <c r="J23" i="41" s="1"/>
  <c r="D21" i="40"/>
  <c r="B35" i="40"/>
  <c r="F69" i="40"/>
  <c r="E25" i="41" l="1"/>
  <c r="F24" i="41"/>
  <c r="I24" i="41" s="1"/>
  <c r="J24" i="41" s="1"/>
  <c r="E30" i="42"/>
  <c r="F29" i="42"/>
  <c r="I29" i="42" s="1"/>
  <c r="J29" i="42" s="1"/>
  <c r="B36" i="40"/>
  <c r="D22" i="40"/>
  <c r="F70" i="40"/>
  <c r="E26" i="41" l="1"/>
  <c r="F25" i="41"/>
  <c r="I25" i="41" s="1"/>
  <c r="J25" i="41" s="1"/>
  <c r="E31" i="42"/>
  <c r="F30" i="42"/>
  <c r="I30" i="42" s="1"/>
  <c r="J30" i="42" s="1"/>
  <c r="D23" i="40"/>
  <c r="F71" i="40"/>
  <c r="E32" i="42" l="1"/>
  <c r="F31" i="42"/>
  <c r="I31" i="42" s="1"/>
  <c r="J31" i="42" s="1"/>
  <c r="E27" i="41"/>
  <c r="F26" i="41"/>
  <c r="I26" i="41" s="1"/>
  <c r="J26" i="41" s="1"/>
  <c r="D24" i="40"/>
  <c r="F72" i="40"/>
  <c r="E28" i="41" l="1"/>
  <c r="F27" i="41"/>
  <c r="I27" i="41" s="1"/>
  <c r="J27" i="41" s="1"/>
  <c r="E33" i="42"/>
  <c r="F32" i="42"/>
  <c r="I32" i="42" s="1"/>
  <c r="J32" i="42" s="1"/>
  <c r="D25" i="40"/>
  <c r="F73" i="40"/>
  <c r="E34" i="42" l="1"/>
  <c r="F33" i="42"/>
  <c r="I33" i="42" s="1"/>
  <c r="J33" i="42" s="1"/>
  <c r="E29" i="41"/>
  <c r="F28" i="41"/>
  <c r="I28" i="41" s="1"/>
  <c r="J28" i="41" s="1"/>
  <c r="D26" i="40"/>
  <c r="F74" i="40"/>
  <c r="E30" i="41" l="1"/>
  <c r="F29" i="41"/>
  <c r="I29" i="41" s="1"/>
  <c r="J29" i="41" s="1"/>
  <c r="E35" i="42"/>
  <c r="F34" i="42"/>
  <c r="I34" i="42" s="1"/>
  <c r="J34" i="42" s="1"/>
  <c r="I66" i="40"/>
  <c r="E31" i="41" l="1"/>
  <c r="F30" i="41"/>
  <c r="I30" i="41" s="1"/>
  <c r="J30" i="41" s="1"/>
  <c r="E36" i="42"/>
  <c r="F36" i="42" s="1"/>
  <c r="I36" i="42" s="1"/>
  <c r="J36" i="42" s="1"/>
  <c r="F35" i="42"/>
  <c r="I35" i="42" s="1"/>
  <c r="J35" i="42" s="1"/>
  <c r="I67" i="40"/>
  <c r="E32" i="41" l="1"/>
  <c r="F31" i="41"/>
  <c r="I31" i="41" s="1"/>
  <c r="J31" i="41" s="1"/>
  <c r="I68" i="40"/>
  <c r="E33" i="41" l="1"/>
  <c r="F32" i="41"/>
  <c r="I32" i="41" s="1"/>
  <c r="J32" i="41" s="1"/>
  <c r="I69" i="40"/>
  <c r="E34" i="41" l="1"/>
  <c r="F33" i="41"/>
  <c r="I33" i="41" s="1"/>
  <c r="J33" i="41" s="1"/>
  <c r="I70" i="40"/>
  <c r="E35" i="41" l="1"/>
  <c r="F34" i="41"/>
  <c r="I34" i="41" s="1"/>
  <c r="J34" i="41" s="1"/>
  <c r="I71" i="40"/>
  <c r="E36" i="41" l="1"/>
  <c r="F36" i="41" s="1"/>
  <c r="I36" i="41" s="1"/>
  <c r="J36" i="41" s="1"/>
  <c r="F35" i="41"/>
  <c r="I35" i="41" s="1"/>
  <c r="J35" i="41" s="1"/>
  <c r="I72" i="40"/>
  <c r="I73" i="40" l="1"/>
  <c r="I74" i="40" l="1"/>
  <c r="G12" i="40" l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E12" i="40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K12" i="40"/>
  <c r="K13" i="40" s="1"/>
  <c r="K14" i="40" s="1"/>
  <c r="K15" i="40" s="1"/>
  <c r="K16" i="40" s="1"/>
  <c r="K17" i="40" s="1"/>
  <c r="K18" i="40" s="1"/>
  <c r="K19" i="40" s="1"/>
  <c r="K20" i="40" s="1"/>
  <c r="K21" i="40" s="1"/>
  <c r="K22" i="40" s="1"/>
  <c r="K23" i="40" s="1"/>
  <c r="K24" i="40" s="1"/>
  <c r="K25" i="40" s="1"/>
  <c r="K26" i="40" s="1"/>
  <c r="K27" i="40" s="1"/>
  <c r="K28" i="40" s="1"/>
  <c r="K29" i="40" s="1"/>
  <c r="K30" i="40" s="1"/>
  <c r="K31" i="40" s="1"/>
  <c r="K32" i="40" s="1"/>
  <c r="K33" i="40" s="1"/>
  <c r="K34" i="40" s="1"/>
  <c r="K35" i="40" s="1"/>
  <c r="K36" i="40" s="1"/>
  <c r="D28" i="40"/>
  <c r="D29" i="40" l="1"/>
  <c r="E13" i="40"/>
  <c r="F12" i="40"/>
  <c r="I12" i="40" s="1"/>
  <c r="J12" i="40" s="1"/>
  <c r="D9" i="28"/>
  <c r="E9" i="28"/>
  <c r="E14" i="40" l="1"/>
  <c r="F13" i="40"/>
  <c r="I13" i="40" s="1"/>
  <c r="J13" i="40" s="1"/>
  <c r="D30" i="40"/>
  <c r="K343" i="28"/>
  <c r="K341" i="28"/>
  <c r="D49" i="43"/>
  <c r="D49" i="44"/>
  <c r="D49" i="42"/>
  <c r="D49" i="41"/>
  <c r="D49" i="40"/>
  <c r="K342" i="28"/>
  <c r="D31" i="40" l="1"/>
  <c r="E15" i="40"/>
  <c r="F14" i="40"/>
  <c r="I14" i="40" s="1"/>
  <c r="J14" i="40" s="1"/>
  <c r="C65" i="44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E16" i="40" l="1"/>
  <c r="F15" i="40"/>
  <c r="I15" i="40" s="1"/>
  <c r="J15" i="40" s="1"/>
  <c r="D32" i="40"/>
  <c r="D33" i="40" l="1"/>
  <c r="E17" i="40"/>
  <c r="F16" i="40"/>
  <c r="I16" i="40" s="1"/>
  <c r="J16" i="40" s="1"/>
  <c r="B44" i="28"/>
  <c r="E18" i="40" l="1"/>
  <c r="F17" i="40"/>
  <c r="I17" i="40" s="1"/>
  <c r="J17" i="40" s="1"/>
  <c r="D34" i="40"/>
  <c r="K302" i="28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D35" i="40" l="1"/>
  <c r="E19" i="40"/>
  <c r="F18" i="40"/>
  <c r="I18" i="40" s="1"/>
  <c r="J18" i="40" s="1"/>
  <c r="K283" i="28"/>
  <c r="K287" i="28"/>
  <c r="K291" i="28"/>
  <c r="K295" i="28"/>
  <c r="K299" i="28"/>
  <c r="K303" i="28"/>
  <c r="E20" i="40" l="1"/>
  <c r="F19" i="40"/>
  <c r="I19" i="40" s="1"/>
  <c r="J19" i="40" s="1"/>
  <c r="D36" i="40"/>
  <c r="K328" i="28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E21" i="40" l="1"/>
  <c r="F20" i="40"/>
  <c r="I20" i="40" s="1"/>
  <c r="J20" i="40" s="1"/>
  <c r="K186" i="28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E22" i="40" l="1"/>
  <c r="F21" i="40"/>
  <c r="I21" i="40" s="1"/>
  <c r="J21" i="40" s="1"/>
  <c r="B15" i="28"/>
  <c r="E23" i="40" l="1"/>
  <c r="F22" i="40"/>
  <c r="I22" i="40" s="1"/>
  <c r="J22" i="40" s="1"/>
  <c r="B16" i="28"/>
  <c r="E24" i="40" l="1"/>
  <c r="F23" i="40"/>
  <c r="I23" i="40" s="1"/>
  <c r="J23" i="40" s="1"/>
  <c r="B17" i="28"/>
  <c r="E25" i="40" l="1"/>
  <c r="F24" i="40"/>
  <c r="I24" i="40" s="1"/>
  <c r="J24" i="40" s="1"/>
  <c r="B18" i="28"/>
  <c r="E26" i="40" l="1"/>
  <c r="F25" i="40"/>
  <c r="I25" i="40" s="1"/>
  <c r="J25" i="40" s="1"/>
  <c r="B19" i="28"/>
  <c r="E27" i="40" l="1"/>
  <c r="F26" i="40"/>
  <c r="I26" i="40" s="1"/>
  <c r="J26" i="40" s="1"/>
  <c r="B20" i="28"/>
  <c r="E28" i="40" l="1"/>
  <c r="F27" i="40"/>
  <c r="I27" i="40" s="1"/>
  <c r="J27" i="40" s="1"/>
  <c r="B21" i="28"/>
  <c r="B3" i="31"/>
  <c r="E29" i="40" l="1"/>
  <c r="F28" i="40"/>
  <c r="I28" i="40" s="1"/>
  <c r="J28" i="40" s="1"/>
  <c r="B22" i="28"/>
  <c r="E30" i="40" l="1"/>
  <c r="F29" i="40"/>
  <c r="I29" i="40" s="1"/>
  <c r="J29" i="40" s="1"/>
  <c r="B23" i="28"/>
  <c r="E31" i="40" l="1"/>
  <c r="F30" i="40"/>
  <c r="I30" i="40" s="1"/>
  <c r="J30" i="40" s="1"/>
  <c r="B24" i="28"/>
  <c r="E32" i="40" l="1"/>
  <c r="F31" i="40"/>
  <c r="I31" i="40" s="1"/>
  <c r="J31" i="40" s="1"/>
  <c r="B25" i="28"/>
  <c r="E33" i="40" l="1"/>
  <c r="F32" i="40"/>
  <c r="I32" i="40" s="1"/>
  <c r="J32" i="40" s="1"/>
  <c r="B26" i="28"/>
  <c r="E34" i="40" l="1"/>
  <c r="F33" i="40"/>
  <c r="I33" i="40" s="1"/>
  <c r="J33" i="40" s="1"/>
  <c r="B27" i="28"/>
  <c r="E35" i="40" l="1"/>
  <c r="F34" i="40"/>
  <c r="I34" i="40" s="1"/>
  <c r="J34" i="40" s="1"/>
  <c r="B28" i="28"/>
  <c r="E36" i="40" l="1"/>
  <c r="F36" i="40" s="1"/>
  <c r="I36" i="40" s="1"/>
  <c r="J36" i="40" s="1"/>
  <c r="F35" i="40"/>
  <c r="I35" i="40" s="1"/>
  <c r="J35" i="40" s="1"/>
  <c r="B29" i="28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7" i="31" s="1"/>
  <c r="J8" i="31" l="1"/>
  <c r="I133" i="31" l="1"/>
  <c r="I253" i="31" s="1"/>
  <c r="I25" i="31"/>
  <c r="I14" i="31"/>
  <c r="K9" i="31"/>
  <c r="C8" i="31"/>
  <c r="F8" i="31"/>
  <c r="C9" i="31"/>
  <c r="F10" i="31"/>
  <c r="F9" i="31"/>
  <c r="C10" i="31"/>
  <c r="E48" i="25" l="1"/>
  <c r="E40" i="25"/>
  <c r="E44" i="25"/>
  <c r="I134" i="3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205" i="31" l="1"/>
  <c r="I194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17" i="31" l="1"/>
  <c r="I206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18" i="31" l="1"/>
  <c r="I229" i="31"/>
  <c r="I207" i="31"/>
  <c r="I196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41" i="31" l="1"/>
  <c r="I230" i="31"/>
  <c r="I219" i="31"/>
  <c r="I197" i="31"/>
  <c r="I208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20" i="31" l="1"/>
  <c r="I231" i="31"/>
  <c r="I242" i="31"/>
  <c r="I209" i="31"/>
  <c r="I198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21" i="31" l="1"/>
  <c r="I243" i="31"/>
  <c r="I232" i="31"/>
  <c r="I199" i="31"/>
  <c r="I210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44" i="31" l="1"/>
  <c r="I233" i="31"/>
  <c r="I222" i="31"/>
  <c r="I211" i="31"/>
  <c r="I200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34" i="31" l="1"/>
  <c r="I223" i="31"/>
  <c r="I245" i="31"/>
  <c r="I212" i="31"/>
  <c r="I201" i="31"/>
  <c r="I104" i="31"/>
  <c r="I190" i="31"/>
  <c r="I82" i="31"/>
  <c r="I93" i="31"/>
  <c r="I179" i="31"/>
  <c r="I71" i="31"/>
  <c r="I168" i="31"/>
  <c r="I60" i="31"/>
  <c r="I115" i="31"/>
  <c r="I126" i="31"/>
  <c r="I246" i="31" l="1"/>
  <c r="I235" i="31"/>
  <c r="I224" i="31"/>
  <c r="I202" i="31"/>
  <c r="I213" i="31"/>
  <c r="I127" i="31"/>
  <c r="I191" i="31"/>
  <c r="I83" i="31"/>
  <c r="I105" i="31"/>
  <c r="I94" i="31"/>
  <c r="I180" i="31"/>
  <c r="I72" i="31"/>
  <c r="I116" i="31"/>
  <c r="I225" i="31" l="1"/>
  <c r="I236" i="31"/>
  <c r="I247" i="31"/>
  <c r="I203" i="31"/>
  <c r="I214" i="31"/>
  <c r="I117" i="31"/>
  <c r="I95" i="31"/>
  <c r="I128" i="31"/>
  <c r="I192" i="31"/>
  <c r="I84" i="31"/>
  <c r="I106" i="31"/>
  <c r="I237" i="31" l="1"/>
  <c r="I226" i="31"/>
  <c r="I248" i="31"/>
  <c r="I215" i="31"/>
  <c r="I204" i="31"/>
  <c r="I118" i="31"/>
  <c r="I107" i="31"/>
  <c r="I96" i="31"/>
  <c r="I129" i="31"/>
  <c r="I227" i="31" l="1"/>
  <c r="I238" i="31"/>
  <c r="I249" i="31"/>
  <c r="I216" i="31"/>
  <c r="I119" i="31"/>
  <c r="I108" i="31"/>
  <c r="I130" i="31"/>
  <c r="I250" i="31" l="1"/>
  <c r="I228" i="31"/>
  <c r="I239" i="31"/>
  <c r="I131" i="31"/>
  <c r="I120" i="31"/>
  <c r="I240" i="31" l="1"/>
  <c r="I251" i="31"/>
  <c r="I132" i="31"/>
  <c r="I252" i="31" l="1"/>
  <c r="B68" i="25"/>
  <c r="B69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8" i="67" s="1"/>
  <c r="B14" i="31"/>
  <c r="L16" i="31"/>
  <c r="H8" i="67" l="1"/>
  <c r="G8" i="67"/>
  <c r="F8" i="67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9" i="67" s="1"/>
  <c r="H9" i="67" l="1"/>
  <c r="G9" i="67"/>
  <c r="F9" i="67"/>
  <c r="B15" i="25"/>
  <c r="B10" i="67" s="1"/>
  <c r="O14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BI13" i="25"/>
  <c r="BG13" i="25"/>
  <c r="BX13" i="25"/>
  <c r="BT13" i="25"/>
  <c r="BH13" i="25"/>
  <c r="BP13" i="25"/>
  <c r="BL13" i="25"/>
  <c r="J15" i="31"/>
  <c r="B16" i="31"/>
  <c r="L28" i="31"/>
  <c r="H10" i="67" l="1"/>
  <c r="G10" i="67"/>
  <c r="F10" i="67"/>
  <c r="B17" i="31"/>
  <c r="J16" i="31"/>
  <c r="BJ14" i="25"/>
  <c r="BX14" i="25"/>
  <c r="BQ14" i="25"/>
  <c r="BT14" i="25"/>
  <c r="BG14" i="25"/>
  <c r="BU14" i="25"/>
  <c r="BK14" i="25"/>
  <c r="BI14" i="25"/>
  <c r="CW14" i="25"/>
  <c r="CX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O15" i="25"/>
  <c r="B16" i="25"/>
  <c r="B11" i="67" s="1"/>
  <c r="H11" i="67" l="1"/>
  <c r="G11" i="67"/>
  <c r="F11" i="67"/>
  <c r="L30" i="31"/>
  <c r="J17" i="31"/>
  <c r="B18" i="31"/>
  <c r="BO15" i="25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BN15" i="25"/>
  <c r="BF15" i="25"/>
  <c r="BI15" i="25"/>
  <c r="BR15" i="25"/>
  <c r="BH15" i="25"/>
  <c r="BQ15" i="25"/>
  <c r="BT15" i="25"/>
  <c r="BG15" i="25"/>
  <c r="BK15" i="25"/>
  <c r="O16" i="25"/>
  <c r="B17" i="25"/>
  <c r="B12" i="67" s="1"/>
  <c r="F12" i="67" l="1"/>
  <c r="G12" i="67"/>
  <c r="H12" i="67"/>
  <c r="B18" i="25"/>
  <c r="B13" i="67" s="1"/>
  <c r="O17" i="25"/>
  <c r="BJ16" i="25"/>
  <c r="BL16" i="25"/>
  <c r="BK16" i="25"/>
  <c r="BQ16" i="25"/>
  <c r="BS16" i="25"/>
  <c r="BW16" i="25"/>
  <c r="BH16" i="25"/>
  <c r="BP16" i="25"/>
  <c r="BR16" i="25"/>
  <c r="BV16" i="25"/>
  <c r="BT16" i="25"/>
  <c r="BN16" i="25"/>
  <c r="CW16" i="25"/>
  <c r="CX16" i="25" s="1"/>
  <c r="BG16" i="25"/>
  <c r="BF16" i="25"/>
  <c r="BM16" i="25"/>
  <c r="BI16" i="25"/>
  <c r="BY16" i="25"/>
  <c r="BU16" i="25"/>
  <c r="BX16" i="25"/>
  <c r="BO16" i="25"/>
  <c r="J18" i="31"/>
  <c r="B19" i="31"/>
  <c r="L31" i="31"/>
  <c r="F13" i="67" l="1"/>
  <c r="H13" i="67"/>
  <c r="G13" i="67"/>
  <c r="B20" i="31"/>
  <c r="J19" i="31"/>
  <c r="BN17" i="25"/>
  <c r="BY17" i="25"/>
  <c r="BW17" i="25"/>
  <c r="BU17" i="25"/>
  <c r="CW17" i="25"/>
  <c r="CX17" i="25" s="1"/>
  <c r="BV17" i="25"/>
  <c r="BQ17" i="25"/>
  <c r="BX17" i="25"/>
  <c r="BM17" i="25"/>
  <c r="BR17" i="25"/>
  <c r="BT17" i="25"/>
  <c r="BJ17" i="25"/>
  <c r="BF17" i="25"/>
  <c r="BL17" i="25"/>
  <c r="BO17" i="25"/>
  <c r="BS17" i="25"/>
  <c r="BH17" i="25"/>
  <c r="BI17" i="25"/>
  <c r="BP17" i="25"/>
  <c r="BG17" i="25"/>
  <c r="BK17" i="25"/>
  <c r="L32" i="31"/>
  <c r="B19" i="25"/>
  <c r="B14" i="67" s="1"/>
  <c r="O18" i="25"/>
  <c r="H14" i="67" l="1"/>
  <c r="G14" i="67"/>
  <c r="F14" i="67"/>
  <c r="O19" i="25"/>
  <c r="B20" i="25"/>
  <c r="B15" i="67" s="1"/>
  <c r="BJ18" i="25"/>
  <c r="BP18" i="25"/>
  <c r="BV18" i="25"/>
  <c r="BY18" i="25"/>
  <c r="BG18" i="25"/>
  <c r="BT18" i="25"/>
  <c r="BO18" i="25"/>
  <c r="BQ18" i="25"/>
  <c r="BL18" i="25"/>
  <c r="BI18" i="25"/>
  <c r="BF18" i="25"/>
  <c r="BN18" i="25"/>
  <c r="BK18" i="25"/>
  <c r="BM18" i="25"/>
  <c r="BX18" i="25"/>
  <c r="BU18" i="25"/>
  <c r="CW18" i="25"/>
  <c r="CX18" i="25" s="1"/>
  <c r="BS18" i="25"/>
  <c r="BW18" i="25"/>
  <c r="BH18" i="25"/>
  <c r="BR18" i="25"/>
  <c r="L33" i="31"/>
  <c r="J20" i="31"/>
  <c r="B21" i="31"/>
  <c r="H15" i="67" l="1"/>
  <c r="G15" i="67"/>
  <c r="F15" i="67"/>
  <c r="B22" i="31"/>
  <c r="J21" i="31"/>
  <c r="B21" i="25"/>
  <c r="B16" i="67" s="1"/>
  <c r="O20" i="25"/>
  <c r="L34" i="31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BI19" i="25"/>
  <c r="BT19" i="25"/>
  <c r="BY19" i="25"/>
  <c r="CW19" i="25"/>
  <c r="CX19" i="25" s="1"/>
  <c r="BP19" i="25"/>
  <c r="BS19" i="25"/>
  <c r="BJ19" i="25"/>
  <c r="BK19" i="25"/>
  <c r="BM19" i="25"/>
  <c r="H16" i="67" l="1"/>
  <c r="G16" i="67"/>
  <c r="F16" i="67"/>
  <c r="BJ20" i="25"/>
  <c r="BV20" i="25"/>
  <c r="BX20" i="25"/>
  <c r="BT20" i="25"/>
  <c r="BR20" i="25"/>
  <c r="BK20" i="25"/>
  <c r="BG20" i="25"/>
  <c r="BM20" i="25"/>
  <c r="BL20" i="25"/>
  <c r="BO20" i="25"/>
  <c r="BU20" i="25"/>
  <c r="BY20" i="25"/>
  <c r="BF20" i="25"/>
  <c r="BI20" i="25"/>
  <c r="BP20" i="25"/>
  <c r="BS20" i="25"/>
  <c r="BN20" i="25"/>
  <c r="BW20" i="25"/>
  <c r="BQ20" i="25"/>
  <c r="CW20" i="25"/>
  <c r="CX20" i="25" s="1"/>
  <c r="BH20" i="25"/>
  <c r="J22" i="31"/>
  <c r="B23" i="31"/>
  <c r="B22" i="25"/>
  <c r="B17" i="67" s="1"/>
  <c r="O21" i="25"/>
  <c r="L35" i="31"/>
  <c r="F17" i="67" l="1"/>
  <c r="H17" i="67"/>
  <c r="G17" i="67"/>
  <c r="L36" i="31"/>
  <c r="L37" i="31" s="1"/>
  <c r="O22" i="25"/>
  <c r="B23" i="25"/>
  <c r="B18" i="67" s="1"/>
  <c r="J23" i="31"/>
  <c r="B24" i="31"/>
  <c r="BO21" i="25"/>
  <c r="BW21" i="25"/>
  <c r="BH21" i="25"/>
  <c r="BK21" i="25"/>
  <c r="BQ21" i="25"/>
  <c r="CW21" i="25"/>
  <c r="CX21" i="25" s="1"/>
  <c r="BY21" i="25"/>
  <c r="BU21" i="25"/>
  <c r="BS21" i="25"/>
  <c r="BR21" i="25"/>
  <c r="BN21" i="25"/>
  <c r="BG21" i="25"/>
  <c r="BJ21" i="25"/>
  <c r="BT21" i="25"/>
  <c r="BV21" i="25"/>
  <c r="BI21" i="25"/>
  <c r="BM21" i="25"/>
  <c r="BX21" i="25"/>
  <c r="BL21" i="25"/>
  <c r="BF21" i="25"/>
  <c r="BP21" i="25"/>
  <c r="H18" i="67" l="1"/>
  <c r="G18" i="67"/>
  <c r="F18" i="67"/>
  <c r="B24" i="25"/>
  <c r="B19" i="67" s="1"/>
  <c r="O23" i="25"/>
  <c r="BJ22" i="25"/>
  <c r="BL22" i="25"/>
  <c r="BK22" i="25"/>
  <c r="BV22" i="25"/>
  <c r="BM22" i="25"/>
  <c r="BU22" i="25"/>
  <c r="BF22" i="25"/>
  <c r="BS22" i="25"/>
  <c r="BG22" i="25"/>
  <c r="BI22" i="25"/>
  <c r="BP22" i="25"/>
  <c r="BQ22" i="25"/>
  <c r="CW22" i="25"/>
  <c r="CX22" i="25" s="1"/>
  <c r="BO22" i="25"/>
  <c r="BY22" i="25"/>
  <c r="BW22" i="25"/>
  <c r="BH22" i="25"/>
  <c r="BX22" i="25"/>
  <c r="BN22" i="25"/>
  <c r="BT22" i="25"/>
  <c r="BR22" i="25"/>
  <c r="B25" i="31"/>
  <c r="J24" i="31"/>
  <c r="H19" i="67" l="1"/>
  <c r="G19" i="67"/>
  <c r="F19" i="67"/>
  <c r="BJ23" i="25"/>
  <c r="BP23" i="25"/>
  <c r="BX23" i="25"/>
  <c r="BY23" i="25"/>
  <c r="BW23" i="25"/>
  <c r="CW23" i="25"/>
  <c r="CX23" i="25" s="1"/>
  <c r="BQ23" i="25"/>
  <c r="BT23" i="25"/>
  <c r="BR23" i="25"/>
  <c r="BU23" i="25"/>
  <c r="BS23" i="25"/>
  <c r="BI23" i="25"/>
  <c r="BV23" i="25"/>
  <c r="BF23" i="25"/>
  <c r="BO23" i="25"/>
  <c r="BN23" i="25"/>
  <c r="BH23" i="25"/>
  <c r="BK23" i="25"/>
  <c r="BG23" i="25"/>
  <c r="BL23" i="25"/>
  <c r="BM23" i="25"/>
  <c r="O24" i="25"/>
  <c r="B25" i="25"/>
  <c r="B20" i="67" s="1"/>
  <c r="J25" i="31"/>
  <c r="B26" i="31"/>
  <c r="H20" i="67" l="1"/>
  <c r="G20" i="67"/>
  <c r="F20" i="67"/>
  <c r="O25" i="25"/>
  <c r="B26" i="25"/>
  <c r="B21" i="67" s="1"/>
  <c r="B27" i="31"/>
  <c r="J26" i="31"/>
  <c r="BJ24" i="25"/>
  <c r="BT24" i="25"/>
  <c r="BX24" i="25"/>
  <c r="BV24" i="25"/>
  <c r="BY24" i="25"/>
  <c r="BR24" i="25"/>
  <c r="BO24" i="25"/>
  <c r="BL24" i="25"/>
  <c r="BI24" i="25"/>
  <c r="BQ24" i="25"/>
  <c r="BG24" i="25"/>
  <c r="BN24" i="25"/>
  <c r="BS24" i="25"/>
  <c r="BP24" i="25"/>
  <c r="BF24" i="25"/>
  <c r="BM24" i="25"/>
  <c r="BK24" i="25"/>
  <c r="CW24" i="25"/>
  <c r="CX24" i="25" s="1"/>
  <c r="BW24" i="25"/>
  <c r="BU24" i="25"/>
  <c r="BH24" i="25"/>
  <c r="H21" i="67" l="1"/>
  <c r="G21" i="67"/>
  <c r="F21" i="67"/>
  <c r="B28" i="31"/>
  <c r="J27" i="31"/>
  <c r="B27" i="25"/>
  <c r="B22" i="67" s="1"/>
  <c r="O26" i="25"/>
  <c r="BI25" i="25"/>
  <c r="BV25" i="25"/>
  <c r="BH25" i="25"/>
  <c r="BQ25" i="25"/>
  <c r="BG25" i="25"/>
  <c r="CW25" i="25"/>
  <c r="CX25" i="25" s="1"/>
  <c r="BN25" i="25"/>
  <c r="BP25" i="25"/>
  <c r="BM25" i="25"/>
  <c r="BR25" i="25"/>
  <c r="BO25" i="25"/>
  <c r="BF25" i="25"/>
  <c r="BJ25" i="25"/>
  <c r="BT25" i="25"/>
  <c r="BX25" i="25"/>
  <c r="BL25" i="25"/>
  <c r="BU25" i="25"/>
  <c r="BY25" i="25"/>
  <c r="BK25" i="25"/>
  <c r="BW25" i="25"/>
  <c r="BS25" i="25"/>
  <c r="H22" i="67" l="1"/>
  <c r="G22" i="67"/>
  <c r="F22" i="67"/>
  <c r="BJ26" i="25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BK26" i="25"/>
  <c r="BV26" i="25"/>
  <c r="BP26" i="25"/>
  <c r="BF26" i="25"/>
  <c r="BI26" i="25"/>
  <c r="BW26" i="25"/>
  <c r="BX26" i="25"/>
  <c r="J28" i="31"/>
  <c r="B29" i="31"/>
  <c r="O27" i="25"/>
  <c r="B28" i="25"/>
  <c r="B23" i="67" s="1"/>
  <c r="H23" i="67" l="1"/>
  <c r="G23" i="67"/>
  <c r="F23" i="67"/>
  <c r="B33" i="67"/>
  <c r="BO27" i="25"/>
  <c r="BY27" i="25"/>
  <c r="BR27" i="25"/>
  <c r="BS27" i="25"/>
  <c r="BU27" i="25"/>
  <c r="CW27" i="25"/>
  <c r="CX27" i="25" s="1"/>
  <c r="BJ27" i="25"/>
  <c r="BL27" i="25"/>
  <c r="BK27" i="25"/>
  <c r="BV27" i="25"/>
  <c r="BF27" i="25"/>
  <c r="BW27" i="25"/>
  <c r="BH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B30" i="25" l="1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BR28" i="25"/>
  <c r="BP28" i="25"/>
  <c r="BK28" i="25"/>
  <c r="BM28" i="25"/>
  <c r="BQ28" i="25"/>
  <c r="CW28" i="25"/>
  <c r="CX28" i="25" s="1"/>
  <c r="BT28" i="25"/>
  <c r="BY28" i="25"/>
  <c r="B31" i="31"/>
  <c r="J30" i="31"/>
  <c r="B32" i="31" l="1"/>
  <c r="J31" i="31"/>
  <c r="BN29" i="25"/>
  <c r="BS29" i="25"/>
  <c r="BG29" i="25"/>
  <c r="BF29" i="25"/>
  <c r="BP29" i="25"/>
  <c r="BO29" i="25"/>
  <c r="BW29" i="25"/>
  <c r="BQ29" i="25"/>
  <c r="CW29" i="25"/>
  <c r="CX29" i="25" s="1"/>
  <c r="BR29" i="25"/>
  <c r="BX29" i="25"/>
  <c r="BJ29" i="25"/>
  <c r="BL29" i="25"/>
  <c r="BY29" i="25"/>
  <c r="BH29" i="25"/>
  <c r="BK29" i="25"/>
  <c r="BV29" i="25"/>
  <c r="BU29" i="25"/>
  <c r="BI29" i="25"/>
  <c r="BT29" i="25"/>
  <c r="BM29" i="25"/>
  <c r="O30" i="25"/>
  <c r="B31" i="25"/>
  <c r="O31" i="25" l="1"/>
  <c r="B32" i="25"/>
  <c r="BN30" i="25"/>
  <c r="BQ30" i="25"/>
  <c r="BK30" i="25"/>
  <c r="CW30" i="25"/>
  <c r="CX30" i="25" s="1"/>
  <c r="BR30" i="25"/>
  <c r="BL30" i="25"/>
  <c r="BV30" i="25"/>
  <c r="BM30" i="25"/>
  <c r="BF30" i="25"/>
  <c r="BG30" i="25"/>
  <c r="BP30" i="25"/>
  <c r="BO30" i="25"/>
  <c r="BH30" i="25"/>
  <c r="BI30" i="25"/>
  <c r="BU30" i="25"/>
  <c r="BY30" i="25"/>
  <c r="BS30" i="25"/>
  <c r="BJ30" i="25"/>
  <c r="BW30" i="25"/>
  <c r="BT30" i="25"/>
  <c r="BX30" i="25"/>
  <c r="J32" i="31"/>
  <c r="B33" i="31"/>
  <c r="B33" i="25" l="1"/>
  <c r="O32" i="25"/>
  <c r="B34" i="31"/>
  <c r="J33" i="31"/>
  <c r="BO31" i="25"/>
  <c r="BP31" i="25"/>
  <c r="BS31" i="25"/>
  <c r="BQ31" i="25"/>
  <c r="BR31" i="25"/>
  <c r="BH31" i="25"/>
  <c r="BL31" i="25"/>
  <c r="BU31" i="25"/>
  <c r="CW31" i="25"/>
  <c r="CX31" i="25" s="1"/>
  <c r="BF31" i="25"/>
  <c r="BN31" i="25"/>
  <c r="BV31" i="25"/>
  <c r="BT31" i="25"/>
  <c r="BX31" i="25"/>
  <c r="BI31" i="25"/>
  <c r="BM31" i="25"/>
  <c r="BK31" i="25"/>
  <c r="BJ31" i="25"/>
  <c r="BY31" i="25"/>
  <c r="BG31" i="25"/>
  <c r="BW31" i="25"/>
  <c r="B34" i="25" l="1"/>
  <c r="O34" i="25" s="1"/>
  <c r="O33" i="25"/>
  <c r="B35" i="31"/>
  <c r="J34" i="31"/>
  <c r="BI32" i="25"/>
  <c r="BX32" i="25"/>
  <c r="CW32" i="25"/>
  <c r="CX32" i="25" s="1"/>
  <c r="BM32" i="25"/>
  <c r="BV32" i="25"/>
  <c r="BH32" i="25"/>
  <c r="BJ32" i="25"/>
  <c r="BP32" i="25"/>
  <c r="BY32" i="25"/>
  <c r="BU32" i="25"/>
  <c r="BO32" i="25"/>
  <c r="BR32" i="25"/>
  <c r="BW32" i="25"/>
  <c r="BQ32" i="25"/>
  <c r="BL32" i="25"/>
  <c r="BK32" i="25"/>
  <c r="BF32" i="25"/>
  <c r="BN32" i="25"/>
  <c r="BG32" i="25"/>
  <c r="BT32" i="25"/>
  <c r="BS32" i="25"/>
  <c r="BF34" i="25" l="1"/>
  <c r="BN34" i="25"/>
  <c r="BT33" i="25"/>
  <c r="BR34" i="25"/>
  <c r="BU34" i="25"/>
  <c r="BO34" i="25"/>
  <c r="BQ34" i="25"/>
  <c r="CW34" i="25"/>
  <c r="CX34" i="25" s="1"/>
  <c r="BW34" i="25"/>
  <c r="BT34" i="25"/>
  <c r="BL34" i="25"/>
  <c r="BY34" i="25"/>
  <c r="BM34" i="25"/>
  <c r="BH34" i="25"/>
  <c r="BV34" i="25"/>
  <c r="BP34" i="25"/>
  <c r="BS34" i="25"/>
  <c r="BM33" i="25"/>
  <c r="BX34" i="25"/>
  <c r="BK34" i="25"/>
  <c r="BJ34" i="25"/>
  <c r="BI34" i="25"/>
  <c r="BG34" i="25"/>
  <c r="BO33" i="25"/>
  <c r="BV33" i="25"/>
  <c r="BK33" i="25"/>
  <c r="BJ33" i="25"/>
  <c r="BL33" i="25"/>
  <c r="BX33" i="25"/>
  <c r="BS33" i="25"/>
  <c r="BH33" i="25"/>
  <c r="CW33" i="25"/>
  <c r="CX33" i="25" s="1"/>
  <c r="BQ33" i="25"/>
  <c r="BU33" i="25"/>
  <c r="BP33" i="25"/>
  <c r="BW33" i="25"/>
  <c r="BI33" i="25"/>
  <c r="BF33" i="25"/>
  <c r="BG33" i="25"/>
  <c r="BY33" i="25"/>
  <c r="BN33" i="25"/>
  <c r="BR33" i="25"/>
  <c r="J35" i="31"/>
  <c r="B36" i="31"/>
  <c r="B37" i="31" l="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B194" i="31" s="1"/>
  <c r="B195" i="31" s="1"/>
  <c r="B196" i="31" s="1"/>
  <c r="B197" i="31" s="1"/>
  <c r="B198" i="31" s="1"/>
  <c r="B199" i="31" s="1"/>
  <c r="B200" i="31" s="1"/>
  <c r="B201" i="31" s="1"/>
  <c r="B202" i="31" s="1"/>
  <c r="B203" i="31" s="1"/>
  <c r="B204" i="31" s="1"/>
  <c r="B205" i="31" s="1"/>
  <c r="B206" i="31" s="1"/>
  <c r="B207" i="31" s="1"/>
  <c r="B208" i="31" s="1"/>
  <c r="B209" i="31" s="1"/>
  <c r="B210" i="31" s="1"/>
  <c r="B211" i="31" s="1"/>
  <c r="B212" i="31" s="1"/>
  <c r="B213" i="31" s="1"/>
  <c r="B214" i="31" s="1"/>
  <c r="B215" i="31" s="1"/>
  <c r="B216" i="31" s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J191" i="31"/>
  <c r="J192" i="31" l="1"/>
  <c r="J193" i="31" l="1"/>
  <c r="J194" i="31" l="1"/>
  <c r="J195" i="31" l="1"/>
  <c r="J196" i="31" l="1"/>
  <c r="J197" i="31" l="1"/>
  <c r="J198" i="31" l="1"/>
  <c r="J199" i="31" l="1"/>
  <c r="J200" i="31" l="1"/>
  <c r="J201" i="31" l="1"/>
  <c r="J202" i="31" l="1"/>
  <c r="J203" i="31" l="1"/>
  <c r="J204" i="31" l="1"/>
  <c r="J205" i="31" l="1"/>
  <c r="J206" i="31" l="1"/>
  <c r="J207" i="31" l="1"/>
  <c r="J208" i="31" l="1"/>
  <c r="J209" i="31" l="1"/>
  <c r="J210" i="31" l="1"/>
  <c r="J211" i="31" l="1"/>
  <c r="J212" i="31" l="1"/>
  <c r="J213" i="31" l="1"/>
  <c r="J214" i="31" l="1"/>
  <c r="J215" i="31" l="1"/>
  <c r="J217" i="31" l="1"/>
  <c r="J216" i="31"/>
  <c r="J218" i="31" l="1"/>
  <c r="J219" i="31" l="1"/>
  <c r="J265" i="31"/>
  <c r="J220" i="31" l="1"/>
  <c r="J266" i="31"/>
  <c r="J221" i="31" l="1"/>
  <c r="J267" i="31"/>
  <c r="J222" i="31" l="1"/>
  <c r="J268" i="31"/>
  <c r="J223" i="31" l="1"/>
  <c r="J269" i="31"/>
  <c r="J224" i="31" l="1"/>
  <c r="J270" i="31"/>
  <c r="J225" i="31" l="1"/>
  <c r="J271" i="31"/>
  <c r="J226" i="31" l="1"/>
  <c r="J272" i="31"/>
  <c r="J227" i="31" l="1"/>
  <c r="J273" i="31"/>
  <c r="B229" i="31" l="1"/>
  <c r="J228" i="31"/>
  <c r="J274" i="31"/>
  <c r="J229" i="31" l="1"/>
  <c r="B230" i="31"/>
  <c r="J275" i="31"/>
  <c r="J276" i="31"/>
  <c r="J230" i="31" l="1"/>
  <c r="B231" i="31"/>
  <c r="B232" i="31" l="1"/>
  <c r="J231" i="31"/>
  <c r="J232" i="31" l="1"/>
  <c r="B233" i="31"/>
  <c r="B234" i="31" l="1"/>
  <c r="J233" i="31"/>
  <c r="J234" i="31" l="1"/>
  <c r="B235" i="31"/>
  <c r="J235" i="31" l="1"/>
  <c r="B236" i="31"/>
  <c r="J236" i="31" l="1"/>
  <c r="B237" i="31"/>
  <c r="J237" i="31" l="1"/>
  <c r="B238" i="31"/>
  <c r="J238" i="31" l="1"/>
  <c r="B239" i="31"/>
  <c r="B240" i="31" l="1"/>
  <c r="J239" i="31"/>
  <c r="J240" i="31" l="1"/>
  <c r="B241" i="31"/>
  <c r="B242" i="31" l="1"/>
  <c r="J241" i="31"/>
  <c r="J242" i="31" l="1"/>
  <c r="B243" i="31"/>
  <c r="J243" i="31" l="1"/>
  <c r="B244" i="31"/>
  <c r="K268" i="31"/>
  <c r="K270" i="31"/>
  <c r="K267" i="31"/>
  <c r="K273" i="31"/>
  <c r="K266" i="31"/>
  <c r="K271" i="31"/>
  <c r="K276" i="31"/>
  <c r="K269" i="31"/>
  <c r="K272" i="31"/>
  <c r="K265" i="31"/>
  <c r="K275" i="31"/>
  <c r="K274" i="31"/>
  <c r="J244" i="31" l="1"/>
  <c r="B245" i="31"/>
  <c r="J245" i="31" l="1"/>
  <c r="B246" i="31"/>
  <c r="J246" i="31" l="1"/>
  <c r="B247" i="31"/>
  <c r="B248" i="31" l="1"/>
  <c r="J247" i="31"/>
  <c r="J248" i="31" l="1"/>
  <c r="B249" i="31"/>
  <c r="B250" i="31" l="1"/>
  <c r="J249" i="31"/>
  <c r="J250" i="31" l="1"/>
  <c r="B251" i="31"/>
  <c r="J251" i="31" l="1"/>
  <c r="B252" i="31"/>
  <c r="B253" i="31" s="1"/>
  <c r="B254" i="31" s="1"/>
  <c r="B255" i="31" s="1"/>
  <c r="B256" i="31" s="1"/>
  <c r="B257" i="31" s="1"/>
  <c r="B258" i="31" s="1"/>
  <c r="B259" i="31" s="1"/>
  <c r="B260" i="31" s="1"/>
  <c r="B261" i="31" s="1"/>
  <c r="B262" i="31" s="1"/>
  <c r="B263" i="31" s="1"/>
  <c r="B264" i="31" s="1"/>
  <c r="J264" i="31" s="1"/>
  <c r="J252" i="31" l="1"/>
  <c r="J253" i="31" l="1"/>
  <c r="J254" i="31" l="1"/>
  <c r="J255" i="31" l="1"/>
  <c r="J256" i="31" l="1"/>
  <c r="J257" i="31" l="1"/>
  <c r="J258" i="31" l="1"/>
  <c r="J259" i="31" l="1"/>
  <c r="J260" i="31" l="1"/>
  <c r="J261" i="31" l="1"/>
  <c r="J262" i="31" l="1"/>
  <c r="J263" i="31"/>
  <c r="N37" i="31" l="1"/>
  <c r="O37" i="31"/>
  <c r="M37" i="31"/>
  <c r="R37" i="31" l="1"/>
  <c r="Q37" i="31"/>
  <c r="P37" i="31"/>
  <c r="AK20" i="25" l="1"/>
  <c r="AK17" i="25"/>
  <c r="AK19" i="25"/>
  <c r="AK18" i="25"/>
  <c r="AK23" i="25"/>
  <c r="AK22" i="25"/>
  <c r="AK21" i="25"/>
  <c r="AK15" i="25"/>
  <c r="AK16" i="25"/>
  <c r="AK14" i="25"/>
  <c r="AK13" i="25" l="1"/>
  <c r="AL19" i="25"/>
  <c r="AL16" i="25"/>
  <c r="AL17" i="25"/>
  <c r="AL13" i="25"/>
  <c r="AL22" i="25"/>
  <c r="AL23" i="25"/>
  <c r="AL15" i="25"/>
  <c r="AL14" i="25"/>
  <c r="AL21" i="25"/>
  <c r="CB13" i="25" l="1"/>
  <c r="CB14" i="25"/>
  <c r="CB15" i="25"/>
  <c r="CB16" i="25"/>
  <c r="CB17" i="25"/>
  <c r="CA14" i="25"/>
  <c r="CA13" i="25"/>
  <c r="CA15" i="25"/>
  <c r="CA16" i="25"/>
  <c r="CA17" i="25"/>
  <c r="CA18" i="25"/>
  <c r="CA19" i="25"/>
  <c r="CA20" i="25"/>
  <c r="CA21" i="25"/>
  <c r="CA22" i="25"/>
  <c r="CA23" i="25"/>
  <c r="AL18" i="25"/>
  <c r="CB18" i="25" s="1"/>
  <c r="AL20" i="25"/>
  <c r="CX5" i="25"/>
  <c r="CB21" i="25" l="1"/>
  <c r="CY13" i="25"/>
  <c r="CY14" i="25"/>
  <c r="CY15" i="25"/>
  <c r="CY16" i="25"/>
  <c r="CY17" i="25"/>
  <c r="CY18" i="25"/>
  <c r="CY19" i="25"/>
  <c r="CY20" i="25"/>
  <c r="CY21" i="25"/>
  <c r="CY22" i="25"/>
  <c r="CY23" i="25"/>
  <c r="CY24" i="25"/>
  <c r="CY25" i="25"/>
  <c r="CY26" i="25"/>
  <c r="CY27" i="25"/>
  <c r="CY28" i="25"/>
  <c r="CY29" i="25"/>
  <c r="CY30" i="25"/>
  <c r="CY31" i="25"/>
  <c r="CY32" i="25"/>
  <c r="CY33" i="25"/>
  <c r="CY34" i="25"/>
  <c r="CB20" i="25"/>
  <c r="CB23" i="25"/>
  <c r="CB19" i="25"/>
  <c r="CB22" i="25"/>
  <c r="BD13" i="25"/>
  <c r="CT13" i="25" l="1"/>
  <c r="AP16" i="25"/>
  <c r="AQ16" i="25" l="1"/>
  <c r="AP14" i="25"/>
  <c r="AR14" i="25"/>
  <c r="AP13" i="25"/>
  <c r="AP15" i="25"/>
  <c r="CF13" i="25" l="1"/>
  <c r="CF14" i="25"/>
  <c r="CF15" i="25"/>
  <c r="CF16" i="25"/>
  <c r="AR16" i="25"/>
  <c r="BD14" i="25"/>
  <c r="AQ14" i="25"/>
  <c r="AM14" i="25"/>
  <c r="AR13" i="25"/>
  <c r="AQ13" i="25"/>
  <c r="AM16" i="25"/>
  <c r="AR15" i="25"/>
  <c r="AQ15" i="25"/>
  <c r="CT14" i="25" l="1"/>
  <c r="CG13" i="25"/>
  <c r="CG14" i="25"/>
  <c r="CG15" i="25"/>
  <c r="CG16" i="25"/>
  <c r="CH13" i="25"/>
  <c r="CH14" i="25"/>
  <c r="CH15" i="25"/>
  <c r="CH16" i="25"/>
  <c r="BD15" i="25"/>
  <c r="AM15" i="25"/>
  <c r="AM13" i="25" l="1"/>
  <c r="CT15" i="25"/>
  <c r="AP18" i="25"/>
  <c r="CC13" i="25" l="1"/>
  <c r="CC14" i="25"/>
  <c r="CC15" i="25"/>
  <c r="CC16" i="25"/>
  <c r="AP17" i="25"/>
  <c r="BD17" i="25"/>
  <c r="BD16" i="25"/>
  <c r="CF17" i="25" l="1"/>
  <c r="CF18" i="25"/>
  <c r="CT16" i="25"/>
  <c r="CT17" i="25"/>
  <c r="AQ17" i="25"/>
  <c r="AQ18" i="25"/>
  <c r="AP21" i="25"/>
  <c r="AQ19" i="25"/>
  <c r="AP19" i="25"/>
  <c r="BD20" i="25"/>
  <c r="BD19" i="25"/>
  <c r="CF19" i="25" l="1"/>
  <c r="CG17" i="25"/>
  <c r="CG18" i="25"/>
  <c r="CG19" i="25"/>
  <c r="AQ21" i="25"/>
  <c r="AR17" i="25"/>
  <c r="AR19" i="25"/>
  <c r="AM18" i="25"/>
  <c r="AR18" i="25"/>
  <c r="BD18" i="25"/>
  <c r="CT19" i="25" l="1"/>
  <c r="CT18" i="25"/>
  <c r="CT20" i="25"/>
  <c r="CH19" i="25"/>
  <c r="CH17" i="25"/>
  <c r="CH18" i="25"/>
  <c r="AM17" i="25"/>
  <c r="AM19" i="25"/>
  <c r="AR21" i="25"/>
  <c r="AP22" i="25"/>
  <c r="AP20" i="25"/>
  <c r="AR20" i="25"/>
  <c r="CF21" i="25" l="1"/>
  <c r="CF20" i="25"/>
  <c r="CF22" i="25"/>
  <c r="CH20" i="25"/>
  <c r="CC17" i="25"/>
  <c r="CC18" i="25"/>
  <c r="CC19" i="25"/>
  <c r="CH21" i="25"/>
  <c r="AM21" i="25"/>
  <c r="AQ22" i="25"/>
  <c r="AQ20" i="25"/>
  <c r="BD21" i="25"/>
  <c r="CT21" i="25" s="1"/>
  <c r="BD22" i="25"/>
  <c r="CT22" i="25" l="1"/>
  <c r="CG21" i="25"/>
  <c r="CG22" i="25"/>
  <c r="CG20" i="25"/>
  <c r="AR22" i="25"/>
  <c r="AP23" i="25"/>
  <c r="AM20" i="25"/>
  <c r="BD23" i="25"/>
  <c r="CT23" i="25" s="1"/>
  <c r="CH22" i="25" l="1"/>
  <c r="CF23" i="25"/>
  <c r="CC21" i="25"/>
  <c r="CC20" i="25"/>
  <c r="AM22" i="25"/>
  <c r="AQ23" i="25"/>
  <c r="AM23" i="25"/>
  <c r="CC23" i="25" l="1"/>
  <c r="CC22" i="25"/>
  <c r="CG23" i="25"/>
  <c r="AR23" i="25"/>
  <c r="CH23" i="25" l="1"/>
  <c r="AK34" i="25" l="1"/>
  <c r="AK28" i="25"/>
  <c r="AK26" i="25"/>
  <c r="AK32" i="25"/>
  <c r="AK31" i="25"/>
  <c r="AK29" i="25"/>
  <c r="AK30" i="25"/>
  <c r="AK27" i="25"/>
  <c r="AK25" i="25"/>
  <c r="AK33" i="25"/>
  <c r="AK24" i="25" l="1"/>
  <c r="AL32" i="25"/>
  <c r="AL24" i="25"/>
  <c r="AL27" i="25"/>
  <c r="AL34" i="25"/>
  <c r="AL25" i="25"/>
  <c r="AL31" i="25"/>
  <c r="AL29" i="25"/>
  <c r="AL26" i="25"/>
  <c r="AL28" i="25"/>
  <c r="CB24" i="25" l="1"/>
  <c r="CB26" i="25"/>
  <c r="CB29" i="25"/>
  <c r="CB25" i="25"/>
  <c r="CB28" i="25"/>
  <c r="CB27" i="25"/>
  <c r="CA28" i="25"/>
  <c r="CA27" i="25"/>
  <c r="CA32" i="25"/>
  <c r="CA29" i="25"/>
  <c r="CA33" i="25"/>
  <c r="CA30" i="25"/>
  <c r="CA24" i="25"/>
  <c r="CA34" i="25"/>
  <c r="CA25" i="25"/>
  <c r="CA26" i="25"/>
  <c r="CA31" i="25"/>
  <c r="AL30" i="25"/>
  <c r="AL33" i="25"/>
  <c r="CB34" i="25" l="1"/>
  <c r="CB33" i="25"/>
  <c r="CB31" i="25"/>
  <c r="CB30" i="25"/>
  <c r="CB32" i="25"/>
  <c r="AP34" i="25" l="1"/>
  <c r="AQ34" i="25" l="1"/>
  <c r="AR34" i="25" l="1"/>
  <c r="AM34" i="25" l="1"/>
  <c r="AU24" i="25" l="1"/>
  <c r="AU13" i="25" l="1"/>
  <c r="AU14" i="25"/>
  <c r="AU15" i="25"/>
  <c r="AU16" i="25"/>
  <c r="AU17" i="25"/>
  <c r="AU18" i="25"/>
  <c r="AU19" i="25"/>
  <c r="AU20" i="25"/>
  <c r="AU21" i="25"/>
  <c r="AU22" i="25"/>
  <c r="AU23" i="25"/>
  <c r="AU25" i="25"/>
  <c r="CK14" i="25" l="1"/>
  <c r="CK18" i="25"/>
  <c r="CK22" i="25"/>
  <c r="CK15" i="25"/>
  <c r="CK19" i="25"/>
  <c r="CK23" i="25"/>
  <c r="CK24" i="25"/>
  <c r="CK16" i="25"/>
  <c r="CK13" i="25"/>
  <c r="CK17" i="25"/>
  <c r="CK21" i="25"/>
  <c r="CK20" i="25"/>
  <c r="CK25" i="25"/>
  <c r="AV26" i="25"/>
  <c r="AU26" i="25"/>
  <c r="CK26" i="25" s="1"/>
  <c r="BD26" i="25" l="1"/>
  <c r="BB26" i="25"/>
  <c r="BD25" i="25"/>
  <c r="BC25" i="25"/>
  <c r="AW27" i="25"/>
  <c r="AV27" i="25"/>
  <c r="AU27" i="25"/>
  <c r="BA24" i="25"/>
  <c r="BD24" i="25"/>
  <c r="BB24" i="25"/>
  <c r="BC24" i="25"/>
  <c r="AV13" i="25"/>
  <c r="AV14" i="25"/>
  <c r="AV15" i="25"/>
  <c r="AV16" i="25"/>
  <c r="AV17" i="25"/>
  <c r="AV18" i="25"/>
  <c r="AV19" i="25"/>
  <c r="AV20" i="25"/>
  <c r="AV21" i="25"/>
  <c r="AV22" i="25"/>
  <c r="AV23" i="25"/>
  <c r="AV25" i="25"/>
  <c r="AV24" i="25"/>
  <c r="BB25" i="25" l="1"/>
  <c r="AZ29" i="25"/>
  <c r="CL16" i="25"/>
  <c r="CL20" i="25"/>
  <c r="CL24" i="25"/>
  <c r="CL17" i="25"/>
  <c r="CL25" i="25"/>
  <c r="CL18" i="25"/>
  <c r="CL26" i="25"/>
  <c r="CL13" i="25"/>
  <c r="CL21" i="25"/>
  <c r="CL14" i="25"/>
  <c r="CL15" i="25"/>
  <c r="CL19" i="25"/>
  <c r="CL23" i="25"/>
  <c r="CL27" i="25"/>
  <c r="CL22" i="25"/>
  <c r="BC13" i="25"/>
  <c r="BC14" i="25"/>
  <c r="BC15" i="25"/>
  <c r="BC16" i="25"/>
  <c r="BC17" i="25"/>
  <c r="BC18" i="25"/>
  <c r="BC19" i="25"/>
  <c r="BC20" i="25"/>
  <c r="BC21" i="25"/>
  <c r="BC22" i="25"/>
  <c r="BC23" i="25"/>
  <c r="AX13" i="25"/>
  <c r="AX14" i="25"/>
  <c r="AX15" i="25"/>
  <c r="AX16" i="25"/>
  <c r="AX17" i="25"/>
  <c r="AX18" i="25"/>
  <c r="AX19" i="25"/>
  <c r="AX20" i="25"/>
  <c r="AX21" i="25"/>
  <c r="AX22" i="25"/>
  <c r="AX23" i="25"/>
  <c r="AX25" i="25"/>
  <c r="AX24" i="25"/>
  <c r="AX26" i="25"/>
  <c r="BA13" i="25"/>
  <c r="BA14" i="25"/>
  <c r="BA15" i="25"/>
  <c r="BA16" i="25"/>
  <c r="BA17" i="25"/>
  <c r="BA18" i="25"/>
  <c r="BA19" i="25"/>
  <c r="BA20" i="25"/>
  <c r="BA21" i="25"/>
  <c r="BA22" i="25"/>
  <c r="BA23" i="25"/>
  <c r="AW13" i="25"/>
  <c r="AW14" i="25"/>
  <c r="AW15" i="25"/>
  <c r="AW16" i="25"/>
  <c r="AW17" i="25"/>
  <c r="AW18" i="25"/>
  <c r="AW19" i="25"/>
  <c r="AW20" i="25"/>
  <c r="AW21" i="25"/>
  <c r="AW22" i="25"/>
  <c r="AW23" i="25"/>
  <c r="AW24" i="25"/>
  <c r="AW25" i="25"/>
  <c r="AW26" i="25"/>
  <c r="BA26" i="25"/>
  <c r="CK27" i="25"/>
  <c r="BC27" i="25"/>
  <c r="BA27" i="25"/>
  <c r="BB27" i="25"/>
  <c r="BD27" i="25"/>
  <c r="CT27" i="25" s="1"/>
  <c r="CT25" i="25"/>
  <c r="BC26" i="25"/>
  <c r="AV28" i="25"/>
  <c r="AU28" i="25"/>
  <c r="AW28" i="25"/>
  <c r="CT24" i="25"/>
  <c r="CT26" i="25"/>
  <c r="BA25" i="25"/>
  <c r="BB13" i="25"/>
  <c r="BB14" i="25"/>
  <c r="BB15" i="25"/>
  <c r="BB16" i="25"/>
  <c r="BB17" i="25"/>
  <c r="BB18" i="25"/>
  <c r="BB19" i="25"/>
  <c r="BB20" i="25"/>
  <c r="BB21" i="25"/>
  <c r="BB22" i="25"/>
  <c r="BB23" i="25"/>
  <c r="AX27" i="25"/>
  <c r="AZ31" i="25"/>
  <c r="AZ30" i="25"/>
  <c r="CN15" i="25" l="1"/>
  <c r="CN19" i="25"/>
  <c r="CN23" i="25"/>
  <c r="CN27" i="25"/>
  <c r="CN16" i="25"/>
  <c r="CN20" i="25"/>
  <c r="CN24" i="25"/>
  <c r="CN21" i="25"/>
  <c r="CN17" i="25"/>
  <c r="CN25" i="25"/>
  <c r="CN14" i="25"/>
  <c r="CN18" i="25"/>
  <c r="CN22" i="25"/>
  <c r="CN26" i="25"/>
  <c r="CN13" i="25"/>
  <c r="AU29" i="25"/>
  <c r="CK29" i="25" s="1"/>
  <c r="AW29" i="25"/>
  <c r="AV29" i="25"/>
  <c r="CK28" i="25"/>
  <c r="CL28" i="25"/>
  <c r="AX28" i="25"/>
  <c r="CN28" i="25" s="1"/>
  <c r="CQ13" i="25"/>
  <c r="CQ17" i="25"/>
  <c r="CQ21" i="25"/>
  <c r="CQ18" i="25"/>
  <c r="CQ22" i="25"/>
  <c r="CQ15" i="25"/>
  <c r="CQ23" i="25"/>
  <c r="CQ14" i="25"/>
  <c r="CQ19" i="25"/>
  <c r="CQ16" i="25"/>
  <c r="CQ20" i="25"/>
  <c r="CQ24" i="25"/>
  <c r="CQ25" i="25"/>
  <c r="CQ27" i="25"/>
  <c r="CQ26" i="25"/>
  <c r="AZ13" i="25"/>
  <c r="AZ14" i="25"/>
  <c r="AZ15" i="25"/>
  <c r="AZ16" i="25"/>
  <c r="AZ17" i="25"/>
  <c r="AZ18" i="25"/>
  <c r="AZ19" i="25"/>
  <c r="AZ20" i="25"/>
  <c r="AZ21" i="25"/>
  <c r="AZ22" i="25"/>
  <c r="AZ23" i="25"/>
  <c r="AZ24" i="25"/>
  <c r="AZ27" i="25"/>
  <c r="AZ25" i="25"/>
  <c r="AZ26" i="25"/>
  <c r="AZ28" i="25"/>
  <c r="BA28" i="25"/>
  <c r="BB28" i="25"/>
  <c r="CR28" i="25" s="1"/>
  <c r="BD28" i="25"/>
  <c r="BC28" i="25"/>
  <c r="CR16" i="25"/>
  <c r="CR20" i="25"/>
  <c r="CR24" i="25"/>
  <c r="CR13" i="25"/>
  <c r="CR21" i="25"/>
  <c r="CR25" i="25"/>
  <c r="CR26" i="25"/>
  <c r="CR17" i="25"/>
  <c r="CR18" i="25"/>
  <c r="CR15" i="25"/>
  <c r="CR19" i="25"/>
  <c r="CR23" i="25"/>
  <c r="CR27" i="25"/>
  <c r="CR14" i="25"/>
  <c r="CR22" i="25"/>
  <c r="CM14" i="25"/>
  <c r="CM18" i="25"/>
  <c r="CM22" i="25"/>
  <c r="CM26" i="25"/>
  <c r="CM15" i="25"/>
  <c r="CM27" i="25"/>
  <c r="CM16" i="25"/>
  <c r="CM19" i="25"/>
  <c r="CM20" i="25"/>
  <c r="CM24" i="25"/>
  <c r="CM13" i="25"/>
  <c r="CM17" i="25"/>
  <c r="CM21" i="25"/>
  <c r="CM25" i="25"/>
  <c r="CM23" i="25"/>
  <c r="CM28" i="25"/>
  <c r="CM29" i="25"/>
  <c r="CS15" i="25"/>
  <c r="CS19" i="25"/>
  <c r="CS23" i="25"/>
  <c r="CS27" i="25"/>
  <c r="CS21" i="25"/>
  <c r="CS16" i="25"/>
  <c r="CS20" i="25"/>
  <c r="CS24" i="25"/>
  <c r="CS13" i="25"/>
  <c r="CS17" i="25"/>
  <c r="CS25" i="25"/>
  <c r="CS14" i="25"/>
  <c r="CS18" i="25"/>
  <c r="CS22" i="25"/>
  <c r="CS26" i="25"/>
  <c r="CS28" i="25"/>
  <c r="AZ32" i="25"/>
  <c r="CQ28" i="25" l="1"/>
  <c r="AY29" i="25"/>
  <c r="AX29" i="25"/>
  <c r="CP14" i="25"/>
  <c r="CP18" i="25"/>
  <c r="CP22" i="25"/>
  <c r="CP26" i="25"/>
  <c r="CP30" i="25"/>
  <c r="CP15" i="25"/>
  <c r="CP19" i="25"/>
  <c r="CP27" i="25"/>
  <c r="CP20" i="25"/>
  <c r="CP28" i="25"/>
  <c r="CP23" i="25"/>
  <c r="CP16" i="25"/>
  <c r="CP13" i="25"/>
  <c r="CP17" i="25"/>
  <c r="CP21" i="25"/>
  <c r="CP25" i="25"/>
  <c r="CP29" i="25"/>
  <c r="CP24" i="25"/>
  <c r="CP31" i="25"/>
  <c r="CP32" i="25"/>
  <c r="CL29" i="25"/>
  <c r="AU30" i="25"/>
  <c r="CK30" i="25" s="1"/>
  <c r="AW30" i="25"/>
  <c r="AV30" i="25"/>
  <c r="AW31" i="25"/>
  <c r="AV31" i="25"/>
  <c r="AU31" i="25"/>
  <c r="BD29" i="25"/>
  <c r="CT29" i="25" s="1"/>
  <c r="BC29" i="25"/>
  <c r="BA29" i="25"/>
  <c r="BB29" i="25"/>
  <c r="CR29" i="25" s="1"/>
  <c r="AV32" i="25"/>
  <c r="AU32" i="25"/>
  <c r="AW32" i="25"/>
  <c r="CT28" i="25"/>
  <c r="CN29" i="25"/>
  <c r="AZ33" i="25"/>
  <c r="CP33" i="25" s="1"/>
  <c r="CK31" i="25" l="1"/>
  <c r="CM32" i="25"/>
  <c r="CK32" i="25"/>
  <c r="AY13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CS29" i="25"/>
  <c r="AX32" i="25"/>
  <c r="AY32" i="25"/>
  <c r="AX31" i="25"/>
  <c r="AY31" i="25"/>
  <c r="AY30" i="25"/>
  <c r="AX30" i="25"/>
  <c r="CL31" i="25"/>
  <c r="CL30" i="25"/>
  <c r="CQ29" i="25"/>
  <c r="AV33" i="25"/>
  <c r="CL33" i="25" s="1"/>
  <c r="AW33" i="25"/>
  <c r="CM33" i="25" s="1"/>
  <c r="AU33" i="25"/>
  <c r="CK33" i="25" s="1"/>
  <c r="CM31" i="25"/>
  <c r="CM30" i="25"/>
  <c r="CL32" i="25"/>
  <c r="CO32" i="25" l="1"/>
  <c r="BC32" i="25"/>
  <c r="BA32" i="25"/>
  <c r="BD32" i="25"/>
  <c r="BB32" i="25"/>
  <c r="AZ34" i="25"/>
  <c r="CP34" i="25" s="1"/>
  <c r="AU34" i="25"/>
  <c r="CK34" i="25" s="1"/>
  <c r="AW34" i="25"/>
  <c r="CM34" i="25" s="1"/>
  <c r="AV34" i="25"/>
  <c r="CL34" i="25" s="1"/>
  <c r="CN31" i="25"/>
  <c r="CN30" i="25"/>
  <c r="AX33" i="25"/>
  <c r="AY33" i="25"/>
  <c r="BD30" i="25"/>
  <c r="BC30" i="25"/>
  <c r="BA30" i="25"/>
  <c r="BB30" i="25"/>
  <c r="BC31" i="25"/>
  <c r="BA31" i="25"/>
  <c r="BD31" i="25"/>
  <c r="BB31" i="25"/>
  <c r="CO14" i="25"/>
  <c r="CO18" i="25"/>
  <c r="CO22" i="25"/>
  <c r="CO26" i="25"/>
  <c r="CO30" i="25"/>
  <c r="CO15" i="25"/>
  <c r="CO23" i="25"/>
  <c r="CO27" i="25"/>
  <c r="CO31" i="25"/>
  <c r="CO16" i="25"/>
  <c r="CO20" i="25"/>
  <c r="CO24" i="25"/>
  <c r="CO19" i="25"/>
  <c r="CO28" i="25"/>
  <c r="CO13" i="25"/>
  <c r="CO17" i="25"/>
  <c r="CO21" i="25"/>
  <c r="CO25" i="25"/>
  <c r="CO29" i="25"/>
  <c r="CO33" i="25"/>
  <c r="CN32" i="25"/>
  <c r="CR32" i="25" l="1"/>
  <c r="CR31" i="25"/>
  <c r="CR30" i="25"/>
  <c r="CN33" i="25"/>
  <c r="CQ30" i="25"/>
  <c r="CQ31" i="25"/>
  <c r="CQ32" i="25"/>
  <c r="CT32" i="25"/>
  <c r="BC33" i="25"/>
  <c r="CS33" i="25" s="1"/>
  <c r="BD33" i="25"/>
  <c r="CT33" i="25" s="1"/>
  <c r="BB33" i="25"/>
  <c r="BA33" i="25"/>
  <c r="CQ33" i="25" s="1"/>
  <c r="CS30" i="25"/>
  <c r="CS32" i="25"/>
  <c r="CS31" i="25"/>
  <c r="CT30" i="25"/>
  <c r="CT31" i="25"/>
  <c r="CR33" i="25" l="1"/>
  <c r="AY34" i="25"/>
  <c r="CO34" i="25" s="1"/>
  <c r="AX34" i="25"/>
  <c r="CN34" i="25" s="1"/>
  <c r="BC34" i="25" l="1"/>
  <c r="CS34" i="25" s="1"/>
  <c r="BB34" i="25"/>
  <c r="CR34" i="25" s="1"/>
  <c r="BA34" i="25"/>
  <c r="CQ34" i="25" s="1"/>
  <c r="BD34" i="25"/>
  <c r="CT34" i="25" s="1"/>
  <c r="AS24" i="25" l="1"/>
  <c r="AP25" i="25"/>
  <c r="AN24" i="25" l="1"/>
  <c r="AS25" i="25"/>
  <c r="AS13" i="25"/>
  <c r="AS14" i="25"/>
  <c r="AS15" i="25"/>
  <c r="AS16" i="25"/>
  <c r="AS17" i="25"/>
  <c r="AS18" i="25"/>
  <c r="AS19" i="25"/>
  <c r="AS20" i="25"/>
  <c r="AS21" i="25"/>
  <c r="AS22" i="25"/>
  <c r="AS23" i="25"/>
  <c r="AS34" i="25"/>
  <c r="AP24" i="25"/>
  <c r="AQ24" i="25"/>
  <c r="AN25" i="25" l="1"/>
  <c r="AM24" i="25"/>
  <c r="CF24" i="25"/>
  <c r="CF25" i="25"/>
  <c r="CI15" i="25"/>
  <c r="CI19" i="25"/>
  <c r="CI23" i="25"/>
  <c r="CI16" i="25"/>
  <c r="CI20" i="25"/>
  <c r="CI24" i="25"/>
  <c r="CI17" i="25"/>
  <c r="CI21" i="25"/>
  <c r="CI25" i="25"/>
  <c r="CI13" i="25"/>
  <c r="CI14" i="25"/>
  <c r="CI18" i="25"/>
  <c r="CI22" i="25"/>
  <c r="CG24" i="25"/>
  <c r="AN14" i="25"/>
  <c r="AN15" i="25"/>
  <c r="AN16" i="25"/>
  <c r="AN17" i="25"/>
  <c r="AN18" i="25"/>
  <c r="AN19" i="25"/>
  <c r="AN20" i="25"/>
  <c r="AN21" i="25"/>
  <c r="AN22" i="25"/>
  <c r="AN23" i="25"/>
  <c r="AN34" i="25"/>
  <c r="AQ25" i="25"/>
  <c r="AR24" i="25"/>
  <c r="CH24" i="25" l="1"/>
  <c r="CG25" i="25"/>
  <c r="CC24" i="25"/>
  <c r="AS26" i="25"/>
  <c r="AN13" i="25"/>
  <c r="AR25" i="25"/>
  <c r="AO27" i="25" l="1"/>
  <c r="AN27" i="25"/>
  <c r="CD15" i="25"/>
  <c r="CD19" i="25"/>
  <c r="CD23" i="25"/>
  <c r="CD16" i="25"/>
  <c r="CD20" i="25"/>
  <c r="CD24" i="25"/>
  <c r="CD13" i="25"/>
  <c r="CD25" i="25"/>
  <c r="CD17" i="25"/>
  <c r="CD14" i="25"/>
  <c r="CD18" i="25"/>
  <c r="CD22" i="25"/>
  <c r="CD21" i="25"/>
  <c r="CH25" i="25"/>
  <c r="AN26" i="25"/>
  <c r="CD26" i="25" s="1"/>
  <c r="AO26" i="25"/>
  <c r="AS27" i="25"/>
  <c r="CI27" i="25" s="1"/>
  <c r="CI26" i="25"/>
  <c r="AP26" i="25"/>
  <c r="AP27" i="25"/>
  <c r="AM26" i="25"/>
  <c r="AQ26" i="25"/>
  <c r="AN28" i="25" l="1"/>
  <c r="CD28" i="25" s="1"/>
  <c r="AO28" i="25"/>
  <c r="CD27" i="25"/>
  <c r="AO14" i="25"/>
  <c r="AO15" i="25"/>
  <c r="AO16" i="25"/>
  <c r="AO17" i="25"/>
  <c r="AO18" i="25"/>
  <c r="AO19" i="25"/>
  <c r="AO20" i="25"/>
  <c r="AO21" i="25"/>
  <c r="AO22" i="25"/>
  <c r="AO23" i="25"/>
  <c r="AO34" i="25"/>
  <c r="AO24" i="25"/>
  <c r="AO25" i="25"/>
  <c r="AM25" i="25"/>
  <c r="CC26" i="25" s="1"/>
  <c r="CG26" i="25"/>
  <c r="CF26" i="25"/>
  <c r="CF27" i="25"/>
  <c r="AS28" i="25"/>
  <c r="AM27" i="25"/>
  <c r="AR27" i="25"/>
  <c r="AQ27" i="25"/>
  <c r="AP28" i="25"/>
  <c r="CF28" i="25" s="1"/>
  <c r="AR26" i="25"/>
  <c r="CC27" i="25" l="1"/>
  <c r="CH26" i="25"/>
  <c r="CH27" i="25"/>
  <c r="CG27" i="25"/>
  <c r="AO13" i="25"/>
  <c r="CI28" i="25"/>
  <c r="AS29" i="25"/>
  <c r="CI29" i="25" s="1"/>
  <c r="CC25" i="25"/>
  <c r="AR28" i="25"/>
  <c r="AQ28" i="25"/>
  <c r="CG28" i="25" s="1"/>
  <c r="AS30" i="25" l="1"/>
  <c r="CI30" i="25" s="1"/>
  <c r="AT30" i="25"/>
  <c r="AN29" i="25"/>
  <c r="AO29" i="25"/>
  <c r="CE29" i="25" s="1"/>
  <c r="AO30" i="25"/>
  <c r="AN30" i="25"/>
  <c r="CE16" i="25"/>
  <c r="CE20" i="25"/>
  <c r="CE24" i="25"/>
  <c r="CE28" i="25"/>
  <c r="CE21" i="25"/>
  <c r="CE25" i="25"/>
  <c r="CE26" i="25"/>
  <c r="CE13" i="25"/>
  <c r="CE17" i="25"/>
  <c r="CE22" i="25"/>
  <c r="CE18" i="25"/>
  <c r="CE15" i="25"/>
  <c r="CE19" i="25"/>
  <c r="CE23" i="25"/>
  <c r="CE27" i="25"/>
  <c r="CE14" i="25"/>
  <c r="CH28" i="25"/>
  <c r="AQ29" i="25"/>
  <c r="CG29" i="25" s="1"/>
  <c r="AP29" i="25"/>
  <c r="AP30" i="25"/>
  <c r="CE30" i="25" l="1"/>
  <c r="AT31" i="25"/>
  <c r="AS31" i="25"/>
  <c r="CI31" i="25" s="1"/>
  <c r="CF29" i="25"/>
  <c r="CF30" i="25"/>
  <c r="AO31" i="25"/>
  <c r="AN31" i="25"/>
  <c r="CD31" i="25" s="1"/>
  <c r="CD29" i="25"/>
  <c r="CD30" i="25"/>
  <c r="AM28" i="25"/>
  <c r="A72" i="25"/>
  <c r="AT14" i="25"/>
  <c r="AT15" i="25"/>
  <c r="AT16" i="25"/>
  <c r="AT17" i="25"/>
  <c r="AT18" i="25"/>
  <c r="AT19" i="25"/>
  <c r="AT20" i="25"/>
  <c r="AT21" i="25"/>
  <c r="AT22" i="25"/>
  <c r="AT23" i="25"/>
  <c r="AT34" i="25"/>
  <c r="AT24" i="25"/>
  <c r="AT25" i="25"/>
  <c r="AT26" i="25"/>
  <c r="AT27" i="25"/>
  <c r="AT28" i="25"/>
  <c r="AT29" i="25"/>
  <c r="AQ30" i="25"/>
  <c r="CG30" i="25" s="1"/>
  <c r="AR30" i="25"/>
  <c r="AR29" i="25"/>
  <c r="AM29" i="25"/>
  <c r="CC29" i="25" s="1"/>
  <c r="AQ31" i="25"/>
  <c r="CG31" i="25" s="1"/>
  <c r="AP31" i="25"/>
  <c r="CF31" i="25" s="1"/>
  <c r="CH29" i="25" l="1"/>
  <c r="AT13" i="25"/>
  <c r="A71" i="25"/>
  <c r="AN32" i="25"/>
  <c r="AO32" i="25"/>
  <c r="CE32" i="25" s="1"/>
  <c r="CE31" i="25"/>
  <c r="AS32" i="25"/>
  <c r="CI32" i="25" s="1"/>
  <c r="AT32" i="25"/>
  <c r="CC28" i="25"/>
  <c r="CH30" i="25"/>
  <c r="AM30" i="25"/>
  <c r="CC30" i="25" s="1"/>
  <c r="AP32" i="25"/>
  <c r="CF32" i="25" s="1"/>
  <c r="AR31" i="25"/>
  <c r="CH31" i="25" s="1"/>
  <c r="AS33" i="25" l="1"/>
  <c r="AT33" i="25"/>
  <c r="CJ33" i="25" s="1"/>
  <c r="CJ13" i="25"/>
  <c r="CU13" i="25" s="1"/>
  <c r="C13" i="25" s="1"/>
  <c r="CJ17" i="25"/>
  <c r="CU17" i="25" s="1"/>
  <c r="C17" i="25" s="1"/>
  <c r="CJ21" i="25"/>
  <c r="CU21" i="25" s="1"/>
  <c r="C21" i="25" s="1"/>
  <c r="CJ25" i="25"/>
  <c r="CU25" i="25" s="1"/>
  <c r="C25" i="25" s="1"/>
  <c r="CJ29" i="25"/>
  <c r="CU29" i="25" s="1"/>
  <c r="C29" i="25" s="1"/>
  <c r="CJ14" i="25"/>
  <c r="CU14" i="25" s="1"/>
  <c r="C14" i="25" s="1"/>
  <c r="CJ18" i="25"/>
  <c r="CU18" i="25" s="1"/>
  <c r="C18" i="25" s="1"/>
  <c r="CJ26" i="25"/>
  <c r="CU26" i="25" s="1"/>
  <c r="C26" i="25" s="1"/>
  <c r="CJ30" i="25"/>
  <c r="CU30" i="25" s="1"/>
  <c r="C30" i="25" s="1"/>
  <c r="CJ15" i="25"/>
  <c r="CU15" i="25" s="1"/>
  <c r="C15" i="25" s="1"/>
  <c r="CJ27" i="25"/>
  <c r="CU27" i="25" s="1"/>
  <c r="C27" i="25" s="1"/>
  <c r="CJ22" i="25"/>
  <c r="CU22" i="25" s="1"/>
  <c r="C22" i="25" s="1"/>
  <c r="CJ23" i="25"/>
  <c r="CU23" i="25" s="1"/>
  <c r="C23" i="25" s="1"/>
  <c r="CJ16" i="25"/>
  <c r="CU16" i="25" s="1"/>
  <c r="C16" i="25" s="1"/>
  <c r="CJ20" i="25"/>
  <c r="CU20" i="25" s="1"/>
  <c r="C20" i="25" s="1"/>
  <c r="CJ24" i="25"/>
  <c r="CU24" i="25" s="1"/>
  <c r="C24" i="25" s="1"/>
  <c r="CJ28" i="25"/>
  <c r="CU28" i="25" s="1"/>
  <c r="C28" i="25" s="1"/>
  <c r="CJ19" i="25"/>
  <c r="CU19" i="25" s="1"/>
  <c r="C19" i="25" s="1"/>
  <c r="CJ31" i="25"/>
  <c r="CJ32" i="25"/>
  <c r="CJ34" i="25"/>
  <c r="CD32" i="25"/>
  <c r="AR32" i="25"/>
  <c r="CH32" i="25" s="1"/>
  <c r="AM31" i="25"/>
  <c r="AQ32" i="25"/>
  <c r="CG32" i="25" s="1"/>
  <c r="CI33" i="25" l="1"/>
  <c r="CI34" i="25"/>
  <c r="CC31" i="25"/>
  <c r="CU31" i="25" s="1"/>
  <c r="C31" i="25" s="1"/>
  <c r="AN33" i="25"/>
  <c r="AO33" i="25"/>
  <c r="AM32" i="25"/>
  <c r="CC32" i="25" s="1"/>
  <c r="CU32" i="25" s="1"/>
  <c r="C32" i="25" s="1"/>
  <c r="AP33" i="25" l="1"/>
  <c r="AQ33" i="25"/>
  <c r="CD33" i="25"/>
  <c r="CD34" i="25"/>
  <c r="CF33" i="25" l="1"/>
  <c r="CF34" i="25"/>
  <c r="AM33" i="25"/>
  <c r="CG34" i="25"/>
  <c r="CG33" i="25"/>
  <c r="AR33" i="25" l="1"/>
  <c r="A73" i="25"/>
  <c r="CC34" i="25"/>
  <c r="CC33" i="25"/>
  <c r="CH33" i="25" l="1"/>
  <c r="CU33" i="25" s="1"/>
  <c r="C33" i="25" s="1"/>
  <c r="CH34" i="25"/>
  <c r="CU34" i="25" s="1"/>
  <c r="C34" i="25" s="1"/>
  <c r="D212" i="31" l="1"/>
  <c r="K212" i="31"/>
  <c r="D183" i="31"/>
  <c r="K183" i="31"/>
  <c r="D146" i="31"/>
  <c r="K146" i="31"/>
  <c r="K216" i="31"/>
  <c r="D216" i="31"/>
  <c r="K188" i="31"/>
  <c r="D188" i="31"/>
  <c r="D162" i="31"/>
  <c r="K162" i="31"/>
  <c r="K223" i="31"/>
  <c r="D223" i="31"/>
  <c r="D180" i="31"/>
  <c r="K180" i="31"/>
  <c r="K149" i="31"/>
  <c r="D149" i="31"/>
  <c r="D213" i="31"/>
  <c r="K213" i="31"/>
  <c r="D186" i="31"/>
  <c r="K186" i="31"/>
  <c r="K153" i="31"/>
  <c r="D153" i="31"/>
  <c r="K227" i="31"/>
  <c r="D227" i="31"/>
  <c r="D195" i="31"/>
  <c r="K195" i="31"/>
  <c r="D156" i="31"/>
  <c r="K156" i="31"/>
  <c r="D224" i="31"/>
  <c r="K224" i="31"/>
  <c r="K203" i="31"/>
  <c r="D203" i="31"/>
  <c r="D169" i="31"/>
  <c r="K169" i="31"/>
  <c r="O29" i="31"/>
  <c r="D147" i="31"/>
  <c r="K147" i="31"/>
  <c r="D207" i="31"/>
  <c r="K207" i="31"/>
  <c r="K178" i="31"/>
  <c r="D178" i="31"/>
  <c r="D228" i="31"/>
  <c r="K228" i="31"/>
  <c r="D193" i="31"/>
  <c r="K193" i="31"/>
  <c r="O31" i="31"/>
  <c r="D164" i="31"/>
  <c r="K164" i="31"/>
  <c r="K134" i="31"/>
  <c r="D134" i="31"/>
  <c r="D204" i="31"/>
  <c r="K204" i="31"/>
  <c r="D172" i="31"/>
  <c r="K172" i="31"/>
  <c r="D143" i="31"/>
  <c r="K143" i="31"/>
  <c r="K210" i="31"/>
  <c r="D210" i="31"/>
  <c r="K168" i="31"/>
  <c r="D168" i="31"/>
  <c r="D140" i="31"/>
  <c r="K140" i="31"/>
  <c r="K184" i="31"/>
  <c r="D184" i="31"/>
  <c r="K158" i="31"/>
  <c r="D158" i="31"/>
  <c r="D222" i="31"/>
  <c r="K222" i="31"/>
  <c r="D179" i="31"/>
  <c r="K179" i="31"/>
  <c r="K144" i="31"/>
  <c r="D144" i="31"/>
  <c r="D202" i="31"/>
  <c r="K202" i="31"/>
  <c r="K165" i="31"/>
  <c r="D165" i="31"/>
  <c r="K139" i="31"/>
  <c r="D139" i="31"/>
  <c r="D206" i="31"/>
  <c r="K206" i="31"/>
  <c r="K177" i="31"/>
  <c r="D177" i="31"/>
  <c r="D154" i="31"/>
  <c r="K154" i="31"/>
  <c r="K226" i="31"/>
  <c r="D226" i="31"/>
  <c r="D196" i="31"/>
  <c r="K196" i="31"/>
  <c r="K171" i="31"/>
  <c r="D171" i="31"/>
  <c r="D138" i="31"/>
  <c r="K138" i="31"/>
  <c r="D201" i="31"/>
  <c r="K201" i="31"/>
  <c r="K174" i="31"/>
  <c r="D174" i="31"/>
  <c r="D198" i="31"/>
  <c r="K198" i="31"/>
  <c r="K161" i="31"/>
  <c r="D161" i="31"/>
  <c r="K135" i="31"/>
  <c r="D135" i="31"/>
  <c r="K205" i="31"/>
  <c r="O32" i="31"/>
  <c r="D205" i="31"/>
  <c r="D173" i="31"/>
  <c r="K173" i="31"/>
  <c r="D150" i="31"/>
  <c r="K150" i="31"/>
  <c r="D211" i="31"/>
  <c r="K211" i="31"/>
  <c r="D167" i="31"/>
  <c r="K167" i="31"/>
  <c r="O26" i="31"/>
  <c r="D133" i="31"/>
  <c r="K133" i="31"/>
  <c r="D197" i="31"/>
  <c r="K197" i="31"/>
  <c r="D170" i="31"/>
  <c r="K170" i="31"/>
  <c r="D137" i="31"/>
  <c r="K137" i="31"/>
  <c r="K209" i="31"/>
  <c r="D209" i="31"/>
  <c r="K176" i="31"/>
  <c r="D176" i="31"/>
  <c r="O27" i="31"/>
  <c r="K145" i="31"/>
  <c r="D145" i="31"/>
  <c r="D214" i="31"/>
  <c r="K214" i="31"/>
  <c r="D185" i="31"/>
  <c r="K185" i="31"/>
  <c r="K159" i="31"/>
  <c r="D159" i="31"/>
  <c r="D220" i="31"/>
  <c r="K220" i="31"/>
  <c r="D191" i="31"/>
  <c r="K191" i="31"/>
  <c r="K163" i="31"/>
  <c r="D163" i="31"/>
  <c r="D208" i="31"/>
  <c r="K208" i="31"/>
  <c r="K182" i="31"/>
  <c r="D182" i="31"/>
  <c r="D148" i="31"/>
  <c r="K148" i="31"/>
  <c r="D225" i="31"/>
  <c r="K225" i="31"/>
  <c r="K190" i="31"/>
  <c r="D190" i="31"/>
  <c r="K155" i="31"/>
  <c r="D155" i="31"/>
  <c r="K221" i="31"/>
  <c r="D221" i="31"/>
  <c r="D199" i="31"/>
  <c r="K199" i="31"/>
  <c r="K157" i="31"/>
  <c r="O28" i="31"/>
  <c r="D157" i="31"/>
  <c r="D200" i="31"/>
  <c r="K200" i="31"/>
  <c r="K175" i="31"/>
  <c r="D175" i="31"/>
  <c r="K141" i="31"/>
  <c r="D141" i="31"/>
  <c r="K192" i="31"/>
  <c r="D192" i="31"/>
  <c r="K160" i="31"/>
  <c r="D160" i="31"/>
  <c r="D218" i="31"/>
  <c r="K218" i="31"/>
  <c r="D187" i="31"/>
  <c r="K187" i="31"/>
  <c r="K151" i="31"/>
  <c r="D151" i="31"/>
  <c r="K217" i="31"/>
  <c r="O33" i="31"/>
  <c r="D217" i="31"/>
  <c r="D194" i="31"/>
  <c r="K194" i="31"/>
  <c r="D166" i="31"/>
  <c r="K166" i="31"/>
  <c r="D136" i="31"/>
  <c r="K136" i="31"/>
  <c r="D215" i="31"/>
  <c r="K215" i="31"/>
  <c r="D181" i="31"/>
  <c r="K181" i="31"/>
  <c r="O30" i="31"/>
  <c r="D152" i="31"/>
  <c r="K152" i="31"/>
  <c r="K219" i="31"/>
  <c r="D219" i="31"/>
  <c r="D189" i="31"/>
  <c r="K189" i="31"/>
  <c r="K142" i="31"/>
  <c r="D142" i="31"/>
  <c r="N33" i="31" l="1"/>
  <c r="R33" i="31" s="1"/>
  <c r="K232" i="31"/>
  <c r="N29" i="31"/>
  <c r="R29" i="31" s="1"/>
  <c r="N30" i="31"/>
  <c r="R30" i="31" s="1"/>
  <c r="D229" i="31"/>
  <c r="K229" i="31"/>
  <c r="O34" i="31"/>
  <c r="K237" i="31"/>
  <c r="N26" i="31"/>
  <c r="R26" i="31" s="1"/>
  <c r="N32" i="31"/>
  <c r="R32" i="31" s="1"/>
  <c r="K240" i="31"/>
  <c r="K236" i="31"/>
  <c r="K235" i="31"/>
  <c r="K233" i="31"/>
  <c r="K238" i="31"/>
  <c r="N31" i="31"/>
  <c r="R31" i="31" s="1"/>
  <c r="K239" i="31"/>
  <c r="K231" i="31"/>
  <c r="K230" i="31"/>
  <c r="D230" i="31"/>
  <c r="N28" i="31"/>
  <c r="R28" i="31" s="1"/>
  <c r="N27" i="31"/>
  <c r="R27" i="31" s="1"/>
  <c r="K234" i="31"/>
  <c r="D233" i="31" l="1"/>
  <c r="K246" i="31"/>
  <c r="K243" i="31"/>
  <c r="K250" i="31"/>
  <c r="D235" i="31"/>
  <c r="K248" i="31"/>
  <c r="K252" i="31"/>
  <c r="O35" i="31"/>
  <c r="K241" i="31"/>
  <c r="D241" i="31"/>
  <c r="D232" i="31"/>
  <c r="K247" i="31"/>
  <c r="K249" i="31"/>
  <c r="K244" i="31"/>
  <c r="K242" i="31"/>
  <c r="D239" i="31"/>
  <c r="D238" i="31"/>
  <c r="D240" i="31"/>
  <c r="D234" i="31"/>
  <c r="D231" i="31"/>
  <c r="K251" i="31"/>
  <c r="K245" i="31"/>
  <c r="D236" i="31"/>
  <c r="D237" i="31"/>
  <c r="D243" i="31" l="1"/>
  <c r="D245" i="31"/>
  <c r="N34" i="31"/>
  <c r="R34" i="31" s="1"/>
  <c r="D254" i="31"/>
  <c r="K254" i="31"/>
  <c r="D261" i="31"/>
  <c r="K261" i="31"/>
  <c r="K264" i="31"/>
  <c r="D264" i="31"/>
  <c r="K257" i="31"/>
  <c r="D257" i="31"/>
  <c r="K263" i="31"/>
  <c r="D263" i="31"/>
  <c r="D247" i="31"/>
  <c r="D253" i="31"/>
  <c r="O36" i="31"/>
  <c r="K253" i="31"/>
  <c r="D248" i="31"/>
  <c r="D250" i="31"/>
  <c r="K258" i="31"/>
  <c r="D258" i="31"/>
  <c r="D244" i="31"/>
  <c r="D249" i="31"/>
  <c r="D252" i="31"/>
  <c r="K262" i="31"/>
  <c r="D262" i="31"/>
  <c r="K255" i="31"/>
  <c r="D255" i="31"/>
  <c r="D251" i="31"/>
  <c r="D242" i="31"/>
  <c r="K256" i="31"/>
  <c r="D256" i="31"/>
  <c r="D259" i="31"/>
  <c r="K259" i="31"/>
  <c r="D260" i="31"/>
  <c r="K260" i="31"/>
  <c r="D246" i="31"/>
  <c r="N35" i="31" l="1"/>
  <c r="R35" i="31" s="1"/>
  <c r="N36" i="31"/>
  <c r="R36" i="31" s="1"/>
  <c r="E136" i="31" l="1"/>
  <c r="G136" i="31" s="1"/>
  <c r="E154" i="31"/>
  <c r="G154" i="31" s="1"/>
  <c r="E183" i="31"/>
  <c r="G183" i="31" s="1"/>
  <c r="E200" i="31"/>
  <c r="G200" i="31" s="1"/>
  <c r="E173" i="31"/>
  <c r="G173" i="31" s="1"/>
  <c r="E179" i="31"/>
  <c r="G179" i="31" s="1"/>
  <c r="E182" i="31"/>
  <c r="G182" i="31" s="1"/>
  <c r="E165" i="31"/>
  <c r="G165" i="31" s="1"/>
  <c r="E197" i="31"/>
  <c r="G197" i="31" s="1"/>
  <c r="E198" i="31"/>
  <c r="G198" i="31" s="1"/>
  <c r="E141" i="31"/>
  <c r="G141" i="31" s="1"/>
  <c r="E155" i="31"/>
  <c r="G155" i="31" s="1"/>
  <c r="E194" i="31"/>
  <c r="G194" i="31" s="1"/>
  <c r="E204" i="31"/>
  <c r="G204" i="31" s="1"/>
  <c r="E191" i="31"/>
  <c r="G191" i="31" s="1"/>
  <c r="E150" i="31"/>
  <c r="G150" i="31" s="1"/>
  <c r="E203" i="31"/>
  <c r="G203" i="31" s="1"/>
  <c r="E135" i="31"/>
  <c r="G135" i="31" s="1"/>
  <c r="E160" i="31"/>
  <c r="G160" i="31" s="1"/>
  <c r="E159" i="31"/>
  <c r="G159" i="31" s="1"/>
  <c r="E199" i="31"/>
  <c r="G199" i="31" s="1"/>
  <c r="E207" i="31"/>
  <c r="G207" i="31" s="1"/>
  <c r="E167" i="31"/>
  <c r="G167" i="31" s="1"/>
  <c r="E158" i="31"/>
  <c r="G158" i="31" s="1"/>
  <c r="E174" i="31"/>
  <c r="G174" i="31" s="1"/>
  <c r="E142" i="31"/>
  <c r="G142" i="31" s="1"/>
  <c r="E208" i="31"/>
  <c r="G208" i="31" s="1"/>
  <c r="E153" i="31"/>
  <c r="G153" i="31" s="1"/>
  <c r="E140" i="31"/>
  <c r="G140" i="31" s="1"/>
  <c r="E144" i="31"/>
  <c r="G144" i="31" s="1"/>
  <c r="E137" i="31"/>
  <c r="G137" i="31" s="1"/>
  <c r="E178" i="31"/>
  <c r="G178" i="31" s="1"/>
  <c r="E195" i="31"/>
  <c r="G195" i="31" s="1"/>
  <c r="E176" i="31"/>
  <c r="G176" i="31" s="1"/>
  <c r="E139" i="31"/>
  <c r="G139" i="31" s="1"/>
  <c r="E202" i="31"/>
  <c r="G202" i="31" s="1"/>
  <c r="E171" i="31"/>
  <c r="G171" i="31" s="1"/>
  <c r="E172" i="31"/>
  <c r="G172" i="31" s="1"/>
  <c r="E192" i="31"/>
  <c r="G192" i="31" s="1"/>
  <c r="E156" i="31"/>
  <c r="G156" i="31" s="1"/>
  <c r="E149" i="31"/>
  <c r="G149" i="31" s="1"/>
  <c r="E134" i="31"/>
  <c r="G134" i="31" s="1"/>
  <c r="E175" i="31"/>
  <c r="G175" i="31" s="1"/>
  <c r="E188" i="31"/>
  <c r="G188" i="31" s="1"/>
  <c r="E214" i="31"/>
  <c r="G214" i="31" s="1"/>
  <c r="E161" i="31"/>
  <c r="G161" i="31" s="1"/>
  <c r="E209" i="31"/>
  <c r="G209" i="31" s="1"/>
  <c r="E213" i="31"/>
  <c r="G213" i="31" s="1"/>
  <c r="E163" i="31"/>
  <c r="G163" i="31" s="1"/>
  <c r="E177" i="31"/>
  <c r="G177" i="31" s="1"/>
  <c r="E143" i="31"/>
  <c r="G143" i="31" s="1"/>
  <c r="E206" i="31"/>
  <c r="G206" i="31" s="1"/>
  <c r="E201" i="31"/>
  <c r="G201" i="31" s="1"/>
  <c r="E187" i="31"/>
  <c r="G187" i="31" s="1"/>
  <c r="E147" i="31"/>
  <c r="G147" i="31" s="1"/>
  <c r="E164" i="31"/>
  <c r="G164" i="31" s="1"/>
  <c r="E186" i="31"/>
  <c r="G186" i="31" s="1"/>
  <c r="E184" i="31"/>
  <c r="G184" i="31" s="1"/>
  <c r="E185" i="31"/>
  <c r="G185" i="31" s="1"/>
  <c r="E148" i="31"/>
  <c r="G148" i="31" s="1"/>
  <c r="E212" i="31"/>
  <c r="G212" i="31" s="1"/>
  <c r="E138" i="31"/>
  <c r="G138" i="31" s="1"/>
  <c r="E189" i="31"/>
  <c r="G189" i="31" s="1"/>
  <c r="E211" i="31"/>
  <c r="G211" i="31" s="1"/>
  <c r="E152" i="31"/>
  <c r="G152" i="31" s="1"/>
  <c r="E190" i="31"/>
  <c r="G190" i="31" s="1"/>
  <c r="E215" i="31"/>
  <c r="G215" i="31" s="1"/>
  <c r="E170" i="31"/>
  <c r="G170" i="31" s="1"/>
  <c r="E216" i="31"/>
  <c r="G216" i="31" s="1"/>
  <c r="E151" i="31"/>
  <c r="G151" i="31" s="1"/>
  <c r="E210" i="31"/>
  <c r="G210" i="31" s="1"/>
  <c r="E196" i="31"/>
  <c r="G196" i="31" s="1"/>
  <c r="E166" i="31"/>
  <c r="G166" i="31" s="1"/>
  <c r="E162" i="31"/>
  <c r="G162" i="31" s="1"/>
  <c r="E168" i="31"/>
  <c r="G168" i="31" s="1"/>
  <c r="E180" i="31"/>
  <c r="G180" i="31" s="1"/>
  <c r="E146" i="31"/>
  <c r="G146" i="31" s="1"/>
  <c r="M32" i="31" l="1"/>
  <c r="E205" i="31"/>
  <c r="G205" i="31" s="1"/>
  <c r="E133" i="31"/>
  <c r="G133" i="31" s="1"/>
  <c r="M26" i="31"/>
  <c r="M30" i="31"/>
  <c r="E181" i="31"/>
  <c r="G181" i="31" s="1"/>
  <c r="C238" i="31"/>
  <c r="E226" i="31"/>
  <c r="G226" i="31" s="1"/>
  <c r="C230" i="31"/>
  <c r="E218" i="31"/>
  <c r="G218" i="31" s="1"/>
  <c r="E219" i="31"/>
  <c r="G219" i="31" s="1"/>
  <c r="C231" i="31"/>
  <c r="C237" i="31"/>
  <c r="E225" i="31"/>
  <c r="G225" i="31" s="1"/>
  <c r="E221" i="31"/>
  <c r="G221" i="31" s="1"/>
  <c r="C233" i="31"/>
  <c r="E169" i="31"/>
  <c r="G169" i="31" s="1"/>
  <c r="M29" i="31"/>
  <c r="C229" i="31"/>
  <c r="M33" i="31"/>
  <c r="E217" i="31"/>
  <c r="G217" i="31" s="1"/>
  <c r="C239" i="31"/>
  <c r="E227" i="31"/>
  <c r="G227" i="31" s="1"/>
  <c r="E220" i="31"/>
  <c r="G220" i="31" s="1"/>
  <c r="C232" i="31"/>
  <c r="C240" i="31"/>
  <c r="E228" i="31"/>
  <c r="G228" i="31" s="1"/>
  <c r="C235" i="31"/>
  <c r="E223" i="31"/>
  <c r="G223" i="31" s="1"/>
  <c r="C234" i="31"/>
  <c r="E222" i="31"/>
  <c r="G222" i="31" s="1"/>
  <c r="E224" i="31"/>
  <c r="G224" i="31" s="1"/>
  <c r="C236" i="31"/>
  <c r="M28" i="31"/>
  <c r="E157" i="31"/>
  <c r="G157" i="31" s="1"/>
  <c r="E193" i="31"/>
  <c r="G193" i="31" s="1"/>
  <c r="M31" i="31"/>
  <c r="E145" i="31"/>
  <c r="G145" i="31" s="1"/>
  <c r="M27" i="31"/>
  <c r="C247" i="31" l="1"/>
  <c r="E235" i="31"/>
  <c r="G235" i="31" s="1"/>
  <c r="P33" i="31"/>
  <c r="Q33" i="31"/>
  <c r="E233" i="31"/>
  <c r="G233" i="31" s="1"/>
  <c r="C245" i="31"/>
  <c r="C243" i="31"/>
  <c r="E231" i="31"/>
  <c r="G231" i="31" s="1"/>
  <c r="P26" i="31"/>
  <c r="Q26" i="31"/>
  <c r="Q27" i="31"/>
  <c r="P27" i="31"/>
  <c r="E229" i="31"/>
  <c r="G229" i="31" s="1"/>
  <c r="M34" i="31"/>
  <c r="C241" i="31"/>
  <c r="C250" i="31"/>
  <c r="E238" i="31"/>
  <c r="G238" i="31" s="1"/>
  <c r="P28" i="31"/>
  <c r="Q28" i="31"/>
  <c r="C246" i="31"/>
  <c r="E234" i="31"/>
  <c r="G234" i="31" s="1"/>
  <c r="E240" i="31"/>
  <c r="G240" i="31" s="1"/>
  <c r="C252" i="31"/>
  <c r="C251" i="31"/>
  <c r="E239" i="31"/>
  <c r="G239" i="31" s="1"/>
  <c r="Q29" i="31"/>
  <c r="P29" i="31"/>
  <c r="Q31" i="31"/>
  <c r="P31" i="31"/>
  <c r="E236" i="31"/>
  <c r="G236" i="31" s="1"/>
  <c r="C248" i="31"/>
  <c r="E232" i="31"/>
  <c r="G232" i="31" s="1"/>
  <c r="C244" i="31"/>
  <c r="C249" i="31"/>
  <c r="E237" i="31"/>
  <c r="G237" i="31" s="1"/>
  <c r="C242" i="31"/>
  <c r="E230" i="31"/>
  <c r="G230" i="31" s="1"/>
  <c r="Q30" i="31"/>
  <c r="P30" i="31"/>
  <c r="P32" i="31"/>
  <c r="Q32" i="31"/>
  <c r="E244" i="31" l="1"/>
  <c r="G244" i="31" s="1"/>
  <c r="C256" i="31"/>
  <c r="E256" i="31" s="1"/>
  <c r="G256" i="31" s="1"/>
  <c r="E243" i="31"/>
  <c r="G243" i="31" s="1"/>
  <c r="C255" i="31"/>
  <c r="E255" i="31" s="1"/>
  <c r="G255" i="31" s="1"/>
  <c r="E242" i="31"/>
  <c r="G242" i="31" s="1"/>
  <c r="C254" i="31"/>
  <c r="E254" i="31" s="1"/>
  <c r="G254" i="31" s="1"/>
  <c r="C263" i="31"/>
  <c r="E263" i="31" s="1"/>
  <c r="G263" i="31" s="1"/>
  <c r="E251" i="31"/>
  <c r="G251" i="31" s="1"/>
  <c r="C258" i="31"/>
  <c r="E258" i="31" s="1"/>
  <c r="G258" i="31" s="1"/>
  <c r="E246" i="31"/>
  <c r="G246" i="31" s="1"/>
  <c r="C262" i="31"/>
  <c r="E262" i="31" s="1"/>
  <c r="G262" i="31" s="1"/>
  <c r="E250" i="31"/>
  <c r="G250" i="31" s="1"/>
  <c r="C257" i="31"/>
  <c r="E257" i="31" s="1"/>
  <c r="G257" i="31" s="1"/>
  <c r="E245" i="31"/>
  <c r="G245" i="31" s="1"/>
  <c r="C260" i="31"/>
  <c r="E260" i="31" s="1"/>
  <c r="G260" i="31" s="1"/>
  <c r="E248" i="31"/>
  <c r="G248" i="31" s="1"/>
  <c r="E252" i="31"/>
  <c r="G252" i="31" s="1"/>
  <c r="C264" i="31"/>
  <c r="E264" i="31" s="1"/>
  <c r="G264" i="31" s="1"/>
  <c r="M35" i="31"/>
  <c r="C253" i="31"/>
  <c r="E241" i="31"/>
  <c r="G241" i="31" s="1"/>
  <c r="E247" i="31"/>
  <c r="G247" i="31" s="1"/>
  <c r="C259" i="31"/>
  <c r="E259" i="31" s="1"/>
  <c r="G259" i="31" s="1"/>
  <c r="C261" i="31"/>
  <c r="E261" i="31" s="1"/>
  <c r="G261" i="31" s="1"/>
  <c r="E249" i="31"/>
  <c r="G249" i="31" s="1"/>
  <c r="P34" i="31"/>
  <c r="Q34" i="31"/>
  <c r="P35" i="31" l="1"/>
  <c r="Q35" i="31"/>
  <c r="M36" i="31"/>
  <c r="E253" i="31"/>
  <c r="G253" i="31" s="1"/>
  <c r="P36" i="31" l="1"/>
  <c r="Q36" i="31"/>
  <c r="K127" i="31" l="1"/>
  <c r="D127" i="31"/>
  <c r="D118" i="31"/>
  <c r="K118" i="31"/>
  <c r="K92" i="31"/>
  <c r="D92" i="31"/>
  <c r="D63" i="31"/>
  <c r="K63" i="31"/>
  <c r="D26" i="31"/>
  <c r="K26" i="31"/>
  <c r="D110" i="31"/>
  <c r="K110" i="31"/>
  <c r="O22" i="31"/>
  <c r="K85" i="31"/>
  <c r="D85" i="31"/>
  <c r="K53" i="31"/>
  <c r="D53" i="31"/>
  <c r="D30" i="31"/>
  <c r="K30" i="31"/>
  <c r="K103" i="31"/>
  <c r="D103" i="31"/>
  <c r="D47" i="31"/>
  <c r="K47" i="31"/>
  <c r="D115" i="31"/>
  <c r="K115" i="31"/>
  <c r="D17" i="31"/>
  <c r="K17" i="31"/>
  <c r="K122" i="31"/>
  <c r="D122" i="31"/>
  <c r="D132" i="31"/>
  <c r="K132" i="31"/>
  <c r="D117" i="31"/>
  <c r="K117" i="31"/>
  <c r="K75" i="31"/>
  <c r="D75" i="31"/>
  <c r="K36" i="31"/>
  <c r="D36" i="31"/>
  <c r="K104" i="31"/>
  <c r="D104" i="31"/>
  <c r="K83" i="31"/>
  <c r="D83" i="31"/>
  <c r="K49" i="31"/>
  <c r="D49" i="31"/>
  <c r="O19" i="31"/>
  <c r="K27" i="31"/>
  <c r="D27" i="31"/>
  <c r="D87" i="31"/>
  <c r="K87" i="31"/>
  <c r="K58" i="31"/>
  <c r="D58" i="31"/>
  <c r="K108" i="31"/>
  <c r="D108" i="31"/>
  <c r="K73" i="31"/>
  <c r="O21" i="31"/>
  <c r="D73" i="31"/>
  <c r="K44" i="31"/>
  <c r="D44" i="31"/>
  <c r="K14" i="31"/>
  <c r="D14" i="31"/>
  <c r="D37" i="31"/>
  <c r="K37" i="31"/>
  <c r="O18" i="31"/>
  <c r="D113" i="31"/>
  <c r="K113" i="31"/>
  <c r="K64" i="31"/>
  <c r="D64" i="31"/>
  <c r="K24" i="31"/>
  <c r="D24" i="31"/>
  <c r="K105" i="31"/>
  <c r="D105" i="31"/>
  <c r="K111" i="31"/>
  <c r="D111" i="31"/>
  <c r="K84" i="31"/>
  <c r="D84" i="31"/>
  <c r="K52" i="31"/>
  <c r="D52" i="31"/>
  <c r="K23" i="31"/>
  <c r="D23" i="31"/>
  <c r="K101" i="31"/>
  <c r="D101" i="31"/>
  <c r="K79" i="31"/>
  <c r="D79" i="31"/>
  <c r="D129" i="31"/>
  <c r="K129" i="31"/>
  <c r="D131" i="31"/>
  <c r="K131" i="31"/>
  <c r="D126" i="31"/>
  <c r="K126" i="31"/>
  <c r="D98" i="31"/>
  <c r="K98" i="31"/>
  <c r="D67" i="31"/>
  <c r="K67" i="31"/>
  <c r="D31" i="31"/>
  <c r="K31" i="31"/>
  <c r="D120" i="31"/>
  <c r="K120" i="31"/>
  <c r="D86" i="31"/>
  <c r="K86" i="31"/>
  <c r="K57" i="31"/>
  <c r="D57" i="31"/>
  <c r="K34" i="31"/>
  <c r="D34" i="31"/>
  <c r="D106" i="31"/>
  <c r="K106" i="31"/>
  <c r="D76" i="31"/>
  <c r="K76" i="31"/>
  <c r="K51" i="31"/>
  <c r="D51" i="31"/>
  <c r="K18" i="31"/>
  <c r="D18" i="31"/>
  <c r="K99" i="31"/>
  <c r="D99" i="31"/>
  <c r="K69" i="31"/>
  <c r="D69" i="31"/>
  <c r="D22" i="31"/>
  <c r="K22" i="31"/>
  <c r="D29" i="31"/>
  <c r="K29" i="31"/>
  <c r="K77" i="31"/>
  <c r="D77" i="31"/>
  <c r="D33" i="31"/>
  <c r="K33" i="31"/>
  <c r="K102" i="31"/>
  <c r="D102" i="31"/>
  <c r="K112" i="31"/>
  <c r="D112" i="31"/>
  <c r="K121" i="31"/>
  <c r="D121" i="31"/>
  <c r="O25" i="31"/>
  <c r="K78" i="31"/>
  <c r="D78" i="31"/>
  <c r="D41" i="31"/>
  <c r="K41" i="31"/>
  <c r="D15" i="31"/>
  <c r="K15" i="31"/>
  <c r="K96" i="31"/>
  <c r="D96" i="31"/>
  <c r="K68" i="31"/>
  <c r="D68" i="31"/>
  <c r="K42" i="31"/>
  <c r="D42" i="31"/>
  <c r="K128" i="31"/>
  <c r="D128" i="31"/>
  <c r="D91" i="31"/>
  <c r="K91" i="31"/>
  <c r="D13" i="31"/>
  <c r="K13" i="31"/>
  <c r="O16" i="31"/>
  <c r="D66" i="31"/>
  <c r="K66" i="31"/>
  <c r="D72" i="31"/>
  <c r="K72" i="31"/>
  <c r="D107" i="31"/>
  <c r="K107" i="31"/>
  <c r="K114" i="31"/>
  <c r="D114" i="31"/>
  <c r="K89" i="31"/>
  <c r="D89" i="31"/>
  <c r="K56" i="31"/>
  <c r="D56" i="31"/>
  <c r="D12" i="31"/>
  <c r="G12" i="31" s="1"/>
  <c r="D25" i="31"/>
  <c r="O17" i="31"/>
  <c r="K25" i="31"/>
  <c r="K94" i="31"/>
  <c r="D94" i="31"/>
  <c r="D65" i="31"/>
  <c r="K65" i="31"/>
  <c r="K39" i="31"/>
  <c r="D39" i="31"/>
  <c r="D100" i="31"/>
  <c r="K100" i="31"/>
  <c r="K71" i="31"/>
  <c r="D71" i="31"/>
  <c r="D43" i="31"/>
  <c r="K43" i="31"/>
  <c r="D88" i="31"/>
  <c r="K88" i="31"/>
  <c r="K62" i="31"/>
  <c r="D62" i="31"/>
  <c r="K28" i="31"/>
  <c r="D28" i="31"/>
  <c r="K48" i="31"/>
  <c r="D48" i="31"/>
  <c r="D20" i="31"/>
  <c r="K20" i="31"/>
  <c r="K80" i="31"/>
  <c r="D80" i="31"/>
  <c r="K21" i="31"/>
  <c r="D21" i="31"/>
  <c r="K119" i="31"/>
  <c r="D119" i="31"/>
  <c r="D130" i="31"/>
  <c r="K130" i="31"/>
  <c r="O24" i="31"/>
  <c r="K109" i="31"/>
  <c r="D109" i="31"/>
  <c r="K70" i="31"/>
  <c r="D70" i="31"/>
  <c r="K35" i="31"/>
  <c r="D35" i="31"/>
  <c r="K125" i="31"/>
  <c r="D125" i="31"/>
  <c r="K90" i="31"/>
  <c r="D90" i="31"/>
  <c r="K55" i="31"/>
  <c r="D55" i="31"/>
  <c r="K59" i="31"/>
  <c r="D59" i="31"/>
  <c r="D116" i="31"/>
  <c r="K116" i="31"/>
  <c r="D124" i="31"/>
  <c r="K124" i="31"/>
  <c r="K82" i="31"/>
  <c r="D82" i="31"/>
  <c r="D45" i="31"/>
  <c r="K45" i="31"/>
  <c r="D19" i="31"/>
  <c r="K19" i="31"/>
  <c r="K97" i="31"/>
  <c r="O23" i="31"/>
  <c r="D97" i="31"/>
  <c r="D74" i="31"/>
  <c r="K74" i="31"/>
  <c r="D46" i="31"/>
  <c r="K46" i="31"/>
  <c r="K16" i="31"/>
  <c r="D16" i="31"/>
  <c r="D95" i="31"/>
  <c r="K95" i="31"/>
  <c r="K61" i="31"/>
  <c r="O20" i="31"/>
  <c r="D61" i="31"/>
  <c r="D32" i="31"/>
  <c r="K32" i="31"/>
  <c r="K123" i="31"/>
  <c r="D123" i="31"/>
  <c r="K81" i="31"/>
  <c r="D81" i="31"/>
  <c r="K54" i="31"/>
  <c r="D54" i="31"/>
  <c r="K60" i="31"/>
  <c r="D60" i="31"/>
  <c r="D93" i="31"/>
  <c r="K93" i="31"/>
  <c r="K50" i="31"/>
  <c r="D50" i="31"/>
  <c r="K38" i="31"/>
  <c r="D38" i="31"/>
  <c r="K40" i="31"/>
  <c r="D40" i="31"/>
  <c r="D8" i="31"/>
  <c r="D10" i="31"/>
  <c r="D9" i="31"/>
  <c r="N23" i="31" l="1"/>
  <c r="N20" i="31"/>
  <c r="G10" i="31"/>
  <c r="G9" i="31"/>
  <c r="G8" i="31"/>
  <c r="N24" i="31"/>
  <c r="R24" i="31" s="1"/>
  <c r="K4" i="31"/>
  <c r="K5" i="31"/>
  <c r="N19" i="31"/>
  <c r="R19" i="31" s="1"/>
  <c r="N22" i="31"/>
  <c r="R22" i="31" s="1"/>
  <c r="N16" i="31"/>
  <c r="R16" i="31" s="1"/>
  <c r="N25" i="31"/>
  <c r="R25" i="31" s="1"/>
  <c r="R20" i="31"/>
  <c r="N21" i="31"/>
  <c r="R21" i="31" s="1"/>
  <c r="R23" i="31"/>
  <c r="N17" i="31"/>
  <c r="R17" i="31" s="1"/>
  <c r="N18" i="31"/>
  <c r="R18" i="31" s="1"/>
  <c r="G40" i="25" l="1"/>
  <c r="G44" i="25"/>
  <c r="G48" i="25"/>
  <c r="K6" i="31"/>
  <c r="B5" i="31" s="1"/>
  <c r="M7" i="31"/>
  <c r="K3" i="25"/>
  <c r="C39" i="25" l="1"/>
  <c r="C43" i="25"/>
  <c r="C47" i="25"/>
  <c r="B5" i="25"/>
  <c r="G9" i="25"/>
  <c r="E33" i="25"/>
  <c r="E28" i="25"/>
  <c r="G24" i="25"/>
  <c r="G25" i="25"/>
  <c r="E27" i="25"/>
  <c r="E31" i="25"/>
  <c r="G29" i="25"/>
  <c r="E24" i="25"/>
  <c r="G26" i="25"/>
  <c r="G23" i="25"/>
  <c r="G28" i="25"/>
  <c r="G30" i="25"/>
  <c r="E29" i="25"/>
  <c r="E34" i="25"/>
  <c r="E30" i="25"/>
  <c r="E32" i="25"/>
  <c r="E26" i="25"/>
  <c r="G31" i="25"/>
  <c r="G33" i="25"/>
  <c r="E23" i="25"/>
  <c r="E25" i="25"/>
  <c r="G32" i="25"/>
  <c r="G27" i="25"/>
  <c r="G34" i="25"/>
  <c r="C20" i="67" l="1"/>
  <c r="I20" i="67" s="1"/>
  <c r="C22" i="67"/>
  <c r="I22" i="67" s="1"/>
  <c r="C23" i="67"/>
  <c r="I23" i="67" s="1"/>
  <c r="C19" i="67"/>
  <c r="I19" i="67" s="1"/>
  <c r="C18" i="67"/>
  <c r="I18" i="67" s="1"/>
  <c r="C21" i="67"/>
  <c r="I21" i="67" s="1"/>
  <c r="B5" i="28"/>
  <c r="B5" i="66"/>
  <c r="B4" i="31"/>
  <c r="E126" i="31" l="1"/>
  <c r="G126" i="31" s="1"/>
  <c r="E18" i="31"/>
  <c r="G18" i="31" s="1"/>
  <c r="E130" i="31"/>
  <c r="G130" i="31" s="1"/>
  <c r="E27" i="31"/>
  <c r="G27" i="31" s="1"/>
  <c r="E114" i="31"/>
  <c r="G114" i="31" s="1"/>
  <c r="E41" i="31"/>
  <c r="G41" i="31" s="1"/>
  <c r="E57" i="31"/>
  <c r="G57" i="31" s="1"/>
  <c r="E75" i="31"/>
  <c r="G75" i="31" s="1"/>
  <c r="E104" i="31"/>
  <c r="G104" i="31" s="1"/>
  <c r="E111" i="31"/>
  <c r="G111" i="31" s="1"/>
  <c r="E47" i="31"/>
  <c r="G47" i="31" s="1"/>
  <c r="E88" i="31"/>
  <c r="G88" i="31" s="1"/>
  <c r="E46" i="31"/>
  <c r="G46" i="31" s="1"/>
  <c r="E125" i="31"/>
  <c r="G125" i="31" s="1"/>
  <c r="E33" i="31"/>
  <c r="G33" i="31" s="1"/>
  <c r="E22" i="31"/>
  <c r="G22" i="31" s="1"/>
  <c r="E132" i="31"/>
  <c r="G132" i="31" s="1"/>
  <c r="E44" i="31"/>
  <c r="G44" i="31" s="1"/>
  <c r="E86" i="31"/>
  <c r="G86" i="31" s="1"/>
  <c r="E26" i="31"/>
  <c r="G26" i="31" s="1"/>
  <c r="E70" i="31"/>
  <c r="G70" i="31" s="1"/>
  <c r="E117" i="31"/>
  <c r="G117" i="31" s="1"/>
  <c r="E52" i="31"/>
  <c r="G52" i="31" s="1"/>
  <c r="E14" i="31"/>
  <c r="G14" i="31" s="1"/>
  <c r="E91" i="31"/>
  <c r="G91" i="31" s="1"/>
  <c r="E31" i="31"/>
  <c r="G31" i="31" s="1"/>
  <c r="E105" i="31"/>
  <c r="G105" i="31" s="1"/>
  <c r="E128" i="31"/>
  <c r="G128" i="31" s="1"/>
  <c r="E51" i="31"/>
  <c r="G51" i="31" s="1"/>
  <c r="E56" i="31"/>
  <c r="G56" i="31" s="1"/>
  <c r="E55" i="31"/>
  <c r="G55" i="31" s="1"/>
  <c r="E122" i="31"/>
  <c r="G122" i="31" s="1"/>
  <c r="E92" i="31"/>
  <c r="G92" i="31" s="1"/>
  <c r="E32" i="31"/>
  <c r="G32" i="31" s="1"/>
  <c r="E108" i="31"/>
  <c r="G108" i="31" s="1"/>
  <c r="E80" i="31"/>
  <c r="G80" i="31" s="1"/>
  <c r="E94" i="31"/>
  <c r="G94" i="31" s="1"/>
  <c r="E62" i="31"/>
  <c r="G62" i="31" s="1"/>
  <c r="E129" i="31"/>
  <c r="G129" i="31" s="1"/>
  <c r="E60" i="31"/>
  <c r="G60" i="31" s="1"/>
  <c r="E83" i="31"/>
  <c r="G83" i="31" s="1"/>
  <c r="E16" i="31"/>
  <c r="G16" i="31" s="1"/>
  <c r="E63" i="31"/>
  <c r="G63" i="31" s="1"/>
  <c r="E81" i="31"/>
  <c r="G81" i="31" s="1"/>
  <c r="E43" i="31"/>
  <c r="G43" i="31" s="1"/>
  <c r="E119" i="31"/>
  <c r="G119" i="31" s="1"/>
  <c r="E65" i="31"/>
  <c r="G65" i="31" s="1"/>
  <c r="E98" i="31"/>
  <c r="G98" i="31" s="1"/>
  <c r="E74" i="31"/>
  <c r="G74" i="31" s="1"/>
  <c r="E67" i="31"/>
  <c r="G67" i="31" s="1"/>
  <c r="E96" i="31"/>
  <c r="G96" i="31" s="1"/>
  <c r="E15" i="31"/>
  <c r="G15" i="31" s="1"/>
  <c r="E116" i="31"/>
  <c r="G116" i="31" s="1"/>
  <c r="E38" i="31"/>
  <c r="G38" i="31" s="1"/>
  <c r="E113" i="31"/>
  <c r="G113" i="31" s="1"/>
  <c r="E50" i="31"/>
  <c r="G50" i="31" s="1"/>
  <c r="E84" i="31"/>
  <c r="G84" i="31" s="1"/>
  <c r="E102" i="31"/>
  <c r="G102" i="31" s="1"/>
  <c r="E42" i="31"/>
  <c r="G42" i="31" s="1"/>
  <c r="E106" i="31"/>
  <c r="G106" i="31" s="1"/>
  <c r="E58" i="31"/>
  <c r="G58" i="31" s="1"/>
  <c r="E21" i="31"/>
  <c r="G21" i="31" s="1"/>
  <c r="E64" i="31"/>
  <c r="G64" i="31" s="1"/>
  <c r="E103" i="31"/>
  <c r="G103" i="31" s="1"/>
  <c r="E107" i="31"/>
  <c r="G107" i="31" s="1"/>
  <c r="E28" i="31"/>
  <c r="G28" i="31" s="1"/>
  <c r="E78" i="31"/>
  <c r="G78" i="31" s="1"/>
  <c r="E112" i="31"/>
  <c r="G112" i="31" s="1"/>
  <c r="E120" i="31"/>
  <c r="G120" i="31" s="1"/>
  <c r="E48" i="31"/>
  <c r="G48" i="31" s="1"/>
  <c r="E90" i="31"/>
  <c r="G90" i="31" s="1"/>
  <c r="E69" i="31"/>
  <c r="G69" i="31" s="1"/>
  <c r="E34" i="31"/>
  <c r="G34" i="31" s="1"/>
  <c r="E35" i="31"/>
  <c r="G35" i="31" s="1"/>
  <c r="E95" i="31"/>
  <c r="G95" i="31" s="1"/>
  <c r="E131" i="31"/>
  <c r="G131" i="31" s="1"/>
  <c r="E20" i="31"/>
  <c r="G20" i="31" s="1"/>
  <c r="E66" i="31"/>
  <c r="G66" i="31" s="1"/>
  <c r="E45" i="31"/>
  <c r="G45" i="31" s="1"/>
  <c r="E24" i="31"/>
  <c r="G24" i="31" s="1"/>
  <c r="E110" i="31"/>
  <c r="G110" i="31" s="1"/>
  <c r="E19" i="31"/>
  <c r="G19" i="31" s="1"/>
  <c r="E54" i="31"/>
  <c r="G54" i="31" s="1"/>
  <c r="E82" i="31"/>
  <c r="G82" i="31" s="1"/>
  <c r="E29" i="31"/>
  <c r="G29" i="31" s="1"/>
  <c r="E30" i="31"/>
  <c r="G30" i="31" s="1"/>
  <c r="E99" i="31"/>
  <c r="G99" i="31" s="1"/>
  <c r="E40" i="31"/>
  <c r="G40" i="31" s="1"/>
  <c r="E100" i="31"/>
  <c r="G100" i="31" s="1"/>
  <c r="E39" i="31"/>
  <c r="G39" i="31" s="1"/>
  <c r="E87" i="31"/>
  <c r="G87" i="31" s="1"/>
  <c r="E127" i="31"/>
  <c r="G127" i="31" s="1"/>
  <c r="E93" i="31"/>
  <c r="G93" i="31" s="1"/>
  <c r="E72" i="31"/>
  <c r="G72" i="31" s="1"/>
  <c r="E76" i="31"/>
  <c r="G76" i="31" s="1"/>
  <c r="E123" i="31"/>
  <c r="G123" i="31" s="1"/>
  <c r="E124" i="31"/>
  <c r="G124" i="31" s="1"/>
  <c r="E36" i="31"/>
  <c r="G36" i="31" s="1"/>
  <c r="E79" i="31"/>
  <c r="G79" i="31" s="1"/>
  <c r="E59" i="31"/>
  <c r="G59" i="31" s="1"/>
  <c r="E53" i="31"/>
  <c r="G53" i="31" s="1"/>
  <c r="E77" i="31"/>
  <c r="G77" i="31" s="1"/>
  <c r="E17" i="31"/>
  <c r="G17" i="31" s="1"/>
  <c r="E115" i="31"/>
  <c r="G115" i="31" s="1"/>
  <c r="E89" i="31"/>
  <c r="G89" i="31" s="1"/>
  <c r="E23" i="31"/>
  <c r="G23" i="31" s="1"/>
  <c r="E71" i="31"/>
  <c r="G71" i="31" s="1"/>
  <c r="E101" i="31"/>
  <c r="G101" i="31" s="1"/>
  <c r="E68" i="31"/>
  <c r="G68" i="31" s="1"/>
  <c r="E118" i="31"/>
  <c r="G118" i="31" s="1"/>
  <c r="E15" i="25"/>
  <c r="E16" i="25"/>
  <c r="E18" i="25"/>
  <c r="E13" i="25"/>
  <c r="E19" i="25"/>
  <c r="E21" i="25"/>
  <c r="E14" i="25"/>
  <c r="E22" i="25"/>
  <c r="E17" i="25"/>
  <c r="E20" i="25"/>
  <c r="M24" i="31" l="1"/>
  <c r="E109" i="31"/>
  <c r="M21" i="31"/>
  <c r="E73" i="31"/>
  <c r="E121" i="31"/>
  <c r="M25" i="31"/>
  <c r="M17" i="31"/>
  <c r="E25" i="31"/>
  <c r="E13" i="31"/>
  <c r="M16" i="31"/>
  <c r="M20" i="31"/>
  <c r="E61" i="31"/>
  <c r="E37" i="31"/>
  <c r="M18" i="31"/>
  <c r="M19" i="31"/>
  <c r="E49" i="31"/>
  <c r="M22" i="31"/>
  <c r="E85" i="31"/>
  <c r="M23" i="31"/>
  <c r="E97" i="31"/>
  <c r="G21" i="25"/>
  <c r="E10" i="31"/>
  <c r="G17" i="25"/>
  <c r="G22" i="25"/>
  <c r="G16" i="25"/>
  <c r="G15" i="25"/>
  <c r="G14" i="25"/>
  <c r="E9" i="31"/>
  <c r="G19" i="25"/>
  <c r="G13" i="25"/>
  <c r="G18" i="25"/>
  <c r="G20" i="25"/>
  <c r="E8" i="31"/>
  <c r="C15" i="67" l="1"/>
  <c r="I15" i="67" s="1"/>
  <c r="C16" i="67"/>
  <c r="I16" i="67" s="1"/>
  <c r="C10" i="67"/>
  <c r="I10" i="67" s="1"/>
  <c r="C8" i="67"/>
  <c r="I8" i="67" s="1"/>
  <c r="C17" i="67"/>
  <c r="I17" i="67" s="1"/>
  <c r="C14" i="67"/>
  <c r="I14" i="67" s="1"/>
  <c r="C11" i="67"/>
  <c r="I11" i="67" s="1"/>
  <c r="C12" i="67"/>
  <c r="I12" i="67" s="1"/>
  <c r="C9" i="67"/>
  <c r="I9" i="67" s="1"/>
  <c r="C13" i="67"/>
  <c r="I13" i="67" s="1"/>
  <c r="G97" i="31"/>
  <c r="P18" i="31"/>
  <c r="Q18" i="31"/>
  <c r="Q16" i="31"/>
  <c r="P16" i="31"/>
  <c r="Q25" i="31"/>
  <c r="P25" i="31"/>
  <c r="G109" i="31"/>
  <c r="Q23" i="31"/>
  <c r="P23" i="31"/>
  <c r="G37" i="31"/>
  <c r="G13" i="31"/>
  <c r="G121" i="31"/>
  <c r="Q24" i="31"/>
  <c r="P24" i="31"/>
  <c r="G85" i="31"/>
  <c r="G49" i="31"/>
  <c r="G61" i="31"/>
  <c r="G25" i="31"/>
  <c r="G73" i="31"/>
  <c r="P22" i="31"/>
  <c r="Q22" i="31"/>
  <c r="P19" i="31"/>
  <c r="Q19" i="31"/>
  <c r="P20" i="31"/>
  <c r="Q20" i="31"/>
  <c r="P17" i="31"/>
  <c r="Q17" i="31"/>
  <c r="Q21" i="31"/>
  <c r="P21" i="31"/>
  <c r="K21" i="67" l="1"/>
  <c r="K19" i="67"/>
  <c r="K22" i="67"/>
  <c r="K23" i="67"/>
  <c r="K18" i="67"/>
  <c r="K20" i="67"/>
  <c r="K10" i="67" l="1"/>
  <c r="K9" i="67"/>
  <c r="K11" i="67"/>
  <c r="K17" i="67"/>
  <c r="K12" i="67"/>
  <c r="K8" i="67"/>
  <c r="K14" i="67"/>
  <c r="K13" i="67"/>
  <c r="K16" i="67"/>
  <c r="K15" i="67"/>
  <c r="K26" i="67"/>
  <c r="K27" i="67" s="1"/>
  <c r="J21" i="67" l="1"/>
  <c r="J18" i="67"/>
  <c r="J19" i="67"/>
  <c r="J20" i="67"/>
  <c r="J22" i="67"/>
  <c r="J23" i="67"/>
  <c r="J13" i="67" l="1"/>
  <c r="J17" i="67"/>
  <c r="J16" i="67"/>
  <c r="J14" i="67"/>
  <c r="J8" i="67"/>
  <c r="J12" i="67"/>
  <c r="J10" i="67"/>
  <c r="J15" i="67"/>
  <c r="J11" i="67"/>
  <c r="J9" i="67"/>
  <c r="J26" i="67"/>
  <c r="J27" i="67" s="1"/>
  <c r="C26" i="67" l="1"/>
  <c r="I26" i="67" s="1"/>
  <c r="I27" i="67" s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<sst xmlns="http://schemas.openxmlformats.org/spreadsheetml/2006/main" count="1379" uniqueCount="205">
  <si>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</si>
  <si>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</si>
  <si>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</si>
  <si>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</si>
  <si>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</si>
  <si>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</si>
  <si>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</si>
  <si>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</si>
  <si>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</si>
  <si>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</si>
  <si>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</si>
  <si>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</si>
  <si>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</si>
  <si>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</si>
  <si>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</si>
  <si>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</si>
  <si>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</si>
  <si>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</si>
  <si>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</si>
  <si>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</si>
  <si>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</si>
  <si>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</si>
  <si>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</si>
  <si>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</si>
  <si>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</si>
  <si>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</si>
  <si>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</si>
  <si>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</si>
  <si>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</si>
  <si>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</si>
  <si>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</si>
  <si>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</si>
  <si>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</si>
  <si>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</si>
  <si>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</si>
  <si>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</si>
  <si>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</si>
  <si>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</si>
  <si>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</si>
  <si>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</si>
  <si>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</si>
  <si>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</si>
  <si>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</si>
  <si>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</si>
  <si>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</si>
  <si>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</si>
  <si>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</si>
  <si>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</si>
  <si>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</si>
  <si>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</si>
  <si>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</si>
  <si>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</si>
  <si>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</si>
  <si>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</si>
  <si>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</si>
  <si>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</si>
  <si>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</si>
  <si>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</si>
  <si>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</si>
  <si>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</si>
  <si>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</si>
  <si>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</si>
  <si>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</si>
  <si>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</si>
  <si>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</si>
  <si>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</si>
  <si>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</si>
  <si>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</si>
  <si>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</si>
  <si>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</si>
  <si>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</si>
  <si>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</si>
  <si>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</si>
  <si>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</si>
  <si>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</si>
  <si>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</si>
  <si>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</si>
  <si>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</si>
  <si>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</si>
  <si>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</si>
  <si>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</si>
  <si>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</si>
  <si>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</si>
  <si>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</si>
  <si>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</si>
  <si>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</si>
  <si>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</si>
  <si>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</si>
  <si>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</si>
  <si>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</si>
  <si>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</si>
  <si>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</si>
  <si>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</si>
  <si>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</si>
  <si>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</si>
  <si>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</si>
  <si>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</si>
  <si>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</si>
  <si>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</si>
  <si>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</si>
  <si>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</si>
  <si>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</si>
  <si>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</si>
  <si>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</si>
  <si>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</si>
  <si>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</si>
  <si>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</si>
  <si>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</si>
  <si>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</si>
  <si>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</si>
  <si>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</si>
  <si>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</si>
  <si>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</si>
  <si>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</si>
  <si>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</si>
  <si>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</si>
  <si>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</si>
  <si>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</si>
  <si>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</si>
  <si>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</si>
  <si>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</si>
  <si>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</si>
  <si>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</si>
  <si>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</si>
  <si>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</si>
  <si>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</si>
  <si>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</si>
  <si>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</si>
  <si>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</si>
  <si>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</si>
  <si>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Update Utah Solar Resource-2035</t>
  </si>
  <si>
    <t>2017 IRP Update Utah Solar Resource-2033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</si>
  <si>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</si>
  <si>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</si>
  <si>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</si>
  <si>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</si>
  <si>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</si>
  <si>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</si>
  <si>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</si>
  <si>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</si>
  <si>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</si>
  <si>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</si>
  <si>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</si>
  <si>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</si>
  <si>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</si>
  <si>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</si>
  <si>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</si>
  <si>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</si>
  <si>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</si>
  <si>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</si>
  <si>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</si>
  <si>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</si>
  <si>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</si>
  <si>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</si>
  <si>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</si>
  <si>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</si>
  <si>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</si>
  <si>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</si>
  <si>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</si>
  <si>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</si>
  <si>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</si>
  <si>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</si>
  <si>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 Starting 2020</t>
  </si>
  <si>
    <t>Table 2</t>
  </si>
  <si>
    <t>Avoided Energy Costs - Scheduled Hours ($/MWh)</t>
  </si>
  <si>
    <t>Winter Season</t>
  </si>
  <si>
    <t>Summer Season</t>
  </si>
  <si>
    <t>Energy Only</t>
  </si>
  <si>
    <t>2017 IRP Update Yakima Solar Resource-2030</t>
  </si>
  <si>
    <t>2017 IRP Update Yakima Solar Resource-2032</t>
  </si>
  <si>
    <t>2017 IRP Update Yakima Solar Resource-2033</t>
  </si>
  <si>
    <t>2017 IRP Update Oregon Solar Resource-2030</t>
  </si>
  <si>
    <t>2017 IRP Update Oregon Solar Resource-2031</t>
  </si>
  <si>
    <t>2017 IRP Oregon Update Solar Resource-2031</t>
  </si>
  <si>
    <t>15 Year Starting 2019</t>
  </si>
  <si>
    <t>Appendix B.1</t>
  </si>
  <si>
    <t>Avoided Cost Prices $/MWh</t>
  </si>
  <si>
    <t>Thermal</t>
  </si>
  <si>
    <t>Solar Tracking</t>
  </si>
  <si>
    <t>Avoided Cost at</t>
  </si>
  <si>
    <t>85.0% CF (2)</t>
  </si>
  <si>
    <t>31.1% CF (2)</t>
  </si>
  <si>
    <t>31.0% CF (2)</t>
  </si>
  <si>
    <t>Filing</t>
  </si>
  <si>
    <t>Difference</t>
  </si>
  <si>
    <t>2020-2034</t>
  </si>
  <si>
    <t>UT 2019.Q1</t>
  </si>
  <si>
    <t>Utah 2019.Q2 Sch 38</t>
  </si>
  <si>
    <t>15 Year Starting 2021</t>
  </si>
  <si>
    <t>if Deferred 1</t>
  </si>
  <si>
    <t>Utah 2019.Q2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</si>
  <si>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</si>
  <si>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</si>
  <si>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</si>
  <si>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</si>
  <si>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</si>
  <si>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</si>
  <si>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</si>
  <si>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</si>
  <si>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</si>
  <si>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</si>
  <si>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</si>
  <si>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</si>
  <si>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</si>
  <si>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Avoided Cost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</si>
</sst>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rgb="FFCCECFF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39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4" fontId="5" fillId="0" borderId="0" xfId="8" applyNumberFormat="1" applyFont="1" applyFill="1"/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5" fillId="0" borderId="0" xfId="0" applyFont="1" applyFill="1" applyAlignment="1">
      <alignment horizontal="centerContinuous"/>
    </xf>
    <xf numFmtId="171" fontId="36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5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7" fillId="0" borderId="0" xfId="0" applyNumberFormat="1" applyFont="1" applyFill="1" applyAlignment="1">
      <alignment horizontal="center"/>
    </xf>
    <xf numFmtId="8" fontId="37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8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15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cenario\OR%20AC%20Sch%2037%20-%20AC%20%20Study_s1_Update_(OFPC1501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19-035-18%20RMP%20Q2%20Compliance%20Filing-Native%20Appendices%20B%20&amp;%20C%209-30-19.zip\4_Appendix%20B.2%20-%20UT%202019.Q2%20-%20AC%20Study%20NON-CONF%20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19-035-18%20RMP%20Q2%20Compliance%20Filing-Native%20Appendices%20B%20&amp;%20C%209-30-19.zip\4_Appendix%20B.3%20-%20UT%202019.Q2%20-%20AC%20Study%20NON-CONF%20Win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h%2038%20Filing%20Package\4_Appendix%20B.1%20-%20UT%202019.Q1%20-%20AC%20Study%20NON-CONF%20Therm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h%2038%20Filing%20Package\4_Appendix%20B.2%20-%20UT%202019.Q1%20-%20AC%20Study%20NON-CONF%20S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h%2038%20Filing%20Package\4_Appendix%20B.3%20-%20UT%202019.Q1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/>
      <sheetData sheetId="1">
        <row r="13">
          <cell r="B13">
            <v>2019</v>
          </cell>
          <cell r="C13">
            <v>0</v>
          </cell>
          <cell r="E13">
            <v>20.284921289481957</v>
          </cell>
          <cell r="G13">
            <v>20.284921289481957</v>
          </cell>
        </row>
        <row r="14">
          <cell r="B14">
            <v>2020</v>
          </cell>
          <cell r="C14">
            <v>0</v>
          </cell>
          <cell r="E14">
            <v>17.925598476804463</v>
          </cell>
          <cell r="G14">
            <v>17.925598476804463</v>
          </cell>
        </row>
        <row r="15">
          <cell r="B15">
            <v>2021</v>
          </cell>
          <cell r="C15">
            <v>0</v>
          </cell>
          <cell r="E15">
            <v>14.911715434585036</v>
          </cell>
          <cell r="G15">
            <v>14.911715434585036</v>
          </cell>
        </row>
        <row r="16">
          <cell r="B16">
            <v>2022</v>
          </cell>
          <cell r="C16">
            <v>0</v>
          </cell>
          <cell r="E16">
            <v>15.825534360812256</v>
          </cell>
          <cell r="G16">
            <v>15.825534360812256</v>
          </cell>
        </row>
        <row r="17">
          <cell r="B17">
            <v>2023</v>
          </cell>
          <cell r="C17">
            <v>0</v>
          </cell>
          <cell r="E17">
            <v>16.030794619642418</v>
          </cell>
          <cell r="G17">
            <v>16.030794619642418</v>
          </cell>
        </row>
        <row r="18">
          <cell r="B18">
            <v>2024</v>
          </cell>
          <cell r="C18">
            <v>0</v>
          </cell>
          <cell r="E18">
            <v>17.23603406598242</v>
          </cell>
          <cell r="G18">
            <v>17.23603406598242</v>
          </cell>
        </row>
        <row r="19">
          <cell r="B19">
            <v>2025</v>
          </cell>
          <cell r="C19">
            <v>0</v>
          </cell>
          <cell r="E19">
            <v>20.641549905621247</v>
          </cell>
          <cell r="G19">
            <v>20.641549905621247</v>
          </cell>
        </row>
        <row r="20">
          <cell r="B20">
            <v>2026</v>
          </cell>
          <cell r="C20">
            <v>0</v>
          </cell>
          <cell r="E20">
            <v>22.280268325666171</v>
          </cell>
          <cell r="G20">
            <v>22.280268325666171</v>
          </cell>
        </row>
        <row r="21">
          <cell r="B21">
            <v>2027</v>
          </cell>
          <cell r="C21">
            <v>0</v>
          </cell>
          <cell r="E21">
            <v>23.012422081775394</v>
          </cell>
          <cell r="G21">
            <v>23.012422081775394</v>
          </cell>
        </row>
        <row r="22">
          <cell r="B22">
            <v>2028</v>
          </cell>
          <cell r="C22">
            <v>0</v>
          </cell>
          <cell r="E22">
            <v>25.324350629342639</v>
          </cell>
          <cell r="G22">
            <v>25.324350629342639</v>
          </cell>
        </row>
        <row r="23">
          <cell r="B23">
            <v>2029</v>
          </cell>
          <cell r="C23">
            <v>0</v>
          </cell>
          <cell r="E23">
            <v>29.874757434483559</v>
          </cell>
          <cell r="G23">
            <v>29.874757434483559</v>
          </cell>
        </row>
        <row r="24">
          <cell r="B24">
            <v>2030</v>
          </cell>
          <cell r="C24">
            <v>0</v>
          </cell>
          <cell r="E24">
            <v>34.204236332063758</v>
          </cell>
          <cell r="G24">
            <v>34.204236332063758</v>
          </cell>
        </row>
        <row r="25">
          <cell r="B25">
            <v>2031</v>
          </cell>
          <cell r="C25">
            <v>0</v>
          </cell>
          <cell r="E25">
            <v>37.21898377243658</v>
          </cell>
          <cell r="G25">
            <v>37.21898377243658</v>
          </cell>
        </row>
        <row r="26">
          <cell r="B26">
            <v>2032</v>
          </cell>
          <cell r="C26">
            <v>0</v>
          </cell>
          <cell r="E26">
            <v>39.40284719726283</v>
          </cell>
          <cell r="G26">
            <v>39.40284719726283</v>
          </cell>
        </row>
        <row r="27">
          <cell r="B27">
            <v>2033</v>
          </cell>
          <cell r="C27">
            <v>110.02609468992048</v>
          </cell>
          <cell r="E27">
            <v>8.3459122632696198E-2</v>
          </cell>
          <cell r="G27">
            <v>43.489448373859133</v>
          </cell>
        </row>
        <row r="28">
          <cell r="B28">
            <v>2034</v>
          </cell>
          <cell r="C28">
            <v>112.45101497638136</v>
          </cell>
          <cell r="E28">
            <v>0.11720765938017957</v>
          </cell>
          <cell r="G28">
            <v>44.702770847916447</v>
          </cell>
        </row>
        <row r="29">
          <cell r="B29">
            <v>2035</v>
          </cell>
          <cell r="C29">
            <v>114.92256834527423</v>
          </cell>
          <cell r="E29">
            <v>-9.3960169024378856E-2</v>
          </cell>
          <cell r="G29">
            <v>45.700518784219334</v>
          </cell>
        </row>
        <row r="30">
          <cell r="B30">
            <v>2036</v>
          </cell>
          <cell r="C30">
            <v>117.4500814130854</v>
          </cell>
          <cell r="E30">
            <v>-0.22874479298606457</v>
          </cell>
          <cell r="G30">
            <v>46.6551783929404</v>
          </cell>
        </row>
        <row r="31">
          <cell r="B31">
            <v>2037</v>
          </cell>
          <cell r="C31">
            <v>120.0335541798149</v>
          </cell>
          <cell r="E31">
            <v>-0.23379511612261597</v>
          </cell>
          <cell r="G31">
            <v>47.77621883094983</v>
          </cell>
        </row>
        <row r="32">
          <cell r="B32">
            <v>2038</v>
          </cell>
          <cell r="C32">
            <v>122.67298664546274</v>
          </cell>
          <cell r="E32">
            <v>-0.23893860867731351</v>
          </cell>
          <cell r="G32">
            <v>48.826773391776769</v>
          </cell>
        </row>
        <row r="33">
          <cell r="B33">
            <v>2039</v>
          </cell>
          <cell r="C33">
            <v>125.37770542651529</v>
          </cell>
          <cell r="E33" t="e">
            <v>#DIV/0!</v>
          </cell>
          <cell r="G33" t="e">
            <v>#DIV/0!</v>
          </cell>
        </row>
        <row r="34">
          <cell r="B34">
            <v>2040</v>
          </cell>
          <cell r="C34">
            <v>128.13838390648615</v>
          </cell>
          <cell r="E34" t="e">
            <v>#DIV/0!</v>
          </cell>
          <cell r="G34" t="e">
            <v>#DIV/0!</v>
          </cell>
        </row>
        <row r="44">
          <cell r="G44">
            <v>23.891966948509985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/>
      <sheetData sheetId="1">
        <row r="13">
          <cell r="B13">
            <v>2019</v>
          </cell>
          <cell r="C13">
            <v>0</v>
          </cell>
          <cell r="E13">
            <v>16.882472401167487</v>
          </cell>
          <cell r="G13">
            <v>16.882472401167487</v>
          </cell>
        </row>
        <row r="14">
          <cell r="B14">
            <v>2020</v>
          </cell>
          <cell r="C14">
            <v>0</v>
          </cell>
          <cell r="E14">
            <v>14.146235186374771</v>
          </cell>
          <cell r="G14">
            <v>14.146235186374771</v>
          </cell>
        </row>
        <row r="15">
          <cell r="B15">
            <v>2021</v>
          </cell>
          <cell r="C15">
            <v>0</v>
          </cell>
          <cell r="E15">
            <v>14.157995177858837</v>
          </cell>
          <cell r="G15">
            <v>14.157995177858837</v>
          </cell>
        </row>
        <row r="16">
          <cell r="B16">
            <v>2022</v>
          </cell>
          <cell r="C16">
            <v>0</v>
          </cell>
          <cell r="E16">
            <v>15.31566647190261</v>
          </cell>
          <cell r="G16">
            <v>15.31566647190261</v>
          </cell>
        </row>
        <row r="17">
          <cell r="B17">
            <v>2023</v>
          </cell>
          <cell r="C17">
            <v>0</v>
          </cell>
          <cell r="E17">
            <v>16.714276231879023</v>
          </cell>
          <cell r="G17">
            <v>16.714276231879023</v>
          </cell>
        </row>
        <row r="18">
          <cell r="B18">
            <v>2024</v>
          </cell>
          <cell r="C18">
            <v>0</v>
          </cell>
          <cell r="E18">
            <v>18.42453871474514</v>
          </cell>
          <cell r="G18">
            <v>18.42453871474514</v>
          </cell>
        </row>
        <row r="19">
          <cell r="B19">
            <v>2025</v>
          </cell>
          <cell r="C19">
            <v>0</v>
          </cell>
          <cell r="E19">
            <v>22.753780463479387</v>
          </cell>
          <cell r="G19">
            <v>22.753780463479387</v>
          </cell>
        </row>
        <row r="20">
          <cell r="B20">
            <v>2026</v>
          </cell>
          <cell r="C20">
            <v>0</v>
          </cell>
          <cell r="E20">
            <v>25.997832489718775</v>
          </cell>
          <cell r="G20">
            <v>25.997832489718775</v>
          </cell>
        </row>
        <row r="21">
          <cell r="B21">
            <v>2027</v>
          </cell>
          <cell r="C21">
            <v>0</v>
          </cell>
          <cell r="E21">
            <v>27.270565605117778</v>
          </cell>
          <cell r="G21">
            <v>27.270565605117778</v>
          </cell>
        </row>
        <row r="22">
          <cell r="B22">
            <v>2028</v>
          </cell>
          <cell r="C22">
            <v>0</v>
          </cell>
          <cell r="E22">
            <v>31.046723781301797</v>
          </cell>
          <cell r="G22">
            <v>31.046723781301797</v>
          </cell>
        </row>
        <row r="23">
          <cell r="B23">
            <v>2029</v>
          </cell>
          <cell r="C23">
            <v>0</v>
          </cell>
          <cell r="E23">
            <v>35.042155199932118</v>
          </cell>
          <cell r="G23">
            <v>35.042155199932118</v>
          </cell>
        </row>
        <row r="24">
          <cell r="B24">
            <v>2030</v>
          </cell>
          <cell r="C24">
            <v>149.94183362341775</v>
          </cell>
          <cell r="E24">
            <v>-5.0936131127055413</v>
          </cell>
          <cell r="G24">
            <v>50.113633780191641</v>
          </cell>
        </row>
        <row r="25">
          <cell r="B25">
            <v>2031</v>
          </cell>
          <cell r="C25">
            <v>153.39692681962029</v>
          </cell>
          <cell r="E25">
            <v>-6.4601423605839621</v>
          </cell>
          <cell r="G25">
            <v>50.019239056156543</v>
          </cell>
        </row>
        <row r="26">
          <cell r="B26">
            <v>2032</v>
          </cell>
          <cell r="C26">
            <v>156.91956661392408</v>
          </cell>
          <cell r="E26">
            <v>-7.6337938733639215</v>
          </cell>
          <cell r="G26">
            <v>50.089236201927498</v>
          </cell>
        </row>
        <row r="27">
          <cell r="B27">
            <v>2033</v>
          </cell>
          <cell r="C27">
            <v>160.3722064082279</v>
          </cell>
          <cell r="E27">
            <v>-6.2408212802105654</v>
          </cell>
          <cell r="G27">
            <v>52.806795918962735</v>
          </cell>
        </row>
        <row r="28">
          <cell r="B28">
            <v>2034</v>
          </cell>
          <cell r="C28">
            <v>163.89729960443043</v>
          </cell>
          <cell r="E28">
            <v>-6.6197328031161549</v>
          </cell>
          <cell r="G28">
            <v>53.725792296076527</v>
          </cell>
        </row>
        <row r="29">
          <cell r="B29">
            <v>2035</v>
          </cell>
          <cell r="C29">
            <v>167.4999393987342</v>
          </cell>
          <cell r="E29">
            <v>-6.7631585494142419</v>
          </cell>
          <cell r="G29">
            <v>54.908826416141181</v>
          </cell>
        </row>
        <row r="30">
          <cell r="B30">
            <v>2036</v>
          </cell>
          <cell r="C30">
            <v>171.18257919303801</v>
          </cell>
          <cell r="E30">
            <v>-7.3177392080390868</v>
          </cell>
          <cell r="G30">
            <v>55.651955268856661</v>
          </cell>
        </row>
        <row r="31">
          <cell r="B31">
            <v>2037</v>
          </cell>
          <cell r="C31">
            <v>174.9452189873418</v>
          </cell>
          <cell r="E31">
            <v>-7.4240214429757758</v>
          </cell>
          <cell r="G31">
            <v>57.072961424757963</v>
          </cell>
        </row>
        <row r="32">
          <cell r="B32">
            <v>2038</v>
          </cell>
          <cell r="C32">
            <v>178.79031218354436</v>
          </cell>
          <cell r="E32">
            <v>-7.5873499147212442</v>
          </cell>
          <cell r="G32">
            <v>58.327201900799871</v>
          </cell>
        </row>
        <row r="44">
          <cell r="G44">
            <v>27.789907286836812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E13">
            <v>27.214535464519916</v>
          </cell>
          <cell r="G13">
            <v>27.214535464519916</v>
          </cell>
        </row>
        <row r="14">
          <cell r="B14">
            <v>2020</v>
          </cell>
          <cell r="C14">
            <v>0</v>
          </cell>
          <cell r="E14">
            <v>21.071700440379477</v>
          </cell>
          <cell r="G14">
            <v>21.071700440379477</v>
          </cell>
        </row>
        <row r="15">
          <cell r="B15">
            <v>2021</v>
          </cell>
          <cell r="C15">
            <v>0</v>
          </cell>
          <cell r="E15">
            <v>17.468405392529604</v>
          </cell>
          <cell r="G15">
            <v>17.468405392529604</v>
          </cell>
        </row>
        <row r="16">
          <cell r="B16">
            <v>2022</v>
          </cell>
          <cell r="C16">
            <v>0</v>
          </cell>
          <cell r="E16">
            <v>17.993333658985879</v>
          </cell>
          <cell r="G16">
            <v>17.993333658985879</v>
          </cell>
        </row>
        <row r="17">
          <cell r="B17">
            <v>2023</v>
          </cell>
          <cell r="C17">
            <v>0</v>
          </cell>
          <cell r="E17">
            <v>17.842774658032699</v>
          </cell>
          <cell r="G17">
            <v>17.842774658032699</v>
          </cell>
        </row>
        <row r="18">
          <cell r="B18">
            <v>2024</v>
          </cell>
          <cell r="C18">
            <v>0</v>
          </cell>
          <cell r="E18">
            <v>23.565067788821395</v>
          </cell>
          <cell r="G18">
            <v>23.565067788821395</v>
          </cell>
        </row>
        <row r="19">
          <cell r="B19">
            <v>2025</v>
          </cell>
          <cell r="C19">
            <v>0</v>
          </cell>
          <cell r="E19">
            <v>24.447666887669445</v>
          </cell>
          <cell r="G19">
            <v>24.447666887669445</v>
          </cell>
        </row>
        <row r="20">
          <cell r="B20">
            <v>2026</v>
          </cell>
          <cell r="C20">
            <v>0</v>
          </cell>
          <cell r="E20">
            <v>25.881062722980637</v>
          </cell>
          <cell r="G20">
            <v>25.881062722980637</v>
          </cell>
        </row>
        <row r="21">
          <cell r="B21">
            <v>2027</v>
          </cell>
          <cell r="C21">
            <v>0</v>
          </cell>
          <cell r="E21">
            <v>26.503160807065495</v>
          </cell>
          <cell r="G21">
            <v>26.503160807065495</v>
          </cell>
        </row>
        <row r="22">
          <cell r="B22">
            <v>2028</v>
          </cell>
          <cell r="C22">
            <v>0</v>
          </cell>
          <cell r="E22">
            <v>30.322864547780593</v>
          </cell>
          <cell r="G22">
            <v>30.322864547780593</v>
          </cell>
        </row>
        <row r="23">
          <cell r="B23">
            <v>2029</v>
          </cell>
          <cell r="C23">
            <v>0</v>
          </cell>
          <cell r="E23">
            <v>35.11610044338974</v>
          </cell>
          <cell r="G23">
            <v>35.11610044338974</v>
          </cell>
        </row>
        <row r="24">
          <cell r="B24">
            <v>2030</v>
          </cell>
          <cell r="C24">
            <v>0</v>
          </cell>
          <cell r="E24">
            <v>39.425255242849154</v>
          </cell>
          <cell r="G24">
            <v>39.425255242849154</v>
          </cell>
        </row>
        <row r="25">
          <cell r="B25">
            <v>2031</v>
          </cell>
          <cell r="C25">
            <v>0</v>
          </cell>
          <cell r="E25">
            <v>42.212102849932023</v>
          </cell>
          <cell r="G25">
            <v>42.212102849932023</v>
          </cell>
        </row>
        <row r="26">
          <cell r="B26">
            <v>2032</v>
          </cell>
          <cell r="C26">
            <v>0</v>
          </cell>
          <cell r="E26">
            <v>43.933104551535472</v>
          </cell>
          <cell r="G26">
            <v>43.933104551535472</v>
          </cell>
        </row>
        <row r="27">
          <cell r="B27">
            <v>2033</v>
          </cell>
          <cell r="C27">
            <v>0</v>
          </cell>
          <cell r="E27">
            <v>50.004087279519418</v>
          </cell>
          <cell r="G27">
            <v>50.004087279519418</v>
          </cell>
        </row>
        <row r="28">
          <cell r="B28">
            <v>2034</v>
          </cell>
          <cell r="C28">
            <v>0</v>
          </cell>
          <cell r="E28">
            <v>52.362132862852114</v>
          </cell>
          <cell r="G28">
            <v>52.362132862852114</v>
          </cell>
        </row>
        <row r="29">
          <cell r="B29">
            <v>2035</v>
          </cell>
          <cell r="C29">
            <v>0</v>
          </cell>
          <cell r="E29">
            <v>56.511956654915167</v>
          </cell>
          <cell r="G29">
            <v>56.511956654915167</v>
          </cell>
        </row>
        <row r="30">
          <cell r="B30">
            <v>2036</v>
          </cell>
          <cell r="C30">
            <v>0</v>
          </cell>
          <cell r="E30">
            <v>58.323787025052916</v>
          </cell>
          <cell r="G30">
            <v>58.323787025052916</v>
          </cell>
        </row>
        <row r="31">
          <cell r="B31">
            <v>2037</v>
          </cell>
          <cell r="C31">
            <v>0</v>
          </cell>
          <cell r="E31">
            <v>59.646324744386376</v>
          </cell>
          <cell r="G31">
            <v>59.646324744386376</v>
          </cell>
        </row>
        <row r="32">
          <cell r="B32">
            <v>2038</v>
          </cell>
          <cell r="C32">
            <v>0</v>
          </cell>
          <cell r="E32">
            <v>61.018190213507253</v>
          </cell>
          <cell r="G32">
            <v>61.018190213507253</v>
          </cell>
        </row>
        <row r="33">
          <cell r="B33">
            <v>2039</v>
          </cell>
          <cell r="C33">
            <v>0</v>
          </cell>
          <cell r="E33" t="e">
            <v>#DIV/0!</v>
          </cell>
          <cell r="G33" t="e">
            <v>#DIV/0!</v>
          </cell>
        </row>
        <row r="44">
          <cell r="G44">
            <v>28.13328275027304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D13">
            <v>0</v>
          </cell>
          <cell r="E13">
            <v>26.405829079548596</v>
          </cell>
          <cell r="F13">
            <v>0</v>
          </cell>
          <cell r="G13">
            <v>26.405829079548596</v>
          </cell>
        </row>
        <row r="14">
          <cell r="B14">
            <v>2020</v>
          </cell>
          <cell r="C14">
            <v>0</v>
          </cell>
          <cell r="D14">
            <v>0</v>
          </cell>
          <cell r="E14">
            <v>19.947930117922027</v>
          </cell>
          <cell r="F14">
            <v>0</v>
          </cell>
          <cell r="G14">
            <v>19.947930117922027</v>
          </cell>
        </row>
        <row r="15">
          <cell r="B15">
            <v>2021</v>
          </cell>
          <cell r="C15">
            <v>0</v>
          </cell>
          <cell r="D15">
            <v>0</v>
          </cell>
          <cell r="E15">
            <v>13.989735108830107</v>
          </cell>
          <cell r="F15">
            <v>0</v>
          </cell>
          <cell r="G15">
            <v>13.989735108830107</v>
          </cell>
        </row>
        <row r="16">
          <cell r="B16">
            <v>2022</v>
          </cell>
          <cell r="C16">
            <v>0</v>
          </cell>
          <cell r="D16">
            <v>0</v>
          </cell>
          <cell r="E16">
            <v>13.751506078419784</v>
          </cell>
          <cell r="F16">
            <v>0</v>
          </cell>
          <cell r="G16">
            <v>13.751506078419784</v>
          </cell>
        </row>
        <row r="17">
          <cell r="B17">
            <v>2023</v>
          </cell>
          <cell r="C17">
            <v>0</v>
          </cell>
          <cell r="D17">
            <v>0</v>
          </cell>
          <cell r="E17">
            <v>14.1857737174201</v>
          </cell>
          <cell r="F17">
            <v>0</v>
          </cell>
          <cell r="G17">
            <v>14.1857737174201</v>
          </cell>
        </row>
        <row r="18">
          <cell r="B18">
            <v>2024</v>
          </cell>
          <cell r="C18">
            <v>0</v>
          </cell>
          <cell r="D18">
            <v>0</v>
          </cell>
          <cell r="E18">
            <v>18.329586269994621</v>
          </cell>
          <cell r="F18">
            <v>0</v>
          </cell>
          <cell r="G18">
            <v>18.329586269994621</v>
          </cell>
        </row>
        <row r="19">
          <cell r="B19">
            <v>2025</v>
          </cell>
          <cell r="C19">
            <v>0</v>
          </cell>
          <cell r="D19">
            <v>0</v>
          </cell>
          <cell r="E19">
            <v>19.352279653815064</v>
          </cell>
          <cell r="F19">
            <v>0</v>
          </cell>
          <cell r="G19">
            <v>19.352279653815064</v>
          </cell>
        </row>
        <row r="20">
          <cell r="B20">
            <v>2026</v>
          </cell>
          <cell r="C20">
            <v>0</v>
          </cell>
          <cell r="D20">
            <v>0</v>
          </cell>
          <cell r="E20">
            <v>20.866919173193175</v>
          </cell>
          <cell r="F20">
            <v>0</v>
          </cell>
          <cell r="G20">
            <v>20.866919173193175</v>
          </cell>
        </row>
        <row r="21">
          <cell r="B21">
            <v>2027</v>
          </cell>
          <cell r="C21">
            <v>0</v>
          </cell>
          <cell r="D21">
            <v>0</v>
          </cell>
          <cell r="E21">
            <v>19.543430670132494</v>
          </cell>
          <cell r="F21">
            <v>0</v>
          </cell>
          <cell r="G21">
            <v>19.543430670132494</v>
          </cell>
        </row>
        <row r="22">
          <cell r="B22">
            <v>2028</v>
          </cell>
          <cell r="C22">
            <v>0</v>
          </cell>
          <cell r="D22">
            <v>0</v>
          </cell>
          <cell r="E22">
            <v>23.321273692301997</v>
          </cell>
          <cell r="F22">
            <v>0</v>
          </cell>
          <cell r="G22">
            <v>23.321273692301997</v>
          </cell>
        </row>
        <row r="23">
          <cell r="B23">
            <v>2029</v>
          </cell>
          <cell r="C23">
            <v>0</v>
          </cell>
          <cell r="D23">
            <v>0</v>
          </cell>
          <cell r="E23">
            <v>26.70024039048533</v>
          </cell>
          <cell r="F23">
            <v>0</v>
          </cell>
          <cell r="G23">
            <v>26.70024039048533</v>
          </cell>
        </row>
        <row r="24">
          <cell r="B24">
            <v>2030</v>
          </cell>
          <cell r="C24">
            <v>0</v>
          </cell>
          <cell r="D24">
            <v>0</v>
          </cell>
          <cell r="E24">
            <v>30.721683422908203</v>
          </cell>
          <cell r="F24">
            <v>0</v>
          </cell>
          <cell r="G24">
            <v>30.721683422908203</v>
          </cell>
        </row>
        <row r="25">
          <cell r="B25">
            <v>2031</v>
          </cell>
          <cell r="C25">
            <v>0</v>
          </cell>
          <cell r="D25">
            <v>0</v>
          </cell>
          <cell r="E25">
            <v>32.982896419273906</v>
          </cell>
          <cell r="F25">
            <v>0</v>
          </cell>
          <cell r="G25">
            <v>32.982896419273906</v>
          </cell>
        </row>
        <row r="26">
          <cell r="B26">
            <v>2032</v>
          </cell>
          <cell r="C26">
            <v>0</v>
          </cell>
          <cell r="D26">
            <v>0</v>
          </cell>
          <cell r="E26">
            <v>34.259019111209987</v>
          </cell>
          <cell r="F26">
            <v>0</v>
          </cell>
          <cell r="G26">
            <v>34.259019111209987</v>
          </cell>
        </row>
        <row r="27">
          <cell r="B27">
            <v>2033</v>
          </cell>
          <cell r="C27">
            <v>108.05446572251688</v>
          </cell>
          <cell r="D27">
            <v>0</v>
          </cell>
          <cell r="E27">
            <v>1.0152922914212843</v>
          </cell>
          <cell r="F27">
            <v>0</v>
          </cell>
          <cell r="G27">
            <v>43.64346146271383</v>
          </cell>
        </row>
        <row r="28">
          <cell r="B28">
            <v>2034</v>
          </cell>
          <cell r="C28">
            <v>110.53664437115204</v>
          </cell>
          <cell r="D28">
            <v>0</v>
          </cell>
          <cell r="E28">
            <v>1.0558950303549963</v>
          </cell>
          <cell r="F28">
            <v>0</v>
          </cell>
          <cell r="G28">
            <v>44.882431796553895</v>
          </cell>
        </row>
        <row r="29">
          <cell r="B29">
            <v>2035</v>
          </cell>
          <cell r="C29">
            <v>112.97346796724783</v>
          </cell>
          <cell r="D29">
            <v>0</v>
          </cell>
          <cell r="E29">
            <v>1.0747495525082984</v>
          </cell>
          <cell r="F29">
            <v>0</v>
          </cell>
          <cell r="G29">
            <v>46.092548715833637</v>
          </cell>
        </row>
        <row r="30">
          <cell r="B30">
            <v>2036</v>
          </cell>
          <cell r="C30">
            <v>115.45564661588301</v>
          </cell>
          <cell r="D30">
            <v>0</v>
          </cell>
          <cell r="E30">
            <v>1.0802189503318544</v>
          </cell>
          <cell r="F30">
            <v>0</v>
          </cell>
          <cell r="G30">
            <v>47.168000262992997</v>
          </cell>
        </row>
        <row r="31">
          <cell r="B31">
            <v>2037</v>
          </cell>
          <cell r="C31">
            <v>118.00132233807328</v>
          </cell>
          <cell r="D31">
            <v>0</v>
          </cell>
          <cell r="E31">
            <v>1.1017591100246524</v>
          </cell>
          <cell r="F31">
            <v>0</v>
          </cell>
          <cell r="G31">
            <v>48.298938014992636</v>
          </cell>
        </row>
        <row r="32">
          <cell r="B32">
            <v>2038</v>
          </cell>
          <cell r="C32">
            <v>120.71324900750403</v>
          </cell>
          <cell r="D32">
            <v>0</v>
          </cell>
          <cell r="E32">
            <v>1.1270995695552191</v>
          </cell>
          <cell r="F32">
            <v>0</v>
          </cell>
          <cell r="G32">
            <v>49.408972151324313</v>
          </cell>
        </row>
        <row r="44">
          <cell r="G44">
            <v>22.455080636551653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  <cell r="C13">
            <v>0</v>
          </cell>
          <cell r="D13">
            <v>0</v>
          </cell>
          <cell r="E13">
            <v>24.05497340674702</v>
          </cell>
          <cell r="F13">
            <v>0</v>
          </cell>
          <cell r="G13">
            <v>24.05497340674702</v>
          </cell>
        </row>
        <row r="14">
          <cell r="B14">
            <v>2020</v>
          </cell>
          <cell r="C14">
            <v>0</v>
          </cell>
          <cell r="D14">
            <v>0</v>
          </cell>
          <cell r="E14">
            <v>18.620053418474143</v>
          </cell>
          <cell r="F14">
            <v>0</v>
          </cell>
          <cell r="G14">
            <v>18.620053418474143</v>
          </cell>
        </row>
        <row r="15">
          <cell r="B15">
            <v>2021</v>
          </cell>
          <cell r="C15">
            <v>0</v>
          </cell>
          <cell r="D15">
            <v>0</v>
          </cell>
          <cell r="E15">
            <v>16.88985957208418</v>
          </cell>
          <cell r="F15">
            <v>0</v>
          </cell>
          <cell r="G15">
            <v>16.88985957208418</v>
          </cell>
        </row>
        <row r="16">
          <cell r="B16">
            <v>2022</v>
          </cell>
          <cell r="C16">
            <v>0</v>
          </cell>
          <cell r="D16">
            <v>0</v>
          </cell>
          <cell r="E16">
            <v>15.078972110412282</v>
          </cell>
          <cell r="F16">
            <v>0</v>
          </cell>
          <cell r="G16">
            <v>15.078972110412282</v>
          </cell>
        </row>
        <row r="17">
          <cell r="B17">
            <v>2023</v>
          </cell>
          <cell r="C17">
            <v>0</v>
          </cell>
          <cell r="D17">
            <v>0</v>
          </cell>
          <cell r="E17">
            <v>15.46649147515234</v>
          </cell>
          <cell r="F17">
            <v>0</v>
          </cell>
          <cell r="G17">
            <v>15.46649147515234</v>
          </cell>
        </row>
        <row r="18">
          <cell r="B18">
            <v>2024</v>
          </cell>
          <cell r="C18">
            <v>0</v>
          </cell>
          <cell r="D18">
            <v>0</v>
          </cell>
          <cell r="E18">
            <v>22.374230352906306</v>
          </cell>
          <cell r="F18">
            <v>0</v>
          </cell>
          <cell r="G18">
            <v>22.374230352906306</v>
          </cell>
        </row>
        <row r="19">
          <cell r="B19">
            <v>2025</v>
          </cell>
          <cell r="C19">
            <v>0</v>
          </cell>
          <cell r="D19">
            <v>0</v>
          </cell>
          <cell r="E19">
            <v>22.849800360823043</v>
          </cell>
          <cell r="F19">
            <v>0</v>
          </cell>
          <cell r="G19">
            <v>22.849800360823043</v>
          </cell>
        </row>
        <row r="20">
          <cell r="B20">
            <v>2026</v>
          </cell>
          <cell r="C20">
            <v>0</v>
          </cell>
          <cell r="D20">
            <v>0</v>
          </cell>
          <cell r="E20">
            <v>23.833979424519356</v>
          </cell>
          <cell r="F20">
            <v>0</v>
          </cell>
          <cell r="G20">
            <v>23.833979424519356</v>
          </cell>
        </row>
        <row r="21">
          <cell r="B21">
            <v>2027</v>
          </cell>
          <cell r="C21">
            <v>0</v>
          </cell>
          <cell r="D21">
            <v>0</v>
          </cell>
          <cell r="E21">
            <v>24.988991477120209</v>
          </cell>
          <cell r="F21">
            <v>0</v>
          </cell>
          <cell r="G21">
            <v>24.988991477120209</v>
          </cell>
        </row>
        <row r="22">
          <cell r="B22">
            <v>2028</v>
          </cell>
          <cell r="C22">
            <v>0</v>
          </cell>
          <cell r="D22">
            <v>0</v>
          </cell>
          <cell r="E22">
            <v>28.429259846123532</v>
          </cell>
          <cell r="F22">
            <v>0</v>
          </cell>
          <cell r="G22">
            <v>28.429259846123532</v>
          </cell>
        </row>
        <row r="23">
          <cell r="B23">
            <v>2029</v>
          </cell>
          <cell r="C23">
            <v>0</v>
          </cell>
          <cell r="D23">
            <v>0</v>
          </cell>
          <cell r="E23">
            <v>33.160844619322035</v>
          </cell>
          <cell r="F23">
            <v>0</v>
          </cell>
          <cell r="G23">
            <v>33.160844619322035</v>
          </cell>
        </row>
        <row r="24">
          <cell r="B24">
            <v>2030</v>
          </cell>
          <cell r="C24">
            <v>149.93</v>
          </cell>
          <cell r="D24">
            <v>0</v>
          </cell>
          <cell r="E24">
            <v>2.8427096219438726</v>
          </cell>
          <cell r="F24">
            <v>0</v>
          </cell>
          <cell r="G24">
            <v>58.045599480157179</v>
          </cell>
        </row>
        <row r="25">
          <cell r="B25">
            <v>2031</v>
          </cell>
          <cell r="C25">
            <v>153.38</v>
          </cell>
          <cell r="D25">
            <v>0</v>
          </cell>
          <cell r="E25">
            <v>0.7607212303737233</v>
          </cell>
          <cell r="F25">
            <v>0</v>
          </cell>
          <cell r="G25">
            <v>57.23387034297798</v>
          </cell>
        </row>
        <row r="26">
          <cell r="B26">
            <v>2032</v>
          </cell>
          <cell r="C26">
            <v>156.9</v>
          </cell>
          <cell r="D26">
            <v>0</v>
          </cell>
          <cell r="E26">
            <v>8.8865969963249733E-2</v>
          </cell>
          <cell r="F26">
            <v>0</v>
          </cell>
          <cell r="G26">
            <v>57.804698445437246</v>
          </cell>
        </row>
        <row r="27">
          <cell r="B27">
            <v>2033</v>
          </cell>
          <cell r="C27">
            <v>160.5</v>
          </cell>
          <cell r="D27">
            <v>0</v>
          </cell>
          <cell r="E27">
            <v>1.027402126227017</v>
          </cell>
          <cell r="F27">
            <v>0</v>
          </cell>
          <cell r="G27">
            <v>60.122071787023621</v>
          </cell>
        </row>
        <row r="28">
          <cell r="B28">
            <v>2034</v>
          </cell>
          <cell r="C28">
            <v>164.19</v>
          </cell>
          <cell r="D28">
            <v>0</v>
          </cell>
          <cell r="E28">
            <v>1.2731394526553772</v>
          </cell>
          <cell r="F28">
            <v>0</v>
          </cell>
          <cell r="G28">
            <v>61.726434229017954</v>
          </cell>
        </row>
        <row r="29">
          <cell r="B29">
            <v>2035</v>
          </cell>
          <cell r="C29">
            <v>167.81</v>
          </cell>
          <cell r="D29">
            <v>0</v>
          </cell>
          <cell r="E29">
            <v>0.92843957891101114</v>
          </cell>
          <cell r="F29">
            <v>0</v>
          </cell>
          <cell r="G29">
            <v>62.714586094663531</v>
          </cell>
        </row>
        <row r="30">
          <cell r="B30">
            <v>2036</v>
          </cell>
          <cell r="C30">
            <v>171.5</v>
          </cell>
          <cell r="D30">
            <v>0</v>
          </cell>
          <cell r="E30">
            <v>-0.68615141567213378</v>
          </cell>
          <cell r="F30">
            <v>0</v>
          </cell>
          <cell r="G30">
            <v>62.400306643880391</v>
          </cell>
        </row>
        <row r="31">
          <cell r="B31">
            <v>2037</v>
          </cell>
          <cell r="C31">
            <v>175.26</v>
          </cell>
          <cell r="D31">
            <v>0</v>
          </cell>
          <cell r="E31">
            <v>-0.63314813076797294</v>
          </cell>
          <cell r="F31">
            <v>0</v>
          </cell>
          <cell r="G31">
            <v>63.979884925121944</v>
          </cell>
        </row>
        <row r="32">
          <cell r="B32">
            <v>2038</v>
          </cell>
          <cell r="C32">
            <v>179.28</v>
          </cell>
          <cell r="D32">
            <v>0</v>
          </cell>
          <cell r="E32">
            <v>-0.64771053777563614</v>
          </cell>
          <cell r="F32">
            <v>0</v>
          </cell>
          <cell r="G32">
            <v>65.447374286256917</v>
          </cell>
        </row>
        <row r="44">
          <cell r="G44">
            <v>29.891038307000581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F26" sqref="F26"/>
    </sheetView>
  </sheetViews>
  <sheetFormatPr defaultColWidth="9.33203125" defaultRowHeight="12.75"/>
  <cols>
    <col min="1" max="1" width="14" style="54" customWidth="1"/>
    <col min="2" max="2" width="11.6640625" style="54" customWidth="1"/>
    <col min="3" max="11" width="17.5" style="54" customWidth="1"/>
    <col min="12" max="12" width="9.33203125" style="54" customWidth="1"/>
    <col min="13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302" t="s">
        <v>175</v>
      </c>
      <c r="C1" s="303"/>
      <c r="D1" s="303"/>
      <c r="E1" s="303"/>
      <c r="F1" s="303"/>
      <c r="G1" s="303"/>
      <c r="H1" s="303"/>
      <c r="I1" s="304"/>
      <c r="J1" s="304"/>
      <c r="K1" s="304"/>
      <c r="L1" s="305"/>
    </row>
    <row r="2" spans="2:12" ht="5.25" customHeight="1">
      <c r="B2" s="302"/>
      <c r="C2" s="303"/>
      <c r="D2" s="303"/>
      <c r="E2" s="303"/>
      <c r="F2" s="303"/>
      <c r="G2" s="303"/>
      <c r="H2" s="303"/>
      <c r="I2" s="304"/>
      <c r="J2" s="304"/>
      <c r="K2" s="304"/>
      <c r="L2" s="305"/>
    </row>
    <row r="3" spans="2:12" ht="15.75">
      <c r="B3" s="306" t="s">
        <v>176</v>
      </c>
      <c r="C3" s="306"/>
      <c r="D3" s="306"/>
      <c r="E3" s="306"/>
      <c r="F3" s="306"/>
      <c r="G3" s="306"/>
      <c r="H3" s="306"/>
      <c r="I3" s="302"/>
      <c r="J3" s="302"/>
      <c r="K3" s="302"/>
      <c r="L3" s="305"/>
    </row>
    <row r="4" spans="2:12" ht="15.75">
      <c r="B4" s="4" t="s">
        <v>187</v>
      </c>
      <c r="C4" s="306"/>
      <c r="D4" s="306"/>
      <c r="E4" s="306"/>
      <c r="F4" s="306"/>
      <c r="G4" s="306"/>
      <c r="H4" s="306"/>
      <c r="I4" s="302"/>
      <c r="J4" s="302"/>
      <c r="K4" s="302"/>
      <c r="L4" s="305"/>
    </row>
    <row r="5" spans="2:12" ht="25.5" customHeight="1">
      <c r="C5" s="307" t="s">
        <v>177</v>
      </c>
      <c r="D5" s="307" t="s">
        <v>178</v>
      </c>
      <c r="E5" s="307" t="s">
        <v>74</v>
      </c>
      <c r="F5" s="307" t="s">
        <v>177</v>
      </c>
      <c r="G5" s="307" t="s">
        <v>178</v>
      </c>
      <c r="H5" s="307" t="s">
        <v>74</v>
      </c>
      <c r="I5" s="307" t="str">
        <f>C5</f>
        <v>Thermal</v>
      </c>
      <c r="J5" s="307" t="str">
        <f>D5</f>
        <v>Solar Tracking</v>
      </c>
      <c r="K5" s="307" t="str">
        <f>E5</f>
        <v>Wind</v>
      </c>
      <c r="L5" s="305"/>
    </row>
    <row r="6" spans="2:12">
      <c r="B6" s="307" t="s">
        <v>0</v>
      </c>
      <c r="C6" s="308" t="s">
        <v>179</v>
      </c>
      <c r="D6" s="308" t="s">
        <v>179</v>
      </c>
      <c r="E6" s="308" t="s">
        <v>179</v>
      </c>
      <c r="F6" s="308" t="s">
        <v>186</v>
      </c>
      <c r="G6" s="308" t="s">
        <v>186</v>
      </c>
      <c r="H6" s="308" t="s">
        <v>186</v>
      </c>
      <c r="I6" s="309"/>
      <c r="J6" s="309"/>
      <c r="K6" s="309"/>
      <c r="L6" s="310"/>
    </row>
    <row r="7" spans="2:12">
      <c r="B7" s="307"/>
      <c r="C7" s="311" t="s">
        <v>180</v>
      </c>
      <c r="D7" s="311" t="s">
        <v>181</v>
      </c>
      <c r="E7" s="311" t="s">
        <v>182</v>
      </c>
      <c r="F7" s="312" t="s">
        <v>183</v>
      </c>
      <c r="G7" s="312" t="s">
        <v>183</v>
      </c>
      <c r="H7" s="312" t="s">
        <v>183</v>
      </c>
      <c r="I7" s="313" t="s">
        <v>184</v>
      </c>
      <c r="J7" s="313" t="s">
        <v>184</v>
      </c>
      <c r="K7" s="313" t="s">
        <v>184</v>
      </c>
      <c r="L7" s="314"/>
    </row>
    <row r="8" spans="2:12" hidden="1">
      <c r="B8" s="315">
        <f>'Table 1'!B13</f>
        <v>2019</v>
      </c>
      <c r="C8" s="316">
        <f ca="1">VLOOKUP($B8,'Table 1'!$B$13:$G$32,6,FALSE)</f>
        <v>21.562641256729744</v>
      </c>
      <c r="D8" s="316">
        <f>VLOOKUP($B8,'[14]Table 1'!$B$13:$G$35,6,FALSE)</f>
        <v>20.284921289481957</v>
      </c>
      <c r="E8" s="316">
        <f>VLOOKUP($B8,'[15]Table 1'!$B$13:$G$32,6,FALSE)</f>
        <v>16.882472401167487</v>
      </c>
      <c r="F8" s="316">
        <f>VLOOKUP($B8,'[16]Table 1'!$B$13:$G$33,6,FALSE)</f>
        <v>27.214535464519916</v>
      </c>
      <c r="G8" s="316">
        <f>VLOOKUP($B8,'[17]Table 1'!$B$13:$G$32,6,FALSE)</f>
        <v>26.405829079548596</v>
      </c>
      <c r="H8" s="316">
        <f>VLOOKUP($B8,'[18]Table 1'!$B$13:$G$32,6,FALSE)</f>
        <v>24.05497340674702</v>
      </c>
      <c r="I8" s="316">
        <f t="shared" ref="I8:K23" ca="1" si="0">C8-F8</f>
        <v>-5.6518942077901713</v>
      </c>
      <c r="J8" s="316">
        <f t="shared" si="0"/>
        <v>-6.1209077900666387</v>
      </c>
      <c r="K8" s="317">
        <f t="shared" si="0"/>
        <v>-7.1725010055795337</v>
      </c>
      <c r="L8" s="318"/>
    </row>
    <row r="9" spans="2:12">
      <c r="B9" s="315">
        <f>'Table 1'!B14</f>
        <v>2020</v>
      </c>
      <c r="C9" s="316">
        <f ca="1">VLOOKUP($B9,'Table 1'!$B$13:$G$32,6,FALSE)</f>
        <v>18.297131969359192</v>
      </c>
      <c r="D9" s="316">
        <f>VLOOKUP($B9,'[14]Table 1'!$B$13:$G$35,6,FALSE)</f>
        <v>17.925598476804463</v>
      </c>
      <c r="E9" s="316">
        <f>VLOOKUP($B9,'[15]Table 1'!$B$13:$G$32,6,FALSE)</f>
        <v>14.146235186374771</v>
      </c>
      <c r="F9" s="316">
        <f>VLOOKUP($B9,'[16]Table 1'!$B$13:$G$33,6,FALSE)</f>
        <v>21.071700440379477</v>
      </c>
      <c r="G9" s="316">
        <f>VLOOKUP($B9,'[17]Table 1'!$B$13:$G$32,6,FALSE)</f>
        <v>19.947930117922027</v>
      </c>
      <c r="H9" s="316">
        <f>VLOOKUP($B9,'[18]Table 1'!$B$13:$G$32,6,FALSE)</f>
        <v>18.620053418474143</v>
      </c>
      <c r="I9" s="316">
        <f t="shared" ca="1" si="0"/>
        <v>-2.7745684710202845</v>
      </c>
      <c r="J9" s="316">
        <f t="shared" si="0"/>
        <v>-2.0223316411175638</v>
      </c>
      <c r="K9" s="317">
        <f t="shared" si="0"/>
        <v>-4.4738182320993722</v>
      </c>
      <c r="L9" s="318"/>
    </row>
    <row r="10" spans="2:12">
      <c r="B10" s="319">
        <f>'Table 1'!B15</f>
        <v>2021</v>
      </c>
      <c r="C10" s="320">
        <f ca="1">VLOOKUP($B10,'Table 1'!$B$13:$G$32,6,FALSE)</f>
        <v>17.224357312183997</v>
      </c>
      <c r="D10" s="320">
        <f>VLOOKUP($B10,'[14]Table 1'!$B$13:$G$35,6,FALSE)</f>
        <v>14.911715434585036</v>
      </c>
      <c r="E10" s="320">
        <f>VLOOKUP($B10,'[15]Table 1'!$B$13:$G$32,6,FALSE)</f>
        <v>14.157995177858837</v>
      </c>
      <c r="F10" s="320">
        <f>VLOOKUP($B10,'[16]Table 1'!$B$13:$G$33,6,FALSE)</f>
        <v>17.468405392529604</v>
      </c>
      <c r="G10" s="320">
        <f>VLOOKUP($B10,'[17]Table 1'!$B$13:$G$32,6,FALSE)</f>
        <v>13.989735108830107</v>
      </c>
      <c r="H10" s="320">
        <f>VLOOKUP($B10,'[18]Table 1'!$B$13:$G$32,6,FALSE)</f>
        <v>16.88985957208418</v>
      </c>
      <c r="I10" s="320">
        <f t="shared" ca="1" si="0"/>
        <v>-0.24404808034560688</v>
      </c>
      <c r="J10" s="320">
        <f t="shared" si="0"/>
        <v>0.92198032575492839</v>
      </c>
      <c r="K10" s="321">
        <f t="shared" si="0"/>
        <v>-2.7318643942253438</v>
      </c>
      <c r="L10" s="318"/>
    </row>
    <row r="11" spans="2:12">
      <c r="B11" s="319">
        <f>'Table 1'!B16</f>
        <v>2022</v>
      </c>
      <c r="C11" s="320">
        <f ca="1">VLOOKUP($B11,'Table 1'!$B$13:$G$32,6,FALSE)</f>
        <v>18.660952326368029</v>
      </c>
      <c r="D11" s="320">
        <f>VLOOKUP($B11,'[14]Table 1'!$B$13:$G$35,6,FALSE)</f>
        <v>15.825534360812256</v>
      </c>
      <c r="E11" s="320">
        <f>VLOOKUP($B11,'[15]Table 1'!$B$13:$G$32,6,FALSE)</f>
        <v>15.31566647190261</v>
      </c>
      <c r="F11" s="320">
        <f>VLOOKUP($B11,'[16]Table 1'!$B$13:$G$33,6,FALSE)</f>
        <v>17.993333658985879</v>
      </c>
      <c r="G11" s="320">
        <f>VLOOKUP($B11,'[17]Table 1'!$B$13:$G$32,6,FALSE)</f>
        <v>13.751506078419784</v>
      </c>
      <c r="H11" s="320">
        <f>VLOOKUP($B11,'[18]Table 1'!$B$13:$G$32,6,FALSE)</f>
        <v>15.078972110412282</v>
      </c>
      <c r="I11" s="320">
        <f t="shared" ca="1" si="0"/>
        <v>0.66761866738215048</v>
      </c>
      <c r="J11" s="320">
        <f t="shared" si="0"/>
        <v>2.0740282823924723</v>
      </c>
      <c r="K11" s="321">
        <f t="shared" si="0"/>
        <v>0.23669436149032741</v>
      </c>
      <c r="L11" s="318"/>
    </row>
    <row r="12" spans="2:12">
      <c r="B12" s="319">
        <f>'Table 1'!B17</f>
        <v>2023</v>
      </c>
      <c r="C12" s="320">
        <f ca="1">VLOOKUP($B12,'Table 1'!$B$13:$G$32,6,FALSE)</f>
        <v>19.45148502559686</v>
      </c>
      <c r="D12" s="320">
        <f>VLOOKUP($B12,'[14]Table 1'!$B$13:$G$35,6,FALSE)</f>
        <v>16.030794619642418</v>
      </c>
      <c r="E12" s="320">
        <f>VLOOKUP($B12,'[15]Table 1'!$B$13:$G$32,6,FALSE)</f>
        <v>16.714276231879023</v>
      </c>
      <c r="F12" s="320">
        <f>VLOOKUP($B12,'[16]Table 1'!$B$13:$G$33,6,FALSE)</f>
        <v>17.842774658032699</v>
      </c>
      <c r="G12" s="320">
        <f>VLOOKUP($B12,'[17]Table 1'!$B$13:$G$32,6,FALSE)</f>
        <v>14.1857737174201</v>
      </c>
      <c r="H12" s="320">
        <f>VLOOKUP($B12,'[18]Table 1'!$B$13:$G$32,6,FALSE)</f>
        <v>15.46649147515234</v>
      </c>
      <c r="I12" s="320">
        <f t="shared" ca="1" si="0"/>
        <v>1.6087103675641607</v>
      </c>
      <c r="J12" s="320">
        <f t="shared" si="0"/>
        <v>1.8450209022223181</v>
      </c>
      <c r="K12" s="321">
        <f t="shared" si="0"/>
        <v>1.2477847567266824</v>
      </c>
      <c r="L12" s="318"/>
    </row>
    <row r="13" spans="2:12">
      <c r="B13" s="319">
        <f>'Table 1'!B18</f>
        <v>2024</v>
      </c>
      <c r="C13" s="320">
        <f ca="1">VLOOKUP($B13,'Table 1'!$B$13:$G$32,6,FALSE)</f>
        <v>21.528149241182955</v>
      </c>
      <c r="D13" s="320">
        <f>VLOOKUP($B13,'[14]Table 1'!$B$13:$G$35,6,FALSE)</f>
        <v>17.23603406598242</v>
      </c>
      <c r="E13" s="320">
        <f>VLOOKUP($B13,'[15]Table 1'!$B$13:$G$32,6,FALSE)</f>
        <v>18.42453871474514</v>
      </c>
      <c r="F13" s="320">
        <f>VLOOKUP($B13,'[16]Table 1'!$B$13:$G$33,6,FALSE)</f>
        <v>23.565067788821395</v>
      </c>
      <c r="G13" s="320">
        <f>VLOOKUP($B13,'[17]Table 1'!$B$13:$G$32,6,FALSE)</f>
        <v>18.329586269994621</v>
      </c>
      <c r="H13" s="320">
        <f>VLOOKUP($B13,'[18]Table 1'!$B$13:$G$32,6,FALSE)</f>
        <v>22.374230352906306</v>
      </c>
      <c r="I13" s="320">
        <f t="shared" ca="1" si="0"/>
        <v>-2.0369185476384395</v>
      </c>
      <c r="J13" s="320">
        <f t="shared" si="0"/>
        <v>-1.0935522040122017</v>
      </c>
      <c r="K13" s="321">
        <f t="shared" si="0"/>
        <v>-3.9496916381611662</v>
      </c>
      <c r="L13" s="318"/>
    </row>
    <row r="14" spans="2:12">
      <c r="B14" s="319">
        <f>'Table 1'!B19</f>
        <v>2025</v>
      </c>
      <c r="C14" s="320">
        <f ca="1">VLOOKUP($B14,'Table 1'!$B$13:$G$32,6,FALSE)</f>
        <v>24.162167902656989</v>
      </c>
      <c r="D14" s="320">
        <f>VLOOKUP($B14,'[14]Table 1'!$B$13:$G$35,6,FALSE)</f>
        <v>20.641549905621247</v>
      </c>
      <c r="E14" s="320">
        <f>VLOOKUP($B14,'[15]Table 1'!$B$13:$G$32,6,FALSE)</f>
        <v>22.753780463479387</v>
      </c>
      <c r="F14" s="320">
        <f>VLOOKUP($B14,'[16]Table 1'!$B$13:$G$33,6,FALSE)</f>
        <v>24.447666887669445</v>
      </c>
      <c r="G14" s="320">
        <f>VLOOKUP($B14,'[17]Table 1'!$B$13:$G$32,6,FALSE)</f>
        <v>19.352279653815064</v>
      </c>
      <c r="H14" s="320">
        <f>VLOOKUP($B14,'[18]Table 1'!$B$13:$G$32,6,FALSE)</f>
        <v>22.849800360823043</v>
      </c>
      <c r="I14" s="320">
        <f t="shared" ca="1" si="0"/>
        <v>-0.28549898501245607</v>
      </c>
      <c r="J14" s="320">
        <f t="shared" si="0"/>
        <v>1.2892702518061832</v>
      </c>
      <c r="K14" s="321">
        <f t="shared" si="0"/>
        <v>-9.6019897343655458E-2</v>
      </c>
      <c r="L14" s="318"/>
    </row>
    <row r="15" spans="2:12">
      <c r="B15" s="319">
        <f>'Table 1'!B20</f>
        <v>2026</v>
      </c>
      <c r="C15" s="320">
        <f ca="1">VLOOKUP($B15,'Table 1'!$B$13:$G$32,6,FALSE)</f>
        <v>28.647492212382964</v>
      </c>
      <c r="D15" s="320">
        <f>VLOOKUP($B15,'[14]Table 1'!$B$13:$G$35,6,FALSE)</f>
        <v>22.280268325666171</v>
      </c>
      <c r="E15" s="320">
        <f>VLOOKUP($B15,'[15]Table 1'!$B$13:$G$32,6,FALSE)</f>
        <v>25.997832489718775</v>
      </c>
      <c r="F15" s="320">
        <f>VLOOKUP($B15,'[16]Table 1'!$B$13:$G$33,6,FALSE)</f>
        <v>25.881062722980637</v>
      </c>
      <c r="G15" s="320">
        <f>VLOOKUP($B15,'[17]Table 1'!$B$13:$G$32,6,FALSE)</f>
        <v>20.866919173193175</v>
      </c>
      <c r="H15" s="320">
        <f>VLOOKUP($B15,'[18]Table 1'!$B$13:$G$32,6,FALSE)</f>
        <v>23.833979424519356</v>
      </c>
      <c r="I15" s="320">
        <f t="shared" ca="1" si="0"/>
        <v>2.7664294894023271</v>
      </c>
      <c r="J15" s="320">
        <f t="shared" si="0"/>
        <v>1.4133491524729962</v>
      </c>
      <c r="K15" s="321">
        <f t="shared" si="0"/>
        <v>2.1638530651994188</v>
      </c>
      <c r="L15" s="318"/>
    </row>
    <row r="16" spans="2:12">
      <c r="B16" s="319">
        <f>'Table 1'!B21</f>
        <v>2027</v>
      </c>
      <c r="C16" s="320">
        <f ca="1">VLOOKUP($B16,'Table 1'!$B$13:$G$32,6,FALSE)</f>
        <v>30.057642263035369</v>
      </c>
      <c r="D16" s="320">
        <f>VLOOKUP($B16,'[14]Table 1'!$B$13:$G$35,6,FALSE)</f>
        <v>23.012422081775394</v>
      </c>
      <c r="E16" s="320">
        <f>VLOOKUP($B16,'[15]Table 1'!$B$13:$G$32,6,FALSE)</f>
        <v>27.270565605117778</v>
      </c>
      <c r="F16" s="320">
        <f>VLOOKUP($B16,'[16]Table 1'!$B$13:$G$33,6,FALSE)</f>
        <v>26.503160807065495</v>
      </c>
      <c r="G16" s="320">
        <f>VLOOKUP($B16,'[17]Table 1'!$B$13:$G$32,6,FALSE)</f>
        <v>19.543430670132494</v>
      </c>
      <c r="H16" s="320">
        <f>VLOOKUP($B16,'[18]Table 1'!$B$13:$G$32,6,FALSE)</f>
        <v>24.988991477120209</v>
      </c>
      <c r="I16" s="320">
        <f t="shared" ca="1" si="0"/>
        <v>3.5544814559698743</v>
      </c>
      <c r="J16" s="320">
        <f t="shared" si="0"/>
        <v>3.4689914116429001</v>
      </c>
      <c r="K16" s="321">
        <f t="shared" si="0"/>
        <v>2.281574127997569</v>
      </c>
      <c r="L16" s="318"/>
    </row>
    <row r="17" spans="1:12">
      <c r="B17" s="319">
        <f>'Table 1'!B22</f>
        <v>2028</v>
      </c>
      <c r="C17" s="320">
        <f ca="1">VLOOKUP($B17,'Table 1'!$B$13:$G$32,6,FALSE)</f>
        <v>33.323236315899422</v>
      </c>
      <c r="D17" s="320">
        <f>VLOOKUP($B17,'[14]Table 1'!$B$13:$G$35,6,FALSE)</f>
        <v>25.324350629342639</v>
      </c>
      <c r="E17" s="320">
        <f>VLOOKUP($B17,'[15]Table 1'!$B$13:$G$32,6,FALSE)</f>
        <v>31.046723781301797</v>
      </c>
      <c r="F17" s="320">
        <f>VLOOKUP($B17,'[16]Table 1'!$B$13:$G$33,6,FALSE)</f>
        <v>30.322864547780593</v>
      </c>
      <c r="G17" s="320">
        <f>VLOOKUP($B17,'[17]Table 1'!$B$13:$G$32,6,FALSE)</f>
        <v>23.321273692301997</v>
      </c>
      <c r="H17" s="320">
        <f>VLOOKUP($B17,'[18]Table 1'!$B$13:$G$32,6,FALSE)</f>
        <v>28.429259846123532</v>
      </c>
      <c r="I17" s="320">
        <f t="shared" ca="1" si="0"/>
        <v>3.0003717681188284</v>
      </c>
      <c r="J17" s="320">
        <f t="shared" si="0"/>
        <v>2.0030769370406425</v>
      </c>
      <c r="K17" s="321">
        <f t="shared" si="0"/>
        <v>2.6174639351782645</v>
      </c>
      <c r="L17" s="318"/>
    </row>
    <row r="18" spans="1:12">
      <c r="B18" s="319">
        <f>'Table 1'!B23</f>
        <v>2029</v>
      </c>
      <c r="C18" s="320">
        <f ca="1">VLOOKUP($B18,'Table 1'!$B$13:$G$32,6,FALSE)</f>
        <v>37.243878742129986</v>
      </c>
      <c r="D18" s="320">
        <f>VLOOKUP($B18,'[14]Table 1'!$B$13:$G$35,6,FALSE)</f>
        <v>29.874757434483559</v>
      </c>
      <c r="E18" s="320">
        <f>VLOOKUP($B18,'[15]Table 1'!$B$13:$G$32,6,FALSE)</f>
        <v>35.042155199932118</v>
      </c>
      <c r="F18" s="320">
        <f>VLOOKUP($B18,'[16]Table 1'!$B$13:$G$33,6,FALSE)</f>
        <v>35.11610044338974</v>
      </c>
      <c r="G18" s="320">
        <f>VLOOKUP($B18,'[17]Table 1'!$B$13:$G$32,6,FALSE)</f>
        <v>26.70024039048533</v>
      </c>
      <c r="H18" s="320">
        <f>VLOOKUP($B18,'[18]Table 1'!$B$13:$G$32,6,FALSE)</f>
        <v>33.160844619322035</v>
      </c>
      <c r="I18" s="320">
        <f t="shared" ca="1" si="0"/>
        <v>2.127778298740246</v>
      </c>
      <c r="J18" s="320">
        <f t="shared" si="0"/>
        <v>3.1745170439982289</v>
      </c>
      <c r="K18" s="321">
        <f t="shared" si="0"/>
        <v>1.8813105806100836</v>
      </c>
      <c r="L18" s="318"/>
    </row>
    <row r="19" spans="1:12">
      <c r="B19" s="319">
        <f>'Table 1'!B24</f>
        <v>2030</v>
      </c>
      <c r="C19" s="320">
        <f ca="1">VLOOKUP($B19,'Table 1'!$B$13:$G$32,6,FALSE)</f>
        <v>41.885506092875907</v>
      </c>
      <c r="D19" s="320">
        <f>VLOOKUP($B19,'[14]Table 1'!$B$13:$G$35,6,FALSE)</f>
        <v>34.204236332063758</v>
      </c>
      <c r="E19" s="320">
        <f>VLOOKUP($B19,'[15]Table 1'!$B$13:$G$32,6,FALSE)</f>
        <v>50.113633780191641</v>
      </c>
      <c r="F19" s="320">
        <f>VLOOKUP($B19,'[16]Table 1'!$B$13:$G$33,6,FALSE)</f>
        <v>39.425255242849154</v>
      </c>
      <c r="G19" s="320">
        <f>VLOOKUP($B19,'[17]Table 1'!$B$13:$G$32,6,FALSE)</f>
        <v>30.721683422908203</v>
      </c>
      <c r="H19" s="320">
        <f>VLOOKUP($B19,'[18]Table 1'!$B$13:$G$32,6,FALSE)</f>
        <v>58.045599480157179</v>
      </c>
      <c r="I19" s="320">
        <f t="shared" ca="1" si="0"/>
        <v>2.4602508500267533</v>
      </c>
      <c r="J19" s="320">
        <f t="shared" si="0"/>
        <v>3.4825529091555545</v>
      </c>
      <c r="K19" s="321">
        <f t="shared" si="0"/>
        <v>-7.9319656999655379</v>
      </c>
      <c r="L19" s="318"/>
    </row>
    <row r="20" spans="1:12">
      <c r="B20" s="319">
        <f>'Table 1'!B25</f>
        <v>2031</v>
      </c>
      <c r="C20" s="320">
        <f ca="1">VLOOKUP($B20,'Table 1'!$B$13:$G$32,6,FALSE)</f>
        <v>45.707744440370774</v>
      </c>
      <c r="D20" s="320">
        <f>VLOOKUP($B20,'[14]Table 1'!$B$13:$G$35,6,FALSE)</f>
        <v>37.21898377243658</v>
      </c>
      <c r="E20" s="320">
        <f>VLOOKUP($B20,'[15]Table 1'!$B$13:$G$32,6,FALSE)</f>
        <v>50.019239056156543</v>
      </c>
      <c r="F20" s="320">
        <f>VLOOKUP($B20,'[16]Table 1'!$B$13:$G$33,6,FALSE)</f>
        <v>42.212102849932023</v>
      </c>
      <c r="G20" s="320">
        <f>VLOOKUP($B20,'[17]Table 1'!$B$13:$G$32,6,FALSE)</f>
        <v>32.982896419273906</v>
      </c>
      <c r="H20" s="320">
        <f>VLOOKUP($B20,'[18]Table 1'!$B$13:$G$32,6,FALSE)</f>
        <v>57.23387034297798</v>
      </c>
      <c r="I20" s="320">
        <f t="shared" ca="1" si="0"/>
        <v>3.4956415904387512</v>
      </c>
      <c r="J20" s="320">
        <f t="shared" si="0"/>
        <v>4.2360873531626737</v>
      </c>
      <c r="K20" s="321">
        <f t="shared" si="0"/>
        <v>-7.2146312868214366</v>
      </c>
      <c r="L20" s="318"/>
    </row>
    <row r="21" spans="1:12">
      <c r="B21" s="319">
        <f>'Table 1'!B26</f>
        <v>2032</v>
      </c>
      <c r="C21" s="320">
        <f ca="1">VLOOKUP($B21,'Table 1'!$B$13:$G$32,6,FALSE)</f>
        <v>47.916717495068205</v>
      </c>
      <c r="D21" s="320">
        <f>VLOOKUP($B21,'[14]Table 1'!$B$13:$G$35,6,FALSE)</f>
        <v>39.40284719726283</v>
      </c>
      <c r="E21" s="320">
        <f>VLOOKUP($B21,'[15]Table 1'!$B$13:$G$32,6,FALSE)</f>
        <v>50.089236201927498</v>
      </c>
      <c r="F21" s="320">
        <f>VLOOKUP($B21,'[16]Table 1'!$B$13:$G$33,6,FALSE)</f>
        <v>43.933104551535472</v>
      </c>
      <c r="G21" s="320">
        <f>VLOOKUP($B21,'[17]Table 1'!$B$13:$G$32,6,FALSE)</f>
        <v>34.259019111209987</v>
      </c>
      <c r="H21" s="320">
        <f>VLOOKUP($B21,'[18]Table 1'!$B$13:$G$32,6,FALSE)</f>
        <v>57.804698445437246</v>
      </c>
      <c r="I21" s="320">
        <f t="shared" ca="1" si="0"/>
        <v>3.9836129435327337</v>
      </c>
      <c r="J21" s="320">
        <f t="shared" si="0"/>
        <v>5.1438280860528423</v>
      </c>
      <c r="K21" s="321">
        <f t="shared" si="0"/>
        <v>-7.715462243509748</v>
      </c>
      <c r="L21" s="318"/>
    </row>
    <row r="22" spans="1:12">
      <c r="B22" s="319">
        <f>'Table 1'!B27</f>
        <v>2033</v>
      </c>
      <c r="C22" s="320">
        <f ca="1">VLOOKUP($B22,'Table 1'!$B$13:$G$32,6,FALSE)</f>
        <v>53.466261066889942</v>
      </c>
      <c r="D22" s="320">
        <f>VLOOKUP($B22,'[14]Table 1'!$B$13:$G$35,6,FALSE)</f>
        <v>43.489448373859133</v>
      </c>
      <c r="E22" s="320">
        <f>VLOOKUP($B22,'[15]Table 1'!$B$13:$G$32,6,FALSE)</f>
        <v>52.806795918962735</v>
      </c>
      <c r="F22" s="320">
        <f>VLOOKUP($B22,'[16]Table 1'!$B$13:$G$33,6,FALSE)</f>
        <v>50.004087279519418</v>
      </c>
      <c r="G22" s="320">
        <f>VLOOKUP($B22,'[17]Table 1'!$B$13:$G$32,6,FALSE)</f>
        <v>43.64346146271383</v>
      </c>
      <c r="H22" s="320">
        <f>VLOOKUP($B22,'[18]Table 1'!$B$13:$G$32,6,FALSE)</f>
        <v>60.122071787023621</v>
      </c>
      <c r="I22" s="320">
        <f t="shared" ca="1" si="0"/>
        <v>3.4621737873705243</v>
      </c>
      <c r="J22" s="320">
        <f t="shared" si="0"/>
        <v>-0.15401308885469689</v>
      </c>
      <c r="K22" s="321">
        <f t="shared" si="0"/>
        <v>-7.3152758680608869</v>
      </c>
      <c r="L22" s="318"/>
    </row>
    <row r="23" spans="1:12">
      <c r="B23" s="322">
        <f>'Table 1'!B28</f>
        <v>2034</v>
      </c>
      <c r="C23" s="323">
        <f ca="1">VLOOKUP($B23,'Table 1'!$B$13:$G$32,6,FALSE)</f>
        <v>56.081691960185168</v>
      </c>
      <c r="D23" s="323">
        <f>VLOOKUP($B23,'[14]Table 1'!$B$13:$G$35,6,FALSE)</f>
        <v>44.702770847916447</v>
      </c>
      <c r="E23" s="323">
        <f>VLOOKUP($B23,'[15]Table 1'!$B$13:$G$32,6,FALSE)</f>
        <v>53.725792296076527</v>
      </c>
      <c r="F23" s="323">
        <f>VLOOKUP($B23,'[16]Table 1'!$B$13:$G$33,6,FALSE)</f>
        <v>52.362132862852114</v>
      </c>
      <c r="G23" s="323">
        <f>VLOOKUP($B23,'[17]Table 1'!$B$13:$G$32,6,FALSE)</f>
        <v>44.882431796553895</v>
      </c>
      <c r="H23" s="323">
        <f>VLOOKUP($B23,'[18]Table 1'!$B$13:$G$32,6,FALSE)</f>
        <v>61.726434229017954</v>
      </c>
      <c r="I23" s="323">
        <f t="shared" ca="1" si="0"/>
        <v>3.7195590973330539</v>
      </c>
      <c r="J23" s="323">
        <f t="shared" si="0"/>
        <v>-0.17966094863744786</v>
      </c>
      <c r="K23" s="324">
        <f t="shared" si="0"/>
        <v>-8.0006419329414271</v>
      </c>
      <c r="L23" s="318"/>
    </row>
    <row r="24" spans="1:12">
      <c r="F24" s="307"/>
      <c r="G24" s="307"/>
      <c r="H24" s="307"/>
    </row>
    <row r="25" spans="1:12">
      <c r="B25" s="55" t="str">
        <f>"15-Year Levelized Prices (Nominal) @ "&amp;TEXT(Discount_Rate,"0.000%")&amp;" Discount Rate (1) (3)"</f>
        <v>15-Year Levelized Prices (Nominal) @ 6.910% Discount Rate (1) (3)</v>
      </c>
      <c r="F25" s="307"/>
      <c r="G25" s="307"/>
      <c r="H25" s="307"/>
      <c r="L25" s="325"/>
    </row>
    <row r="26" spans="1:12">
      <c r="A26" s="3" t="s">
        <v>185</v>
      </c>
      <c r="B26" s="326" t="s">
        <v>32</v>
      </c>
      <c r="C26" s="320">
        <f ca="1">ROUND('Table 1'!$G$44,2)</f>
        <v>29.35</v>
      </c>
      <c r="D26" s="320">
        <f>ROUND('[14]Table 1'!$G$44,2)</f>
        <v>23.89</v>
      </c>
      <c r="E26" s="320">
        <f>ROUND('[15]Table 1'!$G$44,2)</f>
        <v>27.79</v>
      </c>
      <c r="F26" s="320">
        <f>ROUND('[16]Table 1'!$G$44,2)</f>
        <v>28.13</v>
      </c>
      <c r="G26" s="320">
        <f>ROUND('[17]Table 1'!$G$44,2)</f>
        <v>22.46</v>
      </c>
      <c r="H26" s="320">
        <f>ROUND('[18]Table 1'!$G$44,3)</f>
        <v>29.890999999999998</v>
      </c>
      <c r="I26" s="320">
        <f ca="1">C26-F26</f>
        <v>1.2200000000000024</v>
      </c>
      <c r="J26" s="320">
        <f>D26-G26</f>
        <v>1.4299999999999997</v>
      </c>
      <c r="K26" s="320">
        <f>E26-H26</f>
        <v>-2.1009999999999991</v>
      </c>
      <c r="L26" s="327"/>
    </row>
    <row r="27" spans="1:12" ht="17.25" customHeight="1">
      <c r="B27" s="328"/>
      <c r="C27" s="320"/>
      <c r="D27" s="320"/>
      <c r="E27" s="320"/>
      <c r="F27" s="320"/>
      <c r="G27" s="320"/>
      <c r="H27" s="320"/>
      <c r="I27" s="329">
        <f ca="1">I26/F26</f>
        <v>4.3370067543547899E-2</v>
      </c>
      <c r="J27" s="329">
        <f>J26/G26</f>
        <v>6.3668744434550298E-2</v>
      </c>
      <c r="K27" s="329">
        <f>K26/H26</f>
        <v>-7.0288715666923129E-2</v>
      </c>
    </row>
    <row r="28" spans="1:12" ht="10.5" customHeight="1">
      <c r="B28" s="326"/>
      <c r="C28" s="320"/>
      <c r="D28" s="320"/>
      <c r="E28" s="320"/>
      <c r="F28" s="320"/>
      <c r="G28" s="320"/>
      <c r="H28" s="320"/>
      <c r="I28" s="320"/>
      <c r="J28" s="320"/>
      <c r="K28" s="320"/>
    </row>
    <row r="29" spans="1:12" s="54" customFormat="1" ht="5.25" customHeight="1">
      <c r="F29" s="330"/>
      <c r="G29" s="330"/>
      <c r="H29" s="330"/>
    </row>
    <row r="30" spans="1:12" s="54" customFormat="1">
      <c r="B30" s="54" t="s">
        <v>16</v>
      </c>
      <c r="C30" s="331"/>
      <c r="D30" s="331"/>
      <c r="E30" s="331"/>
      <c r="F30" s="332"/>
      <c r="G30" s="332"/>
      <c r="H30" s="332"/>
      <c r="I30" s="332"/>
      <c r="J30" s="332"/>
      <c r="K30" s="332"/>
    </row>
    <row r="31" spans="1:12" s="54" customFormat="1">
      <c r="B31" s="333" t="str">
        <f>'Table 1'!$B$51</f>
        <v>(1)   Discount Rate - 2017 IRP Update</v>
      </c>
      <c r="C31" s="331"/>
      <c r="D31" s="331"/>
      <c r="E31" s="331"/>
      <c r="F31" s="332"/>
      <c r="G31" s="332"/>
      <c r="H31" s="332"/>
      <c r="I31" s="332"/>
      <c r="J31" s="332"/>
      <c r="K31" s="332"/>
    </row>
    <row r="32" spans="1:12" s="54" customFormat="1">
      <c r="B32" s="333" t="str">
        <f>"(2)   Total Avoided Costs with Capacity, based on stated CF"</f>
        <v>(2)   Total Avoided Costs with Capacity, based on stated CF</v>
      </c>
    </row>
    <row r="33" spans="2:11" s="54" customFormat="1">
      <c r="B33" s="54" t="str">
        <f>"(3)   15-Years: "&amp;B9&amp;" - "&amp;B23&amp;", levelized monthly"</f>
        <v>(3)   15-Years: 2020 - 2034, levelized monthly</v>
      </c>
    </row>
    <row r="34" spans="2:11" s="54" customFormat="1">
      <c r="B34" s="10"/>
    </row>
    <row r="35" spans="2:11" s="54" customFormat="1">
      <c r="B35" s="10"/>
    </row>
    <row r="36" spans="2:11" s="54" customFormat="1">
      <c r="B36" s="10"/>
    </row>
    <row r="37" spans="2:11" s="54" customFormat="1" hidden="1"/>
    <row r="38" spans="2:11" s="54" customFormat="1">
      <c r="C38" s="320"/>
      <c r="D38" s="320"/>
      <c r="E38" s="320"/>
      <c r="F38" s="320"/>
      <c r="G38" s="320"/>
      <c r="H38" s="320"/>
    </row>
    <row r="40" spans="2:11" s="54" customFormat="1">
      <c r="C40" s="334"/>
      <c r="D40" s="334"/>
      <c r="E40" s="334"/>
      <c r="F40" s="334"/>
      <c r="G40" s="334"/>
      <c r="H40" s="334"/>
      <c r="I40" s="334"/>
      <c r="J40" s="334"/>
      <c r="K40" s="334"/>
    </row>
  </sheetData>
  <conditionalFormatting sqref="F8:F21">
    <cfRule type="expression" dxfId="14" priority="14">
      <formula>ISNA(L8)</formula>
    </cfRule>
  </conditionalFormatting>
  <conditionalFormatting sqref="G9:G21">
    <cfRule type="expression" dxfId="13" priority="13">
      <formula>ISNA(L9)</formula>
    </cfRule>
  </conditionalFormatting>
  <conditionalFormatting sqref="H9:H21">
    <cfRule type="expression" dxfId="12" priority="12">
      <formula>ISNA(M9)</formula>
    </cfRule>
  </conditionalFormatting>
  <conditionalFormatting sqref="I8:J21">
    <cfRule type="expression" dxfId="11" priority="11">
      <formula>ISNA(N8)</formula>
    </cfRule>
  </conditionalFormatting>
  <conditionalFormatting sqref="H8">
    <cfRule type="expression" dxfId="10" priority="10">
      <formula>ISNA(N8)</formula>
    </cfRule>
  </conditionalFormatting>
  <conditionalFormatting sqref="G8">
    <cfRule type="expression" dxfId="9" priority="9">
      <formula>ISNA(M8)</formula>
    </cfRule>
  </conditionalFormatting>
  <conditionalFormatting sqref="F23">
    <cfRule type="expression" dxfId="8" priority="8">
      <formula>ISNA(L23)</formula>
    </cfRule>
  </conditionalFormatting>
  <conditionalFormatting sqref="G23">
    <cfRule type="expression" dxfId="7" priority="7">
      <formula>ISNA(L23)</formula>
    </cfRule>
  </conditionalFormatting>
  <conditionalFormatting sqref="H23">
    <cfRule type="expression" dxfId="6" priority="6">
      <formula>ISNA(M23)</formula>
    </cfRule>
  </conditionalFormatting>
  <conditionalFormatting sqref="I23:J23">
    <cfRule type="expression" dxfId="5" priority="5">
      <formula>ISNA(N23)</formula>
    </cfRule>
  </conditionalFormatting>
  <conditionalFormatting sqref="F22">
    <cfRule type="expression" dxfId="4" priority="4">
      <formula>ISNA(L22)</formula>
    </cfRule>
  </conditionalFormatting>
  <conditionalFormatting sqref="G22">
    <cfRule type="expression" dxfId="3" priority="3">
      <formula>ISNA(L22)</formula>
    </cfRule>
  </conditionalFormatting>
  <conditionalFormatting sqref="H22">
    <cfRule type="expression" dxfId="2" priority="2">
      <formula>ISNA(M22)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si="5"/>
        <v>0</v>
      </c>
      <c r="H13" s="132">
        <f t="shared" si="5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5"/>
        <v>0</v>
      </c>
      <c r="H14" s="132">
        <f t="shared" si="5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5"/>
        <v>0</v>
      </c>
      <c r="H15" s="132">
        <f t="shared" si="5"/>
        <v>0</v>
      </c>
      <c r="I15" s="134">
        <f t="shared" si="3"/>
        <v>12.286709925498679</v>
      </c>
      <c r="J15" s="134">
        <f t="shared" si="2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5"/>
        <v>0</v>
      </c>
      <c r="H16" s="132">
        <f t="shared" si="5"/>
        <v>0</v>
      </c>
      <c r="I16" s="134">
        <f t="shared" si="3"/>
        <v>12.569093967796205</v>
      </c>
      <c r="J16" s="134">
        <f t="shared" si="2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5"/>
        <v>0</v>
      </c>
      <c r="H17" s="132">
        <f t="shared" si="5"/>
        <v>0</v>
      </c>
      <c r="I17" s="134">
        <f t="shared" si="3"/>
        <v>12.845469838981014</v>
      </c>
      <c r="J17" s="134">
        <f t="shared" si="2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5"/>
        <v>0</v>
      </c>
      <c r="H18" s="132">
        <f t="shared" si="5"/>
        <v>0</v>
      </c>
      <c r="I18" s="134">
        <f t="shared" si="3"/>
        <v>13.12785388127854</v>
      </c>
      <c r="J18" s="134">
        <f t="shared" si="2"/>
        <v>43.7</v>
      </c>
      <c r="K18" s="132">
        <f t="shared" si="6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5"/>
        <v>0</v>
      </c>
      <c r="H19" s="132">
        <f t="shared" si="5"/>
        <v>0</v>
      </c>
      <c r="I19" s="134">
        <f t="shared" si="3"/>
        <v>13.416246094688777</v>
      </c>
      <c r="J19" s="134">
        <f t="shared" si="2"/>
        <v>44.66</v>
      </c>
      <c r="K19" s="132">
        <f t="shared" si="6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5"/>
        <v>0</v>
      </c>
      <c r="H20" s="132">
        <f t="shared" si="5"/>
        <v>0</v>
      </c>
      <c r="I20" s="134">
        <f t="shared" si="3"/>
        <v>13.710646479211729</v>
      </c>
      <c r="J20" s="134">
        <f t="shared" si="2"/>
        <v>45.64</v>
      </c>
      <c r="K20" s="132">
        <f t="shared" si="6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5"/>
        <v>0</v>
      </c>
      <c r="H21" s="132">
        <f t="shared" si="5"/>
        <v>0</v>
      </c>
      <c r="I21" s="134">
        <f t="shared" si="3"/>
        <v>14.011055034847393</v>
      </c>
      <c r="J21" s="134">
        <f t="shared" si="2"/>
        <v>46.64</v>
      </c>
      <c r="K21" s="132">
        <f t="shared" si="6"/>
        <v>0.69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5"/>
        <v>0</v>
      </c>
      <c r="H22" s="132">
        <f t="shared" si="5"/>
        <v>0</v>
      </c>
      <c r="I22" s="134">
        <f t="shared" si="3"/>
        <v>14.332492189377556</v>
      </c>
      <c r="J22" s="134">
        <f t="shared" si="2"/>
        <v>47.71</v>
      </c>
      <c r="K22" s="132">
        <f t="shared" si="6"/>
        <v>0.71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5"/>
        <v>0</v>
      </c>
      <c r="H23" s="132">
        <f t="shared" si="5"/>
        <v>0</v>
      </c>
      <c r="I23" s="134">
        <f t="shared" si="3"/>
        <v>14.662941600576787</v>
      </c>
      <c r="J23" s="134">
        <f t="shared" si="2"/>
        <v>48.81</v>
      </c>
      <c r="K23" s="132">
        <f t="shared" si="6"/>
        <v>0.73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14.99939918288873</v>
      </c>
      <c r="G24" s="132">
        <f t="shared" si="5"/>
        <v>0</v>
      </c>
      <c r="H24" s="132">
        <f t="shared" si="5"/>
        <v>0</v>
      </c>
      <c r="I24" s="134">
        <f t="shared" si="3"/>
        <v>14.99939918288873</v>
      </c>
      <c r="J24" s="134">
        <f t="shared" si="2"/>
        <v>49.93</v>
      </c>
      <c r="K24" s="132">
        <f t="shared" si="6"/>
        <v>0.75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15.344869021869744</v>
      </c>
      <c r="G25" s="132">
        <f t="shared" si="5"/>
        <v>0</v>
      </c>
      <c r="H25" s="132">
        <f t="shared" si="5"/>
        <v>0</v>
      </c>
      <c r="I25" s="134">
        <f t="shared" si="3"/>
        <v>15.344869021869744</v>
      </c>
      <c r="J25" s="134">
        <f t="shared" si="2"/>
        <v>51.08</v>
      </c>
      <c r="K25" s="132">
        <f t="shared" si="6"/>
        <v>0.77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15.696347031963471</v>
      </c>
      <c r="G26" s="132">
        <f t="shared" si="5"/>
        <v>0</v>
      </c>
      <c r="H26" s="132">
        <f t="shared" si="5"/>
        <v>0</v>
      </c>
      <c r="I26" s="134">
        <f t="shared" si="3"/>
        <v>15.696347031963471</v>
      </c>
      <c r="J26" s="134">
        <f t="shared" si="2"/>
        <v>52.25</v>
      </c>
      <c r="K26" s="132">
        <f t="shared" si="6"/>
        <v>0.79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>
        <f>$C$55</f>
        <v>1420.0408201737057</v>
      </c>
      <c r="D27" s="132">
        <f>C27*$C$62</f>
        <v>100.90797696748666</v>
      </c>
      <c r="E27" s="132">
        <f t="shared" si="5"/>
        <v>53.4</v>
      </c>
      <c r="F27" s="134">
        <f t="shared" si="1"/>
        <v>46.355436483864061</v>
      </c>
      <c r="G27" s="132">
        <f t="shared" si="5"/>
        <v>0</v>
      </c>
      <c r="H27" s="132">
        <f t="shared" si="5"/>
        <v>0</v>
      </c>
      <c r="I27" s="134">
        <f t="shared" si="3"/>
        <v>46.355436483864061</v>
      </c>
      <c r="J27" s="134">
        <f t="shared" si="2"/>
        <v>154.31</v>
      </c>
      <c r="K27" s="132">
        <f t="shared" si="6"/>
        <v>0.81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>
        <f t="shared" si="5"/>
        <v>103.13</v>
      </c>
      <c r="E28" s="132">
        <f t="shared" si="5"/>
        <v>54.57</v>
      </c>
      <c r="F28" s="134">
        <f t="shared" si="1"/>
        <v>47.374429223744293</v>
      </c>
      <c r="G28" s="132">
        <f t="shared" si="5"/>
        <v>0</v>
      </c>
      <c r="H28" s="132">
        <f t="shared" si="5"/>
        <v>0</v>
      </c>
      <c r="I28" s="134">
        <f t="shared" si="3"/>
        <v>47.374429223744293</v>
      </c>
      <c r="J28" s="134">
        <f t="shared" si="2"/>
        <v>157.69999999999999</v>
      </c>
      <c r="K28" s="132">
        <f t="shared" si="6"/>
        <v>0.83</v>
      </c>
      <c r="L28" s="123"/>
      <c r="P28" s="169">
        <f t="shared" si="7"/>
        <v>0</v>
      </c>
    </row>
    <row r="29" spans="2:16">
      <c r="B29" s="140">
        <f t="shared" si="0"/>
        <v>2035</v>
      </c>
      <c r="C29" s="141"/>
      <c r="D29" s="132">
        <f t="shared" si="5"/>
        <v>105.4</v>
      </c>
      <c r="E29" s="132">
        <f t="shared" si="5"/>
        <v>55.77</v>
      </c>
      <c r="F29" s="134">
        <f t="shared" si="1"/>
        <v>48.416846911800057</v>
      </c>
      <c r="G29" s="132">
        <f t="shared" si="5"/>
        <v>0</v>
      </c>
      <c r="H29" s="132">
        <f t="shared" si="5"/>
        <v>0</v>
      </c>
      <c r="I29" s="134">
        <f t="shared" si="3"/>
        <v>48.416846911800057</v>
      </c>
      <c r="J29" s="134">
        <f t="shared" si="2"/>
        <v>161.16999999999999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107.72</v>
      </c>
      <c r="E30" s="132">
        <f t="shared" si="5"/>
        <v>57</v>
      </c>
      <c r="F30" s="134">
        <f t="shared" si="1"/>
        <v>49.483297284306659</v>
      </c>
      <c r="G30" s="132">
        <f t="shared" si="5"/>
        <v>0</v>
      </c>
      <c r="H30" s="132">
        <f t="shared" si="5"/>
        <v>0</v>
      </c>
      <c r="I30" s="134">
        <f t="shared" si="3"/>
        <v>49.483297284306659</v>
      </c>
      <c r="J30" s="134">
        <f t="shared" si="2"/>
        <v>164.72</v>
      </c>
      <c r="K30" s="132">
        <f t="shared" si="6"/>
        <v>0.87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110.09</v>
      </c>
      <c r="E31" s="132">
        <f t="shared" si="5"/>
        <v>58.25</v>
      </c>
      <c r="F31" s="134">
        <f t="shared" si="1"/>
        <v>50.57077625570777</v>
      </c>
      <c r="G31" s="132">
        <f t="shared" si="5"/>
        <v>0</v>
      </c>
      <c r="H31" s="132">
        <f t="shared" si="5"/>
        <v>0</v>
      </c>
      <c r="I31" s="134">
        <f t="shared" si="3"/>
        <v>50.57077625570777</v>
      </c>
      <c r="J31" s="134">
        <f t="shared" si="2"/>
        <v>168.34</v>
      </c>
      <c r="K31" s="132">
        <f t="shared" si="6"/>
        <v>0.89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112.51</v>
      </c>
      <c r="E32" s="132">
        <f t="shared" si="5"/>
        <v>59.53</v>
      </c>
      <c r="F32" s="134">
        <f t="shared" si="1"/>
        <v>51.682287911559733</v>
      </c>
      <c r="G32" s="132">
        <f t="shared" si="5"/>
        <v>0</v>
      </c>
      <c r="H32" s="132">
        <f t="shared" si="5"/>
        <v>0</v>
      </c>
      <c r="I32" s="134">
        <f t="shared" si="3"/>
        <v>51.682287911559733</v>
      </c>
      <c r="J32" s="134">
        <f t="shared" si="2"/>
        <v>172.04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114.99</v>
      </c>
      <c r="E33" s="132">
        <f t="shared" si="5"/>
        <v>60.84</v>
      </c>
      <c r="F33" s="134">
        <f t="shared" si="1"/>
        <v>52.820836337418889</v>
      </c>
      <c r="G33" s="132">
        <f t="shared" si="5"/>
        <v>0</v>
      </c>
      <c r="H33" s="132">
        <f t="shared" si="5"/>
        <v>0</v>
      </c>
      <c r="I33" s="134">
        <f t="shared" si="3"/>
        <v>52.820836337418889</v>
      </c>
      <c r="J33" s="134">
        <f t="shared" si="2"/>
        <v>175.83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117.52</v>
      </c>
      <c r="E34" s="132">
        <f t="shared" si="5"/>
        <v>62.18</v>
      </c>
      <c r="F34" s="134">
        <f t="shared" si="1"/>
        <v>53.983417447728911</v>
      </c>
      <c r="G34" s="132">
        <f t="shared" si="5"/>
        <v>0</v>
      </c>
      <c r="H34" s="132">
        <f t="shared" si="5"/>
        <v>0</v>
      </c>
      <c r="I34" s="134">
        <f t="shared" si="3"/>
        <v>53.983417447728911</v>
      </c>
      <c r="J34" s="134">
        <f t="shared" si="2"/>
        <v>179.7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120.11</v>
      </c>
      <c r="E35" s="132">
        <f t="shared" si="5"/>
        <v>63.55</v>
      </c>
      <c r="F35" s="134">
        <f t="shared" si="1"/>
        <v>55.173035328046147</v>
      </c>
      <c r="G35" s="132">
        <f t="shared" si="5"/>
        <v>0</v>
      </c>
      <c r="H35" s="132">
        <f t="shared" si="5"/>
        <v>0</v>
      </c>
      <c r="I35" s="134">
        <f t="shared" si="3"/>
        <v>55.173035328046147</v>
      </c>
      <c r="J35" s="134">
        <f t="shared" si="2"/>
        <v>183.66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122.87</v>
      </c>
      <c r="E36" s="132">
        <f t="shared" si="5"/>
        <v>65.010000000000005</v>
      </c>
      <c r="F36" s="134">
        <f t="shared" si="1"/>
        <v>56.440759432828649</v>
      </c>
      <c r="G36" s="132">
        <f t="shared" si="5"/>
        <v>0</v>
      </c>
      <c r="H36" s="132">
        <f t="shared" si="5"/>
        <v>0</v>
      </c>
      <c r="I36" s="134">
        <f t="shared" si="3"/>
        <v>56.440759432828649</v>
      </c>
      <c r="J36" s="134">
        <f t="shared" si="2"/>
        <v>187.88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1420.0408201737057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87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14.420385918397407</v>
      </c>
      <c r="G13" s="132">
        <f t="shared" si="5"/>
        <v>0</v>
      </c>
      <c r="H13" s="132">
        <f t="shared" si="5"/>
        <v>0</v>
      </c>
      <c r="I13" s="134">
        <f t="shared" si="2"/>
        <v>14.420385918397407</v>
      </c>
      <c r="J13" s="134">
        <f t="shared" si="3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14.737074679628813</v>
      </c>
      <c r="G14" s="132">
        <f t="shared" si="5"/>
        <v>0</v>
      </c>
      <c r="H14" s="132">
        <f t="shared" si="5"/>
        <v>0</v>
      </c>
      <c r="I14" s="134">
        <f t="shared" si="2"/>
        <v>14.737074679628813</v>
      </c>
      <c r="J14" s="134">
        <f t="shared" si="3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15.061128295772575</v>
      </c>
      <c r="G15" s="132">
        <f t="shared" si="5"/>
        <v>0</v>
      </c>
      <c r="H15" s="132">
        <f t="shared" si="5"/>
        <v>0</v>
      </c>
      <c r="I15" s="134">
        <f t="shared" si="2"/>
        <v>15.061128295772575</v>
      </c>
      <c r="J15" s="134">
        <f t="shared" si="3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15.407276476653413</v>
      </c>
      <c r="G16" s="132">
        <f t="shared" si="5"/>
        <v>0</v>
      </c>
      <c r="H16" s="132">
        <f t="shared" si="5"/>
        <v>0</v>
      </c>
      <c r="I16" s="134">
        <f t="shared" si="2"/>
        <v>15.407276476653413</v>
      </c>
      <c r="J16" s="134">
        <f t="shared" si="3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15.74605980262189</v>
      </c>
      <c r="G17" s="132">
        <f t="shared" si="5"/>
        <v>0</v>
      </c>
      <c r="H17" s="132">
        <f t="shared" si="5"/>
        <v>0</v>
      </c>
      <c r="I17" s="134">
        <f t="shared" si="2"/>
        <v>15.74605980262189</v>
      </c>
      <c r="J17" s="134">
        <f t="shared" si="3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16.092207983502728</v>
      </c>
      <c r="G18" s="132">
        <f t="shared" si="5"/>
        <v>0</v>
      </c>
      <c r="H18" s="132">
        <f t="shared" si="5"/>
        <v>0</v>
      </c>
      <c r="I18" s="134">
        <f t="shared" si="2"/>
        <v>16.092207983502728</v>
      </c>
      <c r="J18" s="134">
        <f t="shared" si="3"/>
        <v>43.7</v>
      </c>
      <c r="K18" s="132">
        <f t="shared" si="6"/>
        <v>0.66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16.44572101929592</v>
      </c>
      <c r="G19" s="132">
        <f t="shared" si="5"/>
        <v>0</v>
      </c>
      <c r="H19" s="132">
        <f t="shared" si="5"/>
        <v>0</v>
      </c>
      <c r="I19" s="134">
        <f t="shared" si="2"/>
        <v>16.44572101929592</v>
      </c>
      <c r="J19" s="134">
        <f t="shared" si="3"/>
        <v>44.66</v>
      </c>
      <c r="K19" s="132">
        <f t="shared" si="6"/>
        <v>0.67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16.806598910001476</v>
      </c>
      <c r="G20" s="132">
        <f t="shared" si="5"/>
        <v>0</v>
      </c>
      <c r="H20" s="132">
        <f t="shared" si="5"/>
        <v>0</v>
      </c>
      <c r="I20" s="134">
        <f t="shared" si="2"/>
        <v>16.806598910001476</v>
      </c>
      <c r="J20" s="134">
        <f t="shared" si="3"/>
        <v>45.64</v>
      </c>
      <c r="K20" s="132">
        <f t="shared" si="6"/>
        <v>0.68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17.174841655619385</v>
      </c>
      <c r="G21" s="132">
        <f t="shared" si="5"/>
        <v>0</v>
      </c>
      <c r="H21" s="132">
        <f t="shared" si="5"/>
        <v>0</v>
      </c>
      <c r="I21" s="134">
        <f t="shared" si="2"/>
        <v>17.174841655619385</v>
      </c>
      <c r="J21" s="134">
        <f t="shared" si="3"/>
        <v>46.64</v>
      </c>
      <c r="K21" s="132">
        <f t="shared" si="6"/>
        <v>0.69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17.568861393430552</v>
      </c>
      <c r="G22" s="132">
        <f t="shared" si="5"/>
        <v>0</v>
      </c>
      <c r="H22" s="132">
        <f t="shared" si="5"/>
        <v>0</v>
      </c>
      <c r="I22" s="134">
        <f t="shared" si="2"/>
        <v>17.568861393430552</v>
      </c>
      <c r="J22" s="134">
        <f t="shared" si="3"/>
        <v>47.71</v>
      </c>
      <c r="K22" s="132">
        <f t="shared" si="6"/>
        <v>0.71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17.973928413610253</v>
      </c>
      <c r="G23" s="132">
        <f t="shared" si="5"/>
        <v>0</v>
      </c>
      <c r="H23" s="132">
        <f t="shared" si="5"/>
        <v>0</v>
      </c>
      <c r="I23" s="134">
        <f t="shared" si="2"/>
        <v>17.973928413610253</v>
      </c>
      <c r="J23" s="134">
        <f t="shared" si="3"/>
        <v>48.81</v>
      </c>
      <c r="K23" s="132">
        <f t="shared" si="6"/>
        <v>0.73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18.386360288702313</v>
      </c>
      <c r="G24" s="132">
        <f t="shared" si="5"/>
        <v>0</v>
      </c>
      <c r="H24" s="132">
        <f t="shared" si="5"/>
        <v>0</v>
      </c>
      <c r="I24" s="134">
        <f t="shared" si="2"/>
        <v>18.386360288702313</v>
      </c>
      <c r="J24" s="134">
        <f t="shared" si="3"/>
        <v>49.93</v>
      </c>
      <c r="K24" s="132">
        <f t="shared" si="6"/>
        <v>0.75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18.809839446162911</v>
      </c>
      <c r="G25" s="132">
        <f t="shared" si="5"/>
        <v>0</v>
      </c>
      <c r="H25" s="132">
        <f t="shared" si="5"/>
        <v>0</v>
      </c>
      <c r="I25" s="134">
        <f t="shared" si="2"/>
        <v>18.809839446162911</v>
      </c>
      <c r="J25" s="134">
        <f t="shared" si="3"/>
        <v>51.08</v>
      </c>
      <c r="K25" s="132">
        <f t="shared" si="6"/>
        <v>0.77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19.240683458535869</v>
      </c>
      <c r="G26" s="132">
        <f t="shared" si="5"/>
        <v>0</v>
      </c>
      <c r="H26" s="132">
        <f t="shared" si="5"/>
        <v>0</v>
      </c>
      <c r="I26" s="134">
        <f t="shared" si="2"/>
        <v>19.240683458535869</v>
      </c>
      <c r="J26" s="134">
        <f t="shared" si="3"/>
        <v>52.25</v>
      </c>
      <c r="K26" s="132">
        <f t="shared" si="6"/>
        <v>0.79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/>
      <c r="E27" s="132">
        <f t="shared" si="5"/>
        <v>53.4</v>
      </c>
      <c r="F27" s="134">
        <f t="shared" si="1"/>
        <v>19.664162615996467</v>
      </c>
      <c r="G27" s="132">
        <f t="shared" si="5"/>
        <v>0</v>
      </c>
      <c r="H27" s="132">
        <f t="shared" si="5"/>
        <v>0</v>
      </c>
      <c r="I27" s="134">
        <f t="shared" si="2"/>
        <v>19.664162615996467</v>
      </c>
      <c r="J27" s="134">
        <f t="shared" si="3"/>
        <v>53.4</v>
      </c>
      <c r="K27" s="132">
        <f t="shared" si="6"/>
        <v>0.81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/>
      <c r="E28" s="132">
        <f t="shared" si="5"/>
        <v>54.57</v>
      </c>
      <c r="F28" s="134">
        <f t="shared" si="1"/>
        <v>20.095006628369422</v>
      </c>
      <c r="G28" s="132">
        <f t="shared" si="5"/>
        <v>0</v>
      </c>
      <c r="H28" s="132">
        <f t="shared" si="5"/>
        <v>0</v>
      </c>
      <c r="I28" s="134">
        <f t="shared" si="2"/>
        <v>20.095006628369422</v>
      </c>
      <c r="J28" s="134">
        <f t="shared" si="3"/>
        <v>54.57</v>
      </c>
      <c r="K28" s="132">
        <f t="shared" si="6"/>
        <v>0.83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/>
      <c r="E29" s="132">
        <f t="shared" si="5"/>
        <v>55.77</v>
      </c>
      <c r="F29" s="134">
        <f t="shared" si="1"/>
        <v>20.536897923110917</v>
      </c>
      <c r="G29" s="132">
        <f t="shared" si="5"/>
        <v>0</v>
      </c>
      <c r="H29" s="132">
        <f t="shared" si="5"/>
        <v>0</v>
      </c>
      <c r="I29" s="134">
        <f t="shared" si="2"/>
        <v>20.536897923110917</v>
      </c>
      <c r="J29" s="134">
        <f t="shared" si="3"/>
        <v>55.77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>
        <f>$C$55</f>
        <v>1369.7572941249264</v>
      </c>
      <c r="D30" s="132">
        <f>C30*$C$62</f>
        <v>97.334833987164757</v>
      </c>
      <c r="E30" s="132">
        <f t="shared" si="5"/>
        <v>57</v>
      </c>
      <c r="F30" s="134">
        <f t="shared" si="1"/>
        <v>56.832683011918093</v>
      </c>
      <c r="G30" s="132">
        <f t="shared" si="5"/>
        <v>0</v>
      </c>
      <c r="H30" s="132">
        <f t="shared" si="5"/>
        <v>0</v>
      </c>
      <c r="I30" s="134">
        <f t="shared" si="2"/>
        <v>56.832683011918093</v>
      </c>
      <c r="J30" s="134">
        <f t="shared" si="3"/>
        <v>154.33000000000001</v>
      </c>
      <c r="K30" s="132">
        <f t="shared" si="6"/>
        <v>0.87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99.48</v>
      </c>
      <c r="E31" s="132">
        <f t="shared" si="5"/>
        <v>58.25</v>
      </c>
      <c r="F31" s="134">
        <f t="shared" si="1"/>
        <v>58.082928266313168</v>
      </c>
      <c r="G31" s="132">
        <f t="shared" si="5"/>
        <v>0</v>
      </c>
      <c r="H31" s="132">
        <f t="shared" si="5"/>
        <v>0</v>
      </c>
      <c r="I31" s="134">
        <f t="shared" si="2"/>
        <v>58.082928266313168</v>
      </c>
      <c r="J31" s="134">
        <f t="shared" si="3"/>
        <v>157.72999999999999</v>
      </c>
      <c r="K31" s="132">
        <f t="shared" si="6"/>
        <v>0.89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101.67</v>
      </c>
      <c r="E32" s="132">
        <f t="shared" si="5"/>
        <v>59.53</v>
      </c>
      <c r="F32" s="134">
        <f t="shared" si="1"/>
        <v>59.360730593607308</v>
      </c>
      <c r="G32" s="132">
        <f t="shared" si="5"/>
        <v>0</v>
      </c>
      <c r="H32" s="132">
        <f t="shared" si="5"/>
        <v>0</v>
      </c>
      <c r="I32" s="134">
        <f t="shared" si="2"/>
        <v>59.360730593607308</v>
      </c>
      <c r="J32" s="134">
        <f t="shared" si="3"/>
        <v>161.19999999999999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103.91</v>
      </c>
      <c r="E33" s="132">
        <f t="shared" si="5"/>
        <v>60.84</v>
      </c>
      <c r="F33" s="134">
        <f t="shared" si="1"/>
        <v>60.667992340550896</v>
      </c>
      <c r="G33" s="132">
        <f t="shared" si="5"/>
        <v>0</v>
      </c>
      <c r="H33" s="132">
        <f t="shared" si="5"/>
        <v>0</v>
      </c>
      <c r="I33" s="134">
        <f t="shared" si="2"/>
        <v>60.667992340550896</v>
      </c>
      <c r="J33" s="134">
        <f t="shared" si="3"/>
        <v>164.75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106.2</v>
      </c>
      <c r="E34" s="132">
        <f t="shared" si="5"/>
        <v>62.18</v>
      </c>
      <c r="F34" s="134">
        <f t="shared" si="1"/>
        <v>62.004713507143911</v>
      </c>
      <c r="G34" s="132">
        <f t="shared" si="5"/>
        <v>0</v>
      </c>
      <c r="H34" s="132">
        <f t="shared" si="5"/>
        <v>0</v>
      </c>
      <c r="I34" s="134">
        <f t="shared" si="2"/>
        <v>62.004713507143911</v>
      </c>
      <c r="J34" s="134">
        <f t="shared" si="3"/>
        <v>168.38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108.54</v>
      </c>
      <c r="E35" s="132">
        <f t="shared" si="5"/>
        <v>63.55</v>
      </c>
      <c r="F35" s="134">
        <f t="shared" si="1"/>
        <v>63.370894093386369</v>
      </c>
      <c r="G35" s="132">
        <f t="shared" si="5"/>
        <v>0</v>
      </c>
      <c r="H35" s="132">
        <f t="shared" si="5"/>
        <v>0</v>
      </c>
      <c r="I35" s="134">
        <f t="shared" si="2"/>
        <v>63.370894093386369</v>
      </c>
      <c r="J35" s="134">
        <f t="shared" si="3"/>
        <v>172.09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111.04</v>
      </c>
      <c r="E36" s="132">
        <f t="shared" si="5"/>
        <v>65.010000000000005</v>
      </c>
      <c r="F36" s="134">
        <f t="shared" si="1"/>
        <v>64.829135366033299</v>
      </c>
      <c r="G36" s="132">
        <f t="shared" si="5"/>
        <v>0</v>
      </c>
      <c r="H36" s="132">
        <f t="shared" si="5"/>
        <v>0</v>
      </c>
      <c r="I36" s="134">
        <f t="shared" si="2"/>
        <v>64.829135366033299</v>
      </c>
      <c r="J36" s="134">
        <f t="shared" si="3"/>
        <v>176.05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122</v>
      </c>
      <c r="C55" s="185">
        <v>1369.7572941249264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0.31</v>
      </c>
      <c r="D63" s="121" t="s">
        <v>38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126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Walla Walla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si="5"/>
        <v>0</v>
      </c>
      <c r="H13" s="132">
        <f t="shared" si="5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5"/>
        <v>0</v>
      </c>
      <c r="H14" s="132">
        <f t="shared" si="5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5"/>
        <v>0</v>
      </c>
      <c r="H15" s="132">
        <f t="shared" si="5"/>
        <v>0</v>
      </c>
      <c r="I15" s="134">
        <f t="shared" si="3"/>
        <v>12.286709925498679</v>
      </c>
      <c r="J15" s="134">
        <f t="shared" si="2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5"/>
        <v>0</v>
      </c>
      <c r="H16" s="132">
        <f t="shared" si="5"/>
        <v>0</v>
      </c>
      <c r="I16" s="134">
        <f t="shared" si="3"/>
        <v>12.569093967796205</v>
      </c>
      <c r="J16" s="134">
        <f t="shared" si="2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5"/>
        <v>0</v>
      </c>
      <c r="H17" s="132">
        <f t="shared" si="5"/>
        <v>0</v>
      </c>
      <c r="I17" s="134">
        <f t="shared" si="3"/>
        <v>12.845469838981014</v>
      </c>
      <c r="J17" s="134">
        <f t="shared" si="2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5"/>
        <v>0</v>
      </c>
      <c r="H18" s="132">
        <f t="shared" si="5"/>
        <v>0</v>
      </c>
      <c r="I18" s="134">
        <f t="shared" si="3"/>
        <v>13.12785388127854</v>
      </c>
      <c r="J18" s="134">
        <f t="shared" si="2"/>
        <v>43.7</v>
      </c>
      <c r="K18" s="132">
        <f t="shared" si="6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5"/>
        <v>0</v>
      </c>
      <c r="H19" s="132">
        <f t="shared" si="5"/>
        <v>0</v>
      </c>
      <c r="I19" s="134">
        <f t="shared" si="3"/>
        <v>13.416246094688777</v>
      </c>
      <c r="J19" s="134">
        <f t="shared" si="2"/>
        <v>44.66</v>
      </c>
      <c r="K19" s="132">
        <f t="shared" si="6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5"/>
        <v>0</v>
      </c>
      <c r="H20" s="132">
        <f t="shared" si="5"/>
        <v>0</v>
      </c>
      <c r="I20" s="134">
        <f t="shared" si="3"/>
        <v>13.710646479211729</v>
      </c>
      <c r="J20" s="134">
        <f t="shared" si="2"/>
        <v>45.64</v>
      </c>
      <c r="K20" s="132">
        <f t="shared" si="6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5"/>
        <v>0</v>
      </c>
      <c r="H21" s="132">
        <f t="shared" si="5"/>
        <v>0</v>
      </c>
      <c r="I21" s="134">
        <f t="shared" si="3"/>
        <v>14.011055034847393</v>
      </c>
      <c r="J21" s="134">
        <f t="shared" si="2"/>
        <v>46.64</v>
      </c>
      <c r="K21" s="132">
        <f t="shared" si="6"/>
        <v>0.69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5"/>
        <v>0</v>
      </c>
      <c r="H22" s="132">
        <f t="shared" si="5"/>
        <v>0</v>
      </c>
      <c r="I22" s="134">
        <f t="shared" si="3"/>
        <v>14.332492189377556</v>
      </c>
      <c r="J22" s="134">
        <f t="shared" si="2"/>
        <v>47.71</v>
      </c>
      <c r="K22" s="132">
        <f t="shared" si="6"/>
        <v>0.71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5"/>
        <v>0</v>
      </c>
      <c r="H23" s="132">
        <f t="shared" si="5"/>
        <v>0</v>
      </c>
      <c r="I23" s="134">
        <f t="shared" si="3"/>
        <v>14.662941600576787</v>
      </c>
      <c r="J23" s="134">
        <f t="shared" si="2"/>
        <v>48.81</v>
      </c>
      <c r="K23" s="132">
        <f t="shared" si="6"/>
        <v>0.73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14.99939918288873</v>
      </c>
      <c r="G24" s="132">
        <f t="shared" si="5"/>
        <v>0</v>
      </c>
      <c r="H24" s="132">
        <f t="shared" si="5"/>
        <v>0</v>
      </c>
      <c r="I24" s="134">
        <f t="shared" si="3"/>
        <v>14.99939918288873</v>
      </c>
      <c r="J24" s="134">
        <f t="shared" si="2"/>
        <v>49.93</v>
      </c>
      <c r="K24" s="132">
        <f t="shared" si="6"/>
        <v>0.75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15.344869021869744</v>
      </c>
      <c r="G25" s="132">
        <f t="shared" si="5"/>
        <v>0</v>
      </c>
      <c r="H25" s="132">
        <f t="shared" si="5"/>
        <v>0</v>
      </c>
      <c r="I25" s="134">
        <f t="shared" si="3"/>
        <v>15.344869021869744</v>
      </c>
      <c r="J25" s="134">
        <f t="shared" si="2"/>
        <v>51.08</v>
      </c>
      <c r="K25" s="132">
        <f t="shared" si="6"/>
        <v>0.77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15.696347031963471</v>
      </c>
      <c r="G26" s="132">
        <f t="shared" si="5"/>
        <v>0</v>
      </c>
      <c r="H26" s="132">
        <f t="shared" si="5"/>
        <v>0</v>
      </c>
      <c r="I26" s="134">
        <f t="shared" si="3"/>
        <v>15.696347031963471</v>
      </c>
      <c r="J26" s="134">
        <f t="shared" si="2"/>
        <v>52.25</v>
      </c>
      <c r="K26" s="132">
        <f t="shared" si="6"/>
        <v>0.79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53.4</v>
      </c>
      <c r="F27" s="134">
        <f t="shared" si="1"/>
        <v>16.041816870944483</v>
      </c>
      <c r="G27" s="132">
        <f t="shared" si="5"/>
        <v>0</v>
      </c>
      <c r="H27" s="132">
        <f t="shared" si="5"/>
        <v>0</v>
      </c>
      <c r="I27" s="134">
        <f t="shared" si="3"/>
        <v>16.041816870944483</v>
      </c>
      <c r="J27" s="134">
        <f t="shared" si="2"/>
        <v>53.4</v>
      </c>
      <c r="K27" s="132">
        <f t="shared" si="6"/>
        <v>0.81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54.57</v>
      </c>
      <c r="F28" s="134">
        <f t="shared" si="1"/>
        <v>16.393294881038212</v>
      </c>
      <c r="G28" s="132">
        <f t="shared" si="5"/>
        <v>0</v>
      </c>
      <c r="H28" s="132">
        <f t="shared" si="5"/>
        <v>0</v>
      </c>
      <c r="I28" s="134">
        <f t="shared" si="3"/>
        <v>16.393294881038212</v>
      </c>
      <c r="J28" s="134">
        <f t="shared" si="2"/>
        <v>54.57</v>
      </c>
      <c r="K28" s="132">
        <f t="shared" si="6"/>
        <v>0.83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55.77</v>
      </c>
      <c r="F29" s="134">
        <f t="shared" si="1"/>
        <v>47.011328348469455</v>
      </c>
      <c r="G29" s="132">
        <f t="shared" si="5"/>
        <v>0</v>
      </c>
      <c r="H29" s="132">
        <f t="shared" si="5"/>
        <v>0</v>
      </c>
      <c r="I29" s="134">
        <f t="shared" si="3"/>
        <v>47.011328348469455</v>
      </c>
      <c r="J29" s="134">
        <f t="shared" si="2"/>
        <v>156.49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102.94</v>
      </c>
      <c r="E30" s="132">
        <f t="shared" si="5"/>
        <v>57</v>
      </c>
      <c r="F30" s="134">
        <f t="shared" si="1"/>
        <v>48.047344388368181</v>
      </c>
      <c r="G30" s="132">
        <f t="shared" si="5"/>
        <v>0</v>
      </c>
      <c r="H30" s="132">
        <f t="shared" si="5"/>
        <v>0</v>
      </c>
      <c r="I30" s="134">
        <f t="shared" si="3"/>
        <v>48.047344388368181</v>
      </c>
      <c r="J30" s="134">
        <f t="shared" si="2"/>
        <v>159.94</v>
      </c>
      <c r="K30" s="132">
        <f t="shared" si="6"/>
        <v>0.87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105.2</v>
      </c>
      <c r="E31" s="132">
        <f t="shared" si="5"/>
        <v>58.25</v>
      </c>
      <c r="F31" s="134">
        <f t="shared" si="1"/>
        <v>49.10177841864936</v>
      </c>
      <c r="G31" s="132">
        <f t="shared" si="5"/>
        <v>0</v>
      </c>
      <c r="H31" s="132">
        <f t="shared" si="5"/>
        <v>0</v>
      </c>
      <c r="I31" s="134">
        <f t="shared" si="3"/>
        <v>49.10177841864936</v>
      </c>
      <c r="J31" s="134">
        <f t="shared" si="2"/>
        <v>163.44999999999999</v>
      </c>
      <c r="K31" s="132">
        <f t="shared" si="6"/>
        <v>0.89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107.51</v>
      </c>
      <c r="E32" s="132">
        <f t="shared" si="5"/>
        <v>59.53</v>
      </c>
      <c r="F32" s="134">
        <f t="shared" si="1"/>
        <v>50.180245133381412</v>
      </c>
      <c r="G32" s="132">
        <f t="shared" si="5"/>
        <v>0</v>
      </c>
      <c r="H32" s="132">
        <f t="shared" si="5"/>
        <v>0</v>
      </c>
      <c r="I32" s="134">
        <f t="shared" si="3"/>
        <v>50.180245133381412</v>
      </c>
      <c r="J32" s="134">
        <f t="shared" si="2"/>
        <v>167.04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109.88</v>
      </c>
      <c r="E33" s="132">
        <f t="shared" si="5"/>
        <v>60.84</v>
      </c>
      <c r="F33" s="134">
        <f t="shared" si="1"/>
        <v>51.28574861812065</v>
      </c>
      <c r="G33" s="132">
        <f t="shared" si="5"/>
        <v>0</v>
      </c>
      <c r="H33" s="132">
        <f t="shared" si="5"/>
        <v>0</v>
      </c>
      <c r="I33" s="134">
        <f t="shared" si="3"/>
        <v>51.28574861812065</v>
      </c>
      <c r="J33" s="134">
        <f t="shared" si="2"/>
        <v>170.72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112.3</v>
      </c>
      <c r="E34" s="132">
        <f t="shared" si="5"/>
        <v>62.18</v>
      </c>
      <c r="F34" s="134">
        <f t="shared" si="1"/>
        <v>52.415284787310746</v>
      </c>
      <c r="G34" s="132">
        <f t="shared" si="5"/>
        <v>0</v>
      </c>
      <c r="H34" s="132">
        <f t="shared" si="5"/>
        <v>0</v>
      </c>
      <c r="I34" s="134">
        <f t="shared" si="3"/>
        <v>52.415284787310746</v>
      </c>
      <c r="J34" s="134">
        <f t="shared" si="2"/>
        <v>174.48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114.77</v>
      </c>
      <c r="E35" s="132">
        <f t="shared" si="5"/>
        <v>63.55</v>
      </c>
      <c r="F35" s="134">
        <f t="shared" si="1"/>
        <v>53.568853640951694</v>
      </c>
      <c r="G35" s="132">
        <f t="shared" si="5"/>
        <v>0</v>
      </c>
      <c r="H35" s="132">
        <f t="shared" si="5"/>
        <v>0</v>
      </c>
      <c r="I35" s="134">
        <f t="shared" si="3"/>
        <v>53.568853640951694</v>
      </c>
      <c r="J35" s="134">
        <f t="shared" si="2"/>
        <v>178.32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117.41</v>
      </c>
      <c r="E36" s="132">
        <f t="shared" si="5"/>
        <v>65.010000000000005</v>
      </c>
      <c r="F36" s="134">
        <f t="shared" si="1"/>
        <v>54.80052871905793</v>
      </c>
      <c r="G36" s="132">
        <f t="shared" si="5"/>
        <v>0</v>
      </c>
      <c r="H36" s="132">
        <f t="shared" si="5"/>
        <v>0</v>
      </c>
      <c r="I36" s="134">
        <f t="shared" si="3"/>
        <v>54.80052871905793</v>
      </c>
      <c r="J36" s="134">
        <f t="shared" si="2"/>
        <v>182.42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1417.4139219193135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127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Yakima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si="5"/>
        <v>0</v>
      </c>
      <c r="H13" s="132">
        <f t="shared" si="5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5"/>
        <v>0</v>
      </c>
      <c r="H14" s="132">
        <f t="shared" si="5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5"/>
        <v>0</v>
      </c>
      <c r="H15" s="132">
        <f t="shared" si="5"/>
        <v>0</v>
      </c>
      <c r="I15" s="134">
        <f t="shared" si="3"/>
        <v>12.286709925498679</v>
      </c>
      <c r="J15" s="134">
        <f t="shared" si="2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5"/>
        <v>0</v>
      </c>
      <c r="H16" s="132">
        <f t="shared" si="5"/>
        <v>0</v>
      </c>
      <c r="I16" s="134">
        <f t="shared" si="3"/>
        <v>12.569093967796205</v>
      </c>
      <c r="J16" s="134">
        <f t="shared" si="2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5"/>
        <v>0</v>
      </c>
      <c r="H17" s="132">
        <f t="shared" si="5"/>
        <v>0</v>
      </c>
      <c r="I17" s="134">
        <f t="shared" si="3"/>
        <v>12.845469838981014</v>
      </c>
      <c r="J17" s="134">
        <f t="shared" si="2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5"/>
        <v>0</v>
      </c>
      <c r="H18" s="132">
        <f t="shared" si="5"/>
        <v>0</v>
      </c>
      <c r="I18" s="134">
        <f t="shared" si="3"/>
        <v>13.12785388127854</v>
      </c>
      <c r="J18" s="134">
        <f t="shared" si="2"/>
        <v>43.7</v>
      </c>
      <c r="K18" s="132">
        <f t="shared" si="6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5"/>
        <v>0</v>
      </c>
      <c r="H19" s="132">
        <f t="shared" si="5"/>
        <v>0</v>
      </c>
      <c r="I19" s="134">
        <f t="shared" si="3"/>
        <v>13.416246094688777</v>
      </c>
      <c r="J19" s="134">
        <f t="shared" si="2"/>
        <v>44.66</v>
      </c>
      <c r="K19" s="132">
        <f t="shared" si="6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5"/>
        <v>0</v>
      </c>
      <c r="H20" s="132">
        <f t="shared" si="5"/>
        <v>0</v>
      </c>
      <c r="I20" s="134">
        <f t="shared" si="3"/>
        <v>13.710646479211729</v>
      </c>
      <c r="J20" s="134">
        <f t="shared" si="2"/>
        <v>45.64</v>
      </c>
      <c r="K20" s="132">
        <f t="shared" si="6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5"/>
        <v>0</v>
      </c>
      <c r="H21" s="132">
        <f t="shared" si="5"/>
        <v>0</v>
      </c>
      <c r="I21" s="134">
        <f t="shared" si="3"/>
        <v>14.011055034847393</v>
      </c>
      <c r="J21" s="134">
        <f t="shared" si="2"/>
        <v>46.64</v>
      </c>
      <c r="K21" s="132">
        <f t="shared" si="6"/>
        <v>0.69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5"/>
        <v>0</v>
      </c>
      <c r="H22" s="132">
        <f t="shared" si="5"/>
        <v>0</v>
      </c>
      <c r="I22" s="134">
        <f t="shared" si="3"/>
        <v>14.332492189377556</v>
      </c>
      <c r="J22" s="134">
        <f t="shared" si="2"/>
        <v>47.71</v>
      </c>
      <c r="K22" s="132">
        <f t="shared" si="6"/>
        <v>0.71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5"/>
        <v>0</v>
      </c>
      <c r="H23" s="132">
        <f t="shared" si="5"/>
        <v>0</v>
      </c>
      <c r="I23" s="134">
        <f t="shared" si="3"/>
        <v>14.662941600576787</v>
      </c>
      <c r="J23" s="134">
        <f t="shared" si="2"/>
        <v>48.81</v>
      </c>
      <c r="K23" s="132">
        <f t="shared" si="6"/>
        <v>0.73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14.99939918288873</v>
      </c>
      <c r="G24" s="132">
        <f t="shared" si="5"/>
        <v>0</v>
      </c>
      <c r="H24" s="132">
        <f t="shared" si="5"/>
        <v>0</v>
      </c>
      <c r="I24" s="134">
        <f t="shared" si="3"/>
        <v>14.99939918288873</v>
      </c>
      <c r="J24" s="134">
        <f t="shared" si="2"/>
        <v>49.93</v>
      </c>
      <c r="K24" s="132">
        <f t="shared" si="6"/>
        <v>0.75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15.344869021869744</v>
      </c>
      <c r="G25" s="132">
        <f t="shared" si="5"/>
        <v>0</v>
      </c>
      <c r="H25" s="132">
        <f t="shared" si="5"/>
        <v>0</v>
      </c>
      <c r="I25" s="134">
        <f t="shared" si="3"/>
        <v>15.344869021869744</v>
      </c>
      <c r="J25" s="134">
        <f t="shared" si="2"/>
        <v>51.08</v>
      </c>
      <c r="K25" s="132">
        <f t="shared" si="6"/>
        <v>0.77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15.696347031963471</v>
      </c>
      <c r="G26" s="132">
        <f t="shared" si="5"/>
        <v>0</v>
      </c>
      <c r="H26" s="132">
        <f t="shared" si="5"/>
        <v>0</v>
      </c>
      <c r="I26" s="134">
        <f t="shared" si="3"/>
        <v>15.696347031963471</v>
      </c>
      <c r="J26" s="134">
        <f t="shared" si="2"/>
        <v>52.25</v>
      </c>
      <c r="K26" s="132">
        <f t="shared" si="6"/>
        <v>0.79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53.4</v>
      </c>
      <c r="F27" s="134">
        <f t="shared" si="1"/>
        <v>16.041816870944483</v>
      </c>
      <c r="G27" s="132">
        <f t="shared" si="5"/>
        <v>0</v>
      </c>
      <c r="H27" s="132">
        <f t="shared" si="5"/>
        <v>0</v>
      </c>
      <c r="I27" s="134">
        <f t="shared" si="3"/>
        <v>16.041816870944483</v>
      </c>
      <c r="J27" s="134">
        <f t="shared" si="2"/>
        <v>53.4</v>
      </c>
      <c r="K27" s="132">
        <f t="shared" si="6"/>
        <v>0.81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54.57</v>
      </c>
      <c r="F28" s="134">
        <f t="shared" si="1"/>
        <v>16.393294881038212</v>
      </c>
      <c r="G28" s="132">
        <f t="shared" si="5"/>
        <v>0</v>
      </c>
      <c r="H28" s="132">
        <f t="shared" si="5"/>
        <v>0</v>
      </c>
      <c r="I28" s="134">
        <f t="shared" si="3"/>
        <v>16.393294881038212</v>
      </c>
      <c r="J28" s="134">
        <f t="shared" si="2"/>
        <v>54.57</v>
      </c>
      <c r="K28" s="132">
        <f t="shared" si="6"/>
        <v>0.83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55.77</v>
      </c>
      <c r="F29" s="134">
        <f t="shared" si="1"/>
        <v>47.011328348469455</v>
      </c>
      <c r="G29" s="132">
        <f t="shared" si="5"/>
        <v>0</v>
      </c>
      <c r="H29" s="132">
        <f t="shared" si="5"/>
        <v>0</v>
      </c>
      <c r="I29" s="134">
        <f t="shared" si="3"/>
        <v>47.011328348469455</v>
      </c>
      <c r="J29" s="134">
        <f t="shared" si="2"/>
        <v>156.49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102.94</v>
      </c>
      <c r="E30" s="132">
        <f t="shared" si="5"/>
        <v>57</v>
      </c>
      <c r="F30" s="134">
        <f t="shared" si="1"/>
        <v>48.047344388368181</v>
      </c>
      <c r="G30" s="132">
        <f t="shared" si="5"/>
        <v>0</v>
      </c>
      <c r="H30" s="132">
        <f t="shared" si="5"/>
        <v>0</v>
      </c>
      <c r="I30" s="134">
        <f t="shared" si="3"/>
        <v>48.047344388368181</v>
      </c>
      <c r="J30" s="134">
        <f t="shared" si="2"/>
        <v>159.94</v>
      </c>
      <c r="K30" s="132">
        <f t="shared" si="6"/>
        <v>0.87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105.2</v>
      </c>
      <c r="E31" s="132">
        <f t="shared" si="5"/>
        <v>58.25</v>
      </c>
      <c r="F31" s="134">
        <f t="shared" si="1"/>
        <v>49.10177841864936</v>
      </c>
      <c r="G31" s="132">
        <f t="shared" si="5"/>
        <v>0</v>
      </c>
      <c r="H31" s="132">
        <f t="shared" si="5"/>
        <v>0</v>
      </c>
      <c r="I31" s="134">
        <f t="shared" si="3"/>
        <v>49.10177841864936</v>
      </c>
      <c r="J31" s="134">
        <f t="shared" si="2"/>
        <v>163.44999999999999</v>
      </c>
      <c r="K31" s="132">
        <f t="shared" si="6"/>
        <v>0.89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107.51</v>
      </c>
      <c r="E32" s="132">
        <f t="shared" si="5"/>
        <v>59.53</v>
      </c>
      <c r="F32" s="134">
        <f t="shared" si="1"/>
        <v>50.180245133381412</v>
      </c>
      <c r="G32" s="132">
        <f t="shared" si="5"/>
        <v>0</v>
      </c>
      <c r="H32" s="132">
        <f t="shared" si="5"/>
        <v>0</v>
      </c>
      <c r="I32" s="134">
        <f t="shared" si="3"/>
        <v>50.180245133381412</v>
      </c>
      <c r="J32" s="134">
        <f t="shared" si="2"/>
        <v>167.04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109.88</v>
      </c>
      <c r="E33" s="132">
        <f t="shared" si="5"/>
        <v>60.84</v>
      </c>
      <c r="F33" s="134">
        <f t="shared" si="1"/>
        <v>51.28574861812065</v>
      </c>
      <c r="G33" s="132">
        <f t="shared" si="5"/>
        <v>0</v>
      </c>
      <c r="H33" s="132">
        <f t="shared" si="5"/>
        <v>0</v>
      </c>
      <c r="I33" s="134">
        <f t="shared" si="3"/>
        <v>51.28574861812065</v>
      </c>
      <c r="J33" s="134">
        <f t="shared" si="2"/>
        <v>170.72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112.3</v>
      </c>
      <c r="E34" s="132">
        <f t="shared" si="5"/>
        <v>62.18</v>
      </c>
      <c r="F34" s="134">
        <f t="shared" si="1"/>
        <v>52.415284787310746</v>
      </c>
      <c r="G34" s="132">
        <f t="shared" si="5"/>
        <v>0</v>
      </c>
      <c r="H34" s="132">
        <f t="shared" si="5"/>
        <v>0</v>
      </c>
      <c r="I34" s="134">
        <f t="shared" si="3"/>
        <v>52.415284787310746</v>
      </c>
      <c r="J34" s="134">
        <f t="shared" si="2"/>
        <v>174.48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114.77</v>
      </c>
      <c r="E35" s="132">
        <f t="shared" si="5"/>
        <v>63.55</v>
      </c>
      <c r="F35" s="134">
        <f t="shared" si="1"/>
        <v>53.568853640951694</v>
      </c>
      <c r="G35" s="132">
        <f t="shared" si="5"/>
        <v>0</v>
      </c>
      <c r="H35" s="132">
        <f t="shared" si="5"/>
        <v>0</v>
      </c>
      <c r="I35" s="134">
        <f t="shared" si="3"/>
        <v>53.568853640951694</v>
      </c>
      <c r="J35" s="134">
        <f t="shared" si="2"/>
        <v>178.32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117.41</v>
      </c>
      <c r="E36" s="132">
        <f t="shared" si="5"/>
        <v>65.010000000000005</v>
      </c>
      <c r="F36" s="134">
        <f t="shared" si="1"/>
        <v>54.80052871905793</v>
      </c>
      <c r="G36" s="132">
        <f t="shared" si="5"/>
        <v>0</v>
      </c>
      <c r="H36" s="132">
        <f t="shared" si="5"/>
        <v>0</v>
      </c>
      <c r="I36" s="134">
        <f t="shared" si="3"/>
        <v>54.80052871905793</v>
      </c>
      <c r="J36" s="134">
        <f t="shared" si="2"/>
        <v>182.42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1417.4139219193135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128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Oregon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si="5"/>
        <v>0</v>
      </c>
      <c r="H13" s="132">
        <f t="shared" si="5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5"/>
        <v>0</v>
      </c>
      <c r="H14" s="132">
        <f t="shared" si="5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5"/>
        <v>0</v>
      </c>
      <c r="H15" s="132">
        <f t="shared" si="5"/>
        <v>0</v>
      </c>
      <c r="I15" s="134">
        <f t="shared" si="3"/>
        <v>12.286709925498679</v>
      </c>
      <c r="J15" s="134">
        <f t="shared" si="2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5"/>
        <v>0</v>
      </c>
      <c r="H16" s="132">
        <f t="shared" si="5"/>
        <v>0</v>
      </c>
      <c r="I16" s="134">
        <f t="shared" si="3"/>
        <v>12.569093967796205</v>
      </c>
      <c r="J16" s="134">
        <f t="shared" si="2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5"/>
        <v>0</v>
      </c>
      <c r="H17" s="132">
        <f t="shared" si="5"/>
        <v>0</v>
      </c>
      <c r="I17" s="134">
        <f t="shared" si="3"/>
        <v>12.845469838981014</v>
      </c>
      <c r="J17" s="134">
        <f t="shared" si="2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5"/>
        <v>0</v>
      </c>
      <c r="H18" s="132">
        <f t="shared" si="5"/>
        <v>0</v>
      </c>
      <c r="I18" s="134">
        <f t="shared" si="3"/>
        <v>13.12785388127854</v>
      </c>
      <c r="J18" s="134">
        <f t="shared" si="2"/>
        <v>43.7</v>
      </c>
      <c r="K18" s="132">
        <f t="shared" si="6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5"/>
        <v>0</v>
      </c>
      <c r="H19" s="132">
        <f t="shared" si="5"/>
        <v>0</v>
      </c>
      <c r="I19" s="134">
        <f t="shared" si="3"/>
        <v>13.416246094688777</v>
      </c>
      <c r="J19" s="134">
        <f t="shared" si="2"/>
        <v>44.66</v>
      </c>
      <c r="K19" s="132">
        <f t="shared" si="6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5"/>
        <v>0</v>
      </c>
      <c r="H20" s="132">
        <f t="shared" si="5"/>
        <v>0</v>
      </c>
      <c r="I20" s="134">
        <f t="shared" si="3"/>
        <v>13.710646479211729</v>
      </c>
      <c r="J20" s="134">
        <f t="shared" si="2"/>
        <v>45.64</v>
      </c>
      <c r="K20" s="132">
        <f t="shared" si="6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5"/>
        <v>0</v>
      </c>
      <c r="H21" s="132">
        <f t="shared" si="5"/>
        <v>0</v>
      </c>
      <c r="I21" s="134">
        <f t="shared" si="3"/>
        <v>14.011055034847393</v>
      </c>
      <c r="J21" s="134">
        <f t="shared" si="2"/>
        <v>46.64</v>
      </c>
      <c r="K21" s="132">
        <f t="shared" si="6"/>
        <v>0.69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5"/>
        <v>0</v>
      </c>
      <c r="H22" s="132">
        <f t="shared" si="5"/>
        <v>0</v>
      </c>
      <c r="I22" s="134">
        <f t="shared" si="3"/>
        <v>14.332492189377556</v>
      </c>
      <c r="J22" s="134">
        <f t="shared" si="2"/>
        <v>47.71</v>
      </c>
      <c r="K22" s="132">
        <f t="shared" si="6"/>
        <v>0.71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5"/>
        <v>0</v>
      </c>
      <c r="H23" s="132">
        <f t="shared" si="5"/>
        <v>0</v>
      </c>
      <c r="I23" s="134">
        <f t="shared" si="3"/>
        <v>14.662941600576787</v>
      </c>
      <c r="J23" s="134">
        <f t="shared" si="2"/>
        <v>48.81</v>
      </c>
      <c r="K23" s="132">
        <f t="shared" si="6"/>
        <v>0.73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49.93</v>
      </c>
      <c r="F24" s="134">
        <f t="shared" si="1"/>
        <v>14.99939918288873</v>
      </c>
      <c r="G24" s="132">
        <f t="shared" si="5"/>
        <v>0</v>
      </c>
      <c r="H24" s="132">
        <f t="shared" si="5"/>
        <v>0</v>
      </c>
      <c r="I24" s="134">
        <f t="shared" si="3"/>
        <v>14.99939918288873</v>
      </c>
      <c r="J24" s="134">
        <f t="shared" si="2"/>
        <v>49.93</v>
      </c>
      <c r="K24" s="132">
        <f t="shared" si="6"/>
        <v>0.75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51.08</v>
      </c>
      <c r="F25" s="134">
        <f t="shared" si="1"/>
        <v>15.344869021869744</v>
      </c>
      <c r="G25" s="132">
        <f t="shared" si="5"/>
        <v>0</v>
      </c>
      <c r="H25" s="132">
        <f t="shared" si="5"/>
        <v>0</v>
      </c>
      <c r="I25" s="134">
        <f t="shared" si="3"/>
        <v>15.344869021869744</v>
      </c>
      <c r="J25" s="134">
        <f t="shared" si="2"/>
        <v>51.08</v>
      </c>
      <c r="K25" s="132">
        <f t="shared" si="6"/>
        <v>0.77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52.25</v>
      </c>
      <c r="F26" s="134">
        <f t="shared" si="1"/>
        <v>15.696347031963471</v>
      </c>
      <c r="G26" s="132">
        <f t="shared" si="5"/>
        <v>0</v>
      </c>
      <c r="H26" s="132">
        <f t="shared" si="5"/>
        <v>0</v>
      </c>
      <c r="I26" s="134">
        <f t="shared" si="3"/>
        <v>15.696347031963471</v>
      </c>
      <c r="J26" s="134">
        <f t="shared" si="2"/>
        <v>52.25</v>
      </c>
      <c r="K26" s="132">
        <f t="shared" si="6"/>
        <v>0.79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53.4</v>
      </c>
      <c r="F27" s="134">
        <f t="shared" si="1"/>
        <v>16.041816870944483</v>
      </c>
      <c r="G27" s="132">
        <f t="shared" si="5"/>
        <v>0</v>
      </c>
      <c r="H27" s="132">
        <f t="shared" si="5"/>
        <v>0</v>
      </c>
      <c r="I27" s="134">
        <f t="shared" si="3"/>
        <v>16.041816870944483</v>
      </c>
      <c r="J27" s="134">
        <f t="shared" si="2"/>
        <v>53.4</v>
      </c>
      <c r="K27" s="132">
        <f t="shared" si="6"/>
        <v>0.81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54.57</v>
      </c>
      <c r="F28" s="134">
        <f t="shared" si="1"/>
        <v>16.393294881038212</v>
      </c>
      <c r="G28" s="132">
        <f t="shared" si="5"/>
        <v>0</v>
      </c>
      <c r="H28" s="132">
        <f t="shared" si="5"/>
        <v>0</v>
      </c>
      <c r="I28" s="134">
        <f t="shared" si="3"/>
        <v>16.393294881038212</v>
      </c>
      <c r="J28" s="134">
        <f t="shared" si="2"/>
        <v>54.57</v>
      </c>
      <c r="K28" s="132">
        <f t="shared" si="6"/>
        <v>0.83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1397.0737350359179</v>
      </c>
      <c r="D29" s="132">
        <f>C29*$C$62</f>
        <v>99.275937898489545</v>
      </c>
      <c r="E29" s="132">
        <f t="shared" si="5"/>
        <v>55.77</v>
      </c>
      <c r="F29" s="134">
        <f t="shared" si="1"/>
        <v>46.57712626126218</v>
      </c>
      <c r="G29" s="132">
        <f t="shared" si="5"/>
        <v>0</v>
      </c>
      <c r="H29" s="132">
        <f t="shared" si="5"/>
        <v>0</v>
      </c>
      <c r="I29" s="134">
        <f t="shared" si="3"/>
        <v>46.57712626126218</v>
      </c>
      <c r="J29" s="134">
        <f t="shared" si="2"/>
        <v>155.05000000000001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101.46</v>
      </c>
      <c r="E30" s="132">
        <f t="shared" si="5"/>
        <v>57</v>
      </c>
      <c r="F30" s="134">
        <f t="shared" si="1"/>
        <v>47.602739726027394</v>
      </c>
      <c r="G30" s="132">
        <f t="shared" si="5"/>
        <v>0</v>
      </c>
      <c r="H30" s="132">
        <f t="shared" si="5"/>
        <v>0</v>
      </c>
      <c r="I30" s="134">
        <f t="shared" si="3"/>
        <v>47.602739726027394</v>
      </c>
      <c r="J30" s="134">
        <f t="shared" si="2"/>
        <v>158.46</v>
      </c>
      <c r="K30" s="132">
        <f t="shared" si="6"/>
        <v>0.87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103.69</v>
      </c>
      <c r="E31" s="132">
        <f t="shared" si="5"/>
        <v>58.25</v>
      </c>
      <c r="F31" s="134">
        <f t="shared" si="1"/>
        <v>48.648161499639514</v>
      </c>
      <c r="G31" s="132">
        <f t="shared" si="5"/>
        <v>0</v>
      </c>
      <c r="H31" s="132">
        <f t="shared" si="5"/>
        <v>0</v>
      </c>
      <c r="I31" s="134">
        <f t="shared" si="3"/>
        <v>48.648161499639514</v>
      </c>
      <c r="J31" s="134">
        <f t="shared" si="2"/>
        <v>161.94</v>
      </c>
      <c r="K31" s="132">
        <f t="shared" si="6"/>
        <v>0.89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105.97</v>
      </c>
      <c r="E32" s="132">
        <f t="shared" si="5"/>
        <v>59.53</v>
      </c>
      <c r="F32" s="134">
        <f t="shared" si="1"/>
        <v>49.717615957702478</v>
      </c>
      <c r="G32" s="132">
        <f t="shared" si="5"/>
        <v>0</v>
      </c>
      <c r="H32" s="132">
        <f t="shared" si="5"/>
        <v>0</v>
      </c>
      <c r="I32" s="134">
        <f t="shared" si="3"/>
        <v>49.717615957702478</v>
      </c>
      <c r="J32" s="134">
        <f t="shared" si="2"/>
        <v>165.5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108.3</v>
      </c>
      <c r="E33" s="132">
        <f t="shared" si="5"/>
        <v>60.84</v>
      </c>
      <c r="F33" s="134">
        <f t="shared" si="1"/>
        <v>50.811103100216293</v>
      </c>
      <c r="G33" s="132">
        <f t="shared" si="5"/>
        <v>0</v>
      </c>
      <c r="H33" s="132">
        <f t="shared" si="5"/>
        <v>0</v>
      </c>
      <c r="I33" s="134">
        <f t="shared" si="3"/>
        <v>50.811103100216293</v>
      </c>
      <c r="J33" s="134">
        <f t="shared" si="2"/>
        <v>169.14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110.68</v>
      </c>
      <c r="E34" s="132">
        <f t="shared" si="5"/>
        <v>62.18</v>
      </c>
      <c r="F34" s="134">
        <f t="shared" si="1"/>
        <v>51.928622927180975</v>
      </c>
      <c r="G34" s="132">
        <f t="shared" si="5"/>
        <v>0</v>
      </c>
      <c r="H34" s="132">
        <f t="shared" si="5"/>
        <v>0</v>
      </c>
      <c r="I34" s="134">
        <f t="shared" si="3"/>
        <v>51.928622927180975</v>
      </c>
      <c r="J34" s="134">
        <f t="shared" si="2"/>
        <v>172.86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113.11</v>
      </c>
      <c r="E35" s="132">
        <f t="shared" si="5"/>
        <v>63.55</v>
      </c>
      <c r="F35" s="134">
        <f t="shared" si="1"/>
        <v>53.070175438596493</v>
      </c>
      <c r="G35" s="132">
        <f t="shared" si="5"/>
        <v>0</v>
      </c>
      <c r="H35" s="132">
        <f t="shared" si="5"/>
        <v>0</v>
      </c>
      <c r="I35" s="134">
        <f t="shared" si="3"/>
        <v>53.070175438596493</v>
      </c>
      <c r="J35" s="134">
        <f t="shared" si="2"/>
        <v>176.66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115.71</v>
      </c>
      <c r="E36" s="132">
        <f t="shared" si="5"/>
        <v>65.010000000000005</v>
      </c>
      <c r="F36" s="134">
        <f t="shared" si="1"/>
        <v>54.289834174477292</v>
      </c>
      <c r="G36" s="132">
        <f t="shared" si="5"/>
        <v>0</v>
      </c>
      <c r="H36" s="132">
        <f t="shared" si="5"/>
        <v>0</v>
      </c>
      <c r="I36" s="134">
        <f t="shared" si="3"/>
        <v>54.289834174477292</v>
      </c>
      <c r="J36" s="134">
        <f t="shared" si="2"/>
        <v>180.72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1397.0737350359179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168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Yakima Solar Resource-2030 - 25%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M11" s="239">
        <v>34.793006303232339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19.53</v>
      </c>
      <c r="F13" s="134">
        <f t="shared" si="1"/>
        <v>8.9536227100181556</v>
      </c>
      <c r="G13" s="132">
        <f t="shared" si="4"/>
        <v>0</v>
      </c>
      <c r="H13" s="132">
        <f t="shared" si="4"/>
        <v>0</v>
      </c>
      <c r="I13" s="134">
        <f t="shared" si="2"/>
        <v>8.9536227100181556</v>
      </c>
      <c r="J13" s="134">
        <f t="shared" si="3"/>
        <v>19.53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19.96</v>
      </c>
      <c r="F14" s="134">
        <f t="shared" si="1"/>
        <v>9.1507582842786679</v>
      </c>
      <c r="G14" s="132">
        <f t="shared" si="4"/>
        <v>0</v>
      </c>
      <c r="H14" s="132">
        <f t="shared" si="4"/>
        <v>0</v>
      </c>
      <c r="I14" s="134">
        <f t="shared" si="2"/>
        <v>9.1507582842786679</v>
      </c>
      <c r="J14" s="134">
        <f t="shared" si="3"/>
        <v>19.96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20.399999999999999</v>
      </c>
      <c r="F15" s="134">
        <f t="shared" si="1"/>
        <v>9.3524784067777968</v>
      </c>
      <c r="G15" s="132">
        <f t="shared" si="4"/>
        <v>0</v>
      </c>
      <c r="H15" s="132">
        <f t="shared" si="4"/>
        <v>0</v>
      </c>
      <c r="I15" s="134">
        <f t="shared" si="2"/>
        <v>9.3524784067777968</v>
      </c>
      <c r="J15" s="134">
        <f t="shared" si="3"/>
        <v>20.399999999999999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20.87</v>
      </c>
      <c r="F16" s="134">
        <f t="shared" si="1"/>
        <v>9.5679521739927758</v>
      </c>
      <c r="G16" s="132">
        <f t="shared" si="4"/>
        <v>0</v>
      </c>
      <c r="H16" s="132">
        <f t="shared" si="4"/>
        <v>0</v>
      </c>
      <c r="I16" s="134">
        <f t="shared" si="2"/>
        <v>9.5679521739927758</v>
      </c>
      <c r="J16" s="134">
        <f t="shared" si="3"/>
        <v>20.87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21.33</v>
      </c>
      <c r="F17" s="134">
        <f t="shared" si="1"/>
        <v>9.7788413929691362</v>
      </c>
      <c r="G17" s="132">
        <f t="shared" si="4"/>
        <v>0</v>
      </c>
      <c r="H17" s="132">
        <f t="shared" si="4"/>
        <v>0</v>
      </c>
      <c r="I17" s="134">
        <f t="shared" si="2"/>
        <v>9.7788413929691362</v>
      </c>
      <c r="J17" s="134">
        <f t="shared" si="3"/>
        <v>21.33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21.8</v>
      </c>
      <c r="F18" s="134">
        <f t="shared" si="1"/>
        <v>9.9943151601841169</v>
      </c>
      <c r="G18" s="132">
        <f t="shared" si="4"/>
        <v>0</v>
      </c>
      <c r="H18" s="132">
        <f t="shared" si="4"/>
        <v>0</v>
      </c>
      <c r="I18" s="134">
        <f t="shared" si="2"/>
        <v>9.9943151601841169</v>
      </c>
      <c r="J18" s="134">
        <f t="shared" si="3"/>
        <v>21.8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22.28</v>
      </c>
      <c r="F19" s="134">
        <f t="shared" si="1"/>
        <v>10.214373475637712</v>
      </c>
      <c r="G19" s="132">
        <f t="shared" si="4"/>
        <v>0</v>
      </c>
      <c r="H19" s="132">
        <f t="shared" si="4"/>
        <v>0</v>
      </c>
      <c r="I19" s="134">
        <f t="shared" si="2"/>
        <v>10.214373475637712</v>
      </c>
      <c r="J19" s="134">
        <f t="shared" si="3"/>
        <v>22.28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22.77</v>
      </c>
      <c r="F20" s="134">
        <f t="shared" si="1"/>
        <v>10.439016339329923</v>
      </c>
      <c r="G20" s="132">
        <f t="shared" si="4"/>
        <v>0</v>
      </c>
      <c r="H20" s="132">
        <f t="shared" si="4"/>
        <v>0</v>
      </c>
      <c r="I20" s="134">
        <f t="shared" si="2"/>
        <v>10.439016339329923</v>
      </c>
      <c r="J20" s="134">
        <f t="shared" si="3"/>
        <v>22.77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23.27</v>
      </c>
      <c r="F21" s="134">
        <f t="shared" si="1"/>
        <v>10.668243751260752</v>
      </c>
      <c r="G21" s="132">
        <f t="shared" si="4"/>
        <v>0</v>
      </c>
      <c r="H21" s="132">
        <f t="shared" si="4"/>
        <v>0</v>
      </c>
      <c r="I21" s="134">
        <f t="shared" si="2"/>
        <v>10.668243751260752</v>
      </c>
      <c r="J21" s="134">
        <f t="shared" si="3"/>
        <v>23.27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23.81</v>
      </c>
      <c r="F22" s="134">
        <f t="shared" si="1"/>
        <v>10.915809356146045</v>
      </c>
      <c r="G22" s="132">
        <f t="shared" si="4"/>
        <v>0</v>
      </c>
      <c r="H22" s="132">
        <f t="shared" si="4"/>
        <v>0</v>
      </c>
      <c r="I22" s="134">
        <f t="shared" si="2"/>
        <v>10.915809356146045</v>
      </c>
      <c r="J22" s="134">
        <f t="shared" si="3"/>
        <v>23.81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24.36</v>
      </c>
      <c r="F23" s="134">
        <f t="shared" si="1"/>
        <v>11.167959509269958</v>
      </c>
      <c r="G23" s="132">
        <f t="shared" si="4"/>
        <v>0</v>
      </c>
      <c r="H23" s="132">
        <f t="shared" si="4"/>
        <v>0</v>
      </c>
      <c r="I23" s="134">
        <f t="shared" si="2"/>
        <v>11.167959509269958</v>
      </c>
      <c r="J23" s="134">
        <f t="shared" si="3"/>
        <v>24.36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>
        <f>$C$55</f>
        <v>1192.5044909019937</v>
      </c>
      <c r="D24" s="132">
        <f>C24*$C$62</f>
        <v>92.05729505283152</v>
      </c>
      <c r="E24" s="132">
        <f t="shared" si="4"/>
        <v>24.92</v>
      </c>
      <c r="F24" s="134">
        <f t="shared" si="1"/>
        <v>53.62880519925892</v>
      </c>
      <c r="G24" s="132">
        <f t="shared" si="4"/>
        <v>0</v>
      </c>
      <c r="H24" s="132">
        <f t="shared" si="4"/>
        <v>0</v>
      </c>
      <c r="I24" s="134">
        <f t="shared" si="2"/>
        <v>53.62880519925892</v>
      </c>
      <c r="J24" s="134">
        <f t="shared" si="3"/>
        <v>116.98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94.17</v>
      </c>
      <c r="E25" s="132">
        <f t="shared" si="4"/>
        <v>25.49</v>
      </c>
      <c r="F25" s="134">
        <f t="shared" si="1"/>
        <v>54.858704223285841</v>
      </c>
      <c r="G25" s="132">
        <f t="shared" si="4"/>
        <v>0</v>
      </c>
      <c r="H25" s="132">
        <f t="shared" si="4"/>
        <v>0</v>
      </c>
      <c r="I25" s="134">
        <f t="shared" si="2"/>
        <v>54.858704223285841</v>
      </c>
      <c r="J25" s="134">
        <f t="shared" si="3"/>
        <v>119.66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96.34</v>
      </c>
      <c r="E26" s="132">
        <f t="shared" si="4"/>
        <v>26.08</v>
      </c>
      <c r="F26" s="134">
        <f t="shared" si="1"/>
        <v>56.124039537144014</v>
      </c>
      <c r="G26" s="132">
        <f t="shared" si="4"/>
        <v>0</v>
      </c>
      <c r="H26" s="132">
        <f t="shared" si="4"/>
        <v>0</v>
      </c>
      <c r="I26" s="134">
        <f t="shared" si="2"/>
        <v>56.124039537144014</v>
      </c>
      <c r="J26" s="134">
        <f t="shared" si="3"/>
        <v>122.42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98.46</v>
      </c>
      <c r="E27" s="132">
        <f t="shared" si="4"/>
        <v>26.65</v>
      </c>
      <c r="F27" s="134">
        <f t="shared" si="1"/>
        <v>57.357283013331866</v>
      </c>
      <c r="G27" s="132">
        <f t="shared" si="4"/>
        <v>0</v>
      </c>
      <c r="H27" s="132">
        <f t="shared" si="4"/>
        <v>0</v>
      </c>
      <c r="I27" s="134">
        <f t="shared" si="2"/>
        <v>57.357283013331866</v>
      </c>
      <c r="J27" s="134">
        <f t="shared" si="3"/>
        <v>125.11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100.63</v>
      </c>
      <c r="E28" s="132">
        <f t="shared" si="4"/>
        <v>27.24</v>
      </c>
      <c r="F28" s="134">
        <f t="shared" si="1"/>
        <v>58.62261832719004</v>
      </c>
      <c r="G28" s="132">
        <f t="shared" si="4"/>
        <v>0</v>
      </c>
      <c r="H28" s="132">
        <f t="shared" si="4"/>
        <v>0</v>
      </c>
      <c r="I28" s="134">
        <f t="shared" si="2"/>
        <v>58.62261832719004</v>
      </c>
      <c r="J28" s="134">
        <f t="shared" si="3"/>
        <v>127.87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102.84</v>
      </c>
      <c r="E29" s="132">
        <f t="shared" si="4"/>
        <v>27.84</v>
      </c>
      <c r="F29" s="134">
        <f t="shared" si="1"/>
        <v>59.910876382241298</v>
      </c>
      <c r="G29" s="132">
        <f t="shared" si="4"/>
        <v>0</v>
      </c>
      <c r="H29" s="132">
        <f t="shared" si="4"/>
        <v>0</v>
      </c>
      <c r="I29" s="134">
        <f t="shared" si="2"/>
        <v>59.910876382241298</v>
      </c>
      <c r="J29" s="134">
        <f t="shared" si="3"/>
        <v>130.68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105.1</v>
      </c>
      <c r="E30" s="132">
        <f t="shared" si="4"/>
        <v>28.45</v>
      </c>
      <c r="F30" s="134">
        <f t="shared" si="1"/>
        <v>61.226641726724246</v>
      </c>
      <c r="G30" s="132">
        <f t="shared" si="4"/>
        <v>0</v>
      </c>
      <c r="H30" s="132">
        <f t="shared" si="4"/>
        <v>0</v>
      </c>
      <c r="I30" s="134">
        <f t="shared" si="2"/>
        <v>61.226641726724246</v>
      </c>
      <c r="J30" s="134">
        <f t="shared" si="3"/>
        <v>133.55000000000001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107.41</v>
      </c>
      <c r="E31" s="132">
        <f t="shared" si="4"/>
        <v>29.08</v>
      </c>
      <c r="F31" s="134">
        <f t="shared" si="1"/>
        <v>62.57449890887753</v>
      </c>
      <c r="G31" s="132">
        <f t="shared" si="4"/>
        <v>0</v>
      </c>
      <c r="H31" s="132">
        <f t="shared" si="4"/>
        <v>0</v>
      </c>
      <c r="I31" s="134">
        <f t="shared" si="2"/>
        <v>62.57449890887753</v>
      </c>
      <c r="J31" s="134">
        <f t="shared" si="3"/>
        <v>136.49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109.77</v>
      </c>
      <c r="E32" s="132">
        <f t="shared" si="4"/>
        <v>29.72</v>
      </c>
      <c r="F32" s="134">
        <f t="shared" si="1"/>
        <v>63.949863380462496</v>
      </c>
      <c r="G32" s="132">
        <f t="shared" si="4"/>
        <v>0</v>
      </c>
      <c r="H32" s="132">
        <f t="shared" si="4"/>
        <v>0</v>
      </c>
      <c r="I32" s="134">
        <f t="shared" si="2"/>
        <v>63.949863380462496</v>
      </c>
      <c r="J32" s="134">
        <f t="shared" si="3"/>
        <v>139.49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112.18</v>
      </c>
      <c r="E33" s="132">
        <f t="shared" si="4"/>
        <v>30.37</v>
      </c>
      <c r="F33" s="134">
        <f t="shared" si="1"/>
        <v>65.352735141479172</v>
      </c>
      <c r="G33" s="132">
        <f t="shared" si="4"/>
        <v>0</v>
      </c>
      <c r="H33" s="132">
        <f t="shared" si="4"/>
        <v>0</v>
      </c>
      <c r="I33" s="134">
        <f t="shared" si="2"/>
        <v>65.352735141479172</v>
      </c>
      <c r="J33" s="134">
        <f t="shared" si="3"/>
        <v>142.55000000000001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114.65</v>
      </c>
      <c r="E34" s="132">
        <f t="shared" si="4"/>
        <v>31.04</v>
      </c>
      <c r="F34" s="134">
        <f t="shared" si="1"/>
        <v>66.792283288404761</v>
      </c>
      <c r="G34" s="132">
        <f t="shared" si="4"/>
        <v>0</v>
      </c>
      <c r="H34" s="132">
        <f t="shared" si="4"/>
        <v>0</v>
      </c>
      <c r="I34" s="134">
        <f t="shared" si="2"/>
        <v>66.792283288404761</v>
      </c>
      <c r="J34" s="134">
        <f t="shared" si="3"/>
        <v>145.69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117.17</v>
      </c>
      <c r="E35" s="132">
        <f t="shared" si="4"/>
        <v>31.72</v>
      </c>
      <c r="F35" s="134">
        <f t="shared" si="1"/>
        <v>68.25933872476206</v>
      </c>
      <c r="G35" s="132">
        <f t="shared" si="4"/>
        <v>0</v>
      </c>
      <c r="H35" s="132">
        <f t="shared" si="4"/>
        <v>0</v>
      </c>
      <c r="I35" s="134">
        <f t="shared" si="2"/>
        <v>68.25933872476206</v>
      </c>
      <c r="J35" s="134">
        <f t="shared" si="3"/>
        <v>148.88999999999999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119.86</v>
      </c>
      <c r="E36" s="132">
        <f t="shared" si="4"/>
        <v>32.450000000000003</v>
      </c>
      <c r="F36" s="134">
        <f t="shared" si="1"/>
        <v>69.827254222368936</v>
      </c>
      <c r="G36" s="132">
        <f t="shared" si="4"/>
        <v>0</v>
      </c>
      <c r="H36" s="132">
        <f t="shared" si="4"/>
        <v>0</v>
      </c>
      <c r="I36" s="134">
        <f t="shared" si="2"/>
        <v>69.827254222368936</v>
      </c>
      <c r="J36" s="134">
        <f t="shared" si="3"/>
        <v>152.31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Resource-2030 - 25%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185">
        <v>1192.5044909019937</v>
      </c>
      <c r="D55" s="121" t="s">
        <v>73</v>
      </c>
      <c r="H55" s="121" t="s">
        <v>9</v>
      </c>
    </row>
    <row r="56" spans="2:24">
      <c r="B56" s="85" t="s">
        <v>110</v>
      </c>
      <c r="C56" s="154">
        <v>18.74175672264068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0.249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169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Yakima Solar Resource-2032 - 25%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19.53</v>
      </c>
      <c r="F13" s="134">
        <f t="shared" si="1"/>
        <v>8.9536227100181556</v>
      </c>
      <c r="G13" s="132">
        <f t="shared" si="4"/>
        <v>0</v>
      </c>
      <c r="H13" s="132">
        <f t="shared" si="4"/>
        <v>0</v>
      </c>
      <c r="I13" s="134">
        <f t="shared" si="2"/>
        <v>8.9536227100181556</v>
      </c>
      <c r="J13" s="134">
        <f t="shared" si="3"/>
        <v>19.53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19.96</v>
      </c>
      <c r="F14" s="134">
        <f t="shared" si="1"/>
        <v>9.1507582842786679</v>
      </c>
      <c r="G14" s="132">
        <f t="shared" si="4"/>
        <v>0</v>
      </c>
      <c r="H14" s="132">
        <f t="shared" si="4"/>
        <v>0</v>
      </c>
      <c r="I14" s="134">
        <f t="shared" si="2"/>
        <v>9.1507582842786679</v>
      </c>
      <c r="J14" s="134">
        <f t="shared" si="3"/>
        <v>19.96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20.399999999999999</v>
      </c>
      <c r="F15" s="134">
        <f t="shared" si="1"/>
        <v>9.3524784067777968</v>
      </c>
      <c r="G15" s="132">
        <f t="shared" si="4"/>
        <v>0</v>
      </c>
      <c r="H15" s="132">
        <f t="shared" si="4"/>
        <v>0</v>
      </c>
      <c r="I15" s="134">
        <f t="shared" si="2"/>
        <v>9.3524784067777968</v>
      </c>
      <c r="J15" s="134">
        <f t="shared" si="3"/>
        <v>20.399999999999999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20.87</v>
      </c>
      <c r="F16" s="134">
        <f t="shared" si="1"/>
        <v>9.5679521739927758</v>
      </c>
      <c r="G16" s="132">
        <f t="shared" si="4"/>
        <v>0</v>
      </c>
      <c r="H16" s="132">
        <f t="shared" si="4"/>
        <v>0</v>
      </c>
      <c r="I16" s="134">
        <f t="shared" si="2"/>
        <v>9.5679521739927758</v>
      </c>
      <c r="J16" s="134">
        <f t="shared" si="3"/>
        <v>20.87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21.33</v>
      </c>
      <c r="F17" s="134">
        <f t="shared" si="1"/>
        <v>9.7788413929691362</v>
      </c>
      <c r="G17" s="132">
        <f t="shared" si="4"/>
        <v>0</v>
      </c>
      <c r="H17" s="132">
        <f t="shared" si="4"/>
        <v>0</v>
      </c>
      <c r="I17" s="134">
        <f t="shared" si="2"/>
        <v>9.7788413929691362</v>
      </c>
      <c r="J17" s="134">
        <f t="shared" si="3"/>
        <v>21.33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21.8</v>
      </c>
      <c r="F18" s="134">
        <f t="shared" si="1"/>
        <v>9.9943151601841169</v>
      </c>
      <c r="G18" s="132">
        <f t="shared" si="4"/>
        <v>0</v>
      </c>
      <c r="H18" s="132">
        <f t="shared" si="4"/>
        <v>0</v>
      </c>
      <c r="I18" s="134">
        <f t="shared" si="2"/>
        <v>9.9943151601841169</v>
      </c>
      <c r="J18" s="134">
        <f t="shared" si="3"/>
        <v>21.8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22.28</v>
      </c>
      <c r="F19" s="134">
        <f t="shared" si="1"/>
        <v>10.214373475637712</v>
      </c>
      <c r="G19" s="132">
        <f t="shared" si="4"/>
        <v>0</v>
      </c>
      <c r="H19" s="132">
        <f t="shared" si="4"/>
        <v>0</v>
      </c>
      <c r="I19" s="134">
        <f t="shared" si="2"/>
        <v>10.214373475637712</v>
      </c>
      <c r="J19" s="134">
        <f t="shared" si="3"/>
        <v>22.28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22.77</v>
      </c>
      <c r="F20" s="134">
        <f t="shared" si="1"/>
        <v>10.439016339329923</v>
      </c>
      <c r="G20" s="132">
        <f t="shared" si="4"/>
        <v>0</v>
      </c>
      <c r="H20" s="132">
        <f t="shared" si="4"/>
        <v>0</v>
      </c>
      <c r="I20" s="134">
        <f t="shared" si="2"/>
        <v>10.439016339329923</v>
      </c>
      <c r="J20" s="134">
        <f t="shared" si="3"/>
        <v>22.77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23.27</v>
      </c>
      <c r="F21" s="134">
        <f t="shared" si="1"/>
        <v>10.668243751260752</v>
      </c>
      <c r="G21" s="132">
        <f t="shared" si="4"/>
        <v>0</v>
      </c>
      <c r="H21" s="132">
        <f t="shared" si="4"/>
        <v>0</v>
      </c>
      <c r="I21" s="134">
        <f t="shared" si="2"/>
        <v>10.668243751260752</v>
      </c>
      <c r="J21" s="134">
        <f t="shared" si="3"/>
        <v>23.27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23.81</v>
      </c>
      <c r="F22" s="134">
        <f t="shared" si="1"/>
        <v>10.915809356146045</v>
      </c>
      <c r="G22" s="132">
        <f t="shared" si="4"/>
        <v>0</v>
      </c>
      <c r="H22" s="132">
        <f t="shared" si="4"/>
        <v>0</v>
      </c>
      <c r="I22" s="134">
        <f t="shared" si="2"/>
        <v>10.915809356146045</v>
      </c>
      <c r="J22" s="134">
        <f t="shared" si="3"/>
        <v>23.81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24.36</v>
      </c>
      <c r="F23" s="134">
        <f t="shared" si="1"/>
        <v>11.167959509269958</v>
      </c>
      <c r="G23" s="132">
        <f t="shared" si="4"/>
        <v>0</v>
      </c>
      <c r="H23" s="132">
        <f t="shared" si="4"/>
        <v>0</v>
      </c>
      <c r="I23" s="134">
        <f t="shared" si="2"/>
        <v>11.167959509269958</v>
      </c>
      <c r="J23" s="134">
        <f t="shared" si="3"/>
        <v>24.36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24.92</v>
      </c>
      <c r="F24" s="134">
        <f t="shared" si="1"/>
        <v>11.424694210632486</v>
      </c>
      <c r="G24" s="132">
        <f t="shared" si="4"/>
        <v>0</v>
      </c>
      <c r="H24" s="132">
        <f t="shared" si="4"/>
        <v>0</v>
      </c>
      <c r="I24" s="134">
        <f t="shared" si="2"/>
        <v>11.424694210632486</v>
      </c>
      <c r="J24" s="134">
        <f t="shared" si="3"/>
        <v>24.92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25.49</v>
      </c>
      <c r="F25" s="134">
        <f t="shared" si="1"/>
        <v>11.686013460233628</v>
      </c>
      <c r="G25" s="132">
        <f t="shared" si="4"/>
        <v>0</v>
      </c>
      <c r="H25" s="132">
        <f t="shared" si="4"/>
        <v>0</v>
      </c>
      <c r="I25" s="134">
        <f t="shared" si="2"/>
        <v>11.686013460233628</v>
      </c>
      <c r="J25" s="134">
        <f t="shared" si="3"/>
        <v>25.49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31">
        <f>$C$55</f>
        <v>1178.9486841766204</v>
      </c>
      <c r="D26" s="132">
        <f>C26*$C$62</f>
        <v>91.010832830745514</v>
      </c>
      <c r="E26" s="132">
        <f t="shared" si="4"/>
        <v>26.08</v>
      </c>
      <c r="F26" s="134">
        <f t="shared" si="1"/>
        <v>53.680857141234121</v>
      </c>
      <c r="G26" s="132">
        <f t="shared" si="4"/>
        <v>0</v>
      </c>
      <c r="H26" s="132">
        <f t="shared" si="4"/>
        <v>0</v>
      </c>
      <c r="I26" s="134">
        <f t="shared" si="2"/>
        <v>53.680857141234121</v>
      </c>
      <c r="J26" s="134">
        <f t="shared" si="3"/>
        <v>117.09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93.01</v>
      </c>
      <c r="E27" s="132">
        <f t="shared" si="4"/>
        <v>26.65</v>
      </c>
      <c r="F27" s="134">
        <f t="shared" si="1"/>
        <v>54.858704223285841</v>
      </c>
      <c r="G27" s="132">
        <f t="shared" si="4"/>
        <v>0</v>
      </c>
      <c r="H27" s="132">
        <f t="shared" si="4"/>
        <v>0</v>
      </c>
      <c r="I27" s="134">
        <f t="shared" si="2"/>
        <v>54.858704223285841</v>
      </c>
      <c r="J27" s="134">
        <f t="shared" si="3"/>
        <v>119.66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95.06</v>
      </c>
      <c r="E28" s="132">
        <f t="shared" si="4"/>
        <v>27.24</v>
      </c>
      <c r="F28" s="134">
        <f t="shared" si="1"/>
        <v>56.069024958280615</v>
      </c>
      <c r="G28" s="132">
        <f t="shared" si="4"/>
        <v>0</v>
      </c>
      <c r="H28" s="132">
        <f t="shared" si="4"/>
        <v>0</v>
      </c>
      <c r="I28" s="134">
        <f t="shared" si="2"/>
        <v>56.069024958280615</v>
      </c>
      <c r="J28" s="134">
        <f t="shared" si="3"/>
        <v>122.3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97.15</v>
      </c>
      <c r="E29" s="132">
        <f t="shared" si="4"/>
        <v>27.84</v>
      </c>
      <c r="F29" s="134">
        <f t="shared" si="1"/>
        <v>57.302268434468473</v>
      </c>
      <c r="G29" s="132">
        <f t="shared" si="4"/>
        <v>0</v>
      </c>
      <c r="H29" s="132">
        <f t="shared" si="4"/>
        <v>0</v>
      </c>
      <c r="I29" s="134">
        <f t="shared" si="2"/>
        <v>57.302268434468473</v>
      </c>
      <c r="J29" s="134">
        <f t="shared" si="3"/>
        <v>124.99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99.29</v>
      </c>
      <c r="E30" s="132">
        <f t="shared" si="4"/>
        <v>28.45</v>
      </c>
      <c r="F30" s="134">
        <f t="shared" si="1"/>
        <v>58.563019200088029</v>
      </c>
      <c r="G30" s="132">
        <f t="shared" si="4"/>
        <v>0</v>
      </c>
      <c r="H30" s="132">
        <f t="shared" si="4"/>
        <v>0</v>
      </c>
      <c r="I30" s="134">
        <f t="shared" si="2"/>
        <v>58.563019200088029</v>
      </c>
      <c r="J30" s="134">
        <f t="shared" si="3"/>
        <v>127.74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101.47</v>
      </c>
      <c r="E31" s="132">
        <f t="shared" si="4"/>
        <v>29.08</v>
      </c>
      <c r="F31" s="134">
        <f t="shared" si="1"/>
        <v>59.851277255139287</v>
      </c>
      <c r="G31" s="132">
        <f t="shared" si="4"/>
        <v>0</v>
      </c>
      <c r="H31" s="132">
        <f t="shared" si="4"/>
        <v>0</v>
      </c>
      <c r="I31" s="134">
        <f t="shared" si="2"/>
        <v>59.851277255139287</v>
      </c>
      <c r="J31" s="134">
        <f t="shared" si="3"/>
        <v>130.55000000000001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103.7</v>
      </c>
      <c r="E32" s="132">
        <f t="shared" si="4"/>
        <v>29.72</v>
      </c>
      <c r="F32" s="134">
        <f t="shared" si="1"/>
        <v>61.167042599622242</v>
      </c>
      <c r="G32" s="132">
        <f t="shared" si="4"/>
        <v>0</v>
      </c>
      <c r="H32" s="132">
        <f t="shared" si="4"/>
        <v>0</v>
      </c>
      <c r="I32" s="134">
        <f t="shared" si="2"/>
        <v>61.167042599622242</v>
      </c>
      <c r="J32" s="134">
        <f t="shared" si="3"/>
        <v>133.41999999999999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105.98</v>
      </c>
      <c r="E33" s="132">
        <f t="shared" si="4"/>
        <v>30.37</v>
      </c>
      <c r="F33" s="134">
        <f t="shared" si="1"/>
        <v>62.510315233536886</v>
      </c>
      <c r="G33" s="132">
        <f t="shared" si="4"/>
        <v>0</v>
      </c>
      <c r="H33" s="132">
        <f t="shared" si="4"/>
        <v>0</v>
      </c>
      <c r="I33" s="134">
        <f t="shared" si="2"/>
        <v>62.510315233536886</v>
      </c>
      <c r="J33" s="134">
        <f t="shared" si="3"/>
        <v>136.35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108.31</v>
      </c>
      <c r="E34" s="132">
        <f t="shared" si="4"/>
        <v>31.04</v>
      </c>
      <c r="F34" s="134">
        <f t="shared" si="1"/>
        <v>63.885679705121859</v>
      </c>
      <c r="G34" s="132">
        <f t="shared" si="4"/>
        <v>0</v>
      </c>
      <c r="H34" s="132">
        <f t="shared" si="4"/>
        <v>0</v>
      </c>
      <c r="I34" s="134">
        <f t="shared" si="2"/>
        <v>63.885679705121859</v>
      </c>
      <c r="J34" s="134">
        <f t="shared" si="3"/>
        <v>139.35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110.69</v>
      </c>
      <c r="E35" s="132">
        <f t="shared" si="4"/>
        <v>31.72</v>
      </c>
      <c r="F35" s="134">
        <f t="shared" si="1"/>
        <v>65.288551466138529</v>
      </c>
      <c r="G35" s="132">
        <f t="shared" si="4"/>
        <v>0</v>
      </c>
      <c r="H35" s="132">
        <f t="shared" si="4"/>
        <v>0</v>
      </c>
      <c r="I35" s="134">
        <f t="shared" si="2"/>
        <v>65.288551466138529</v>
      </c>
      <c r="J35" s="134">
        <f t="shared" si="3"/>
        <v>142.41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113.24</v>
      </c>
      <c r="E36" s="132">
        <f t="shared" si="4"/>
        <v>32.450000000000003</v>
      </c>
      <c r="F36" s="134">
        <f t="shared" si="1"/>
        <v>66.792283288404761</v>
      </c>
      <c r="G36" s="132">
        <f t="shared" si="4"/>
        <v>0</v>
      </c>
      <c r="H36" s="132">
        <f t="shared" si="4"/>
        <v>0</v>
      </c>
      <c r="I36" s="134">
        <f t="shared" si="2"/>
        <v>66.792283288404761</v>
      </c>
      <c r="J36" s="134">
        <f t="shared" si="3"/>
        <v>145.69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YK Solar 2030'!D44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Resource-2032 - 25%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129</v>
      </c>
      <c r="C55" s="185">
        <v>1178.9486841766204</v>
      </c>
      <c r="D55" s="121" t="s">
        <v>73</v>
      </c>
      <c r="H55" s="121" t="s">
        <v>9</v>
      </c>
    </row>
    <row r="56" spans="2:24">
      <c r="B56" s="85" t="s">
        <v>110</v>
      </c>
      <c r="C56" s="154">
        <v>18.74175672264068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0.249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Yakima Solar Resource-2033 - 25%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19.53</v>
      </c>
      <c r="F13" s="134">
        <f t="shared" si="1"/>
        <v>8.9536227100181556</v>
      </c>
      <c r="G13" s="132">
        <f t="shared" si="4"/>
        <v>0</v>
      </c>
      <c r="H13" s="132">
        <f t="shared" si="4"/>
        <v>0</v>
      </c>
      <c r="I13" s="134">
        <f t="shared" si="2"/>
        <v>8.9536227100181556</v>
      </c>
      <c r="J13" s="134">
        <f t="shared" si="3"/>
        <v>19.53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19.96</v>
      </c>
      <c r="F14" s="134">
        <f t="shared" si="1"/>
        <v>9.1507582842786679</v>
      </c>
      <c r="G14" s="132">
        <f t="shared" si="4"/>
        <v>0</v>
      </c>
      <c r="H14" s="132">
        <f t="shared" si="4"/>
        <v>0</v>
      </c>
      <c r="I14" s="134">
        <f t="shared" si="2"/>
        <v>9.1507582842786679</v>
      </c>
      <c r="J14" s="134">
        <f t="shared" si="3"/>
        <v>19.96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20.399999999999999</v>
      </c>
      <c r="F15" s="134">
        <f t="shared" si="1"/>
        <v>9.3524784067777968</v>
      </c>
      <c r="G15" s="132">
        <f t="shared" si="4"/>
        <v>0</v>
      </c>
      <c r="H15" s="132">
        <f t="shared" si="4"/>
        <v>0</v>
      </c>
      <c r="I15" s="134">
        <f t="shared" si="2"/>
        <v>9.3524784067777968</v>
      </c>
      <c r="J15" s="134">
        <f t="shared" si="3"/>
        <v>20.399999999999999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20.87</v>
      </c>
      <c r="F16" s="134">
        <f t="shared" si="1"/>
        <v>9.5679521739927758</v>
      </c>
      <c r="G16" s="132">
        <f t="shared" si="4"/>
        <v>0</v>
      </c>
      <c r="H16" s="132">
        <f t="shared" si="4"/>
        <v>0</v>
      </c>
      <c r="I16" s="134">
        <f t="shared" si="2"/>
        <v>9.5679521739927758</v>
      </c>
      <c r="J16" s="134">
        <f t="shared" si="3"/>
        <v>20.87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21.33</v>
      </c>
      <c r="F17" s="134">
        <f t="shared" si="1"/>
        <v>9.7788413929691362</v>
      </c>
      <c r="G17" s="132">
        <f t="shared" si="4"/>
        <v>0</v>
      </c>
      <c r="H17" s="132">
        <f t="shared" si="4"/>
        <v>0</v>
      </c>
      <c r="I17" s="134">
        <f t="shared" si="2"/>
        <v>9.7788413929691362</v>
      </c>
      <c r="J17" s="134">
        <f t="shared" si="3"/>
        <v>21.33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21.8</v>
      </c>
      <c r="F18" s="134">
        <f t="shared" si="1"/>
        <v>9.9943151601841169</v>
      </c>
      <c r="G18" s="132">
        <f t="shared" si="4"/>
        <v>0</v>
      </c>
      <c r="H18" s="132">
        <f t="shared" si="4"/>
        <v>0</v>
      </c>
      <c r="I18" s="134">
        <f t="shared" si="2"/>
        <v>9.9943151601841169</v>
      </c>
      <c r="J18" s="134">
        <f t="shared" si="3"/>
        <v>21.8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22.28</v>
      </c>
      <c r="F19" s="134">
        <f t="shared" si="1"/>
        <v>10.214373475637712</v>
      </c>
      <c r="G19" s="132">
        <f t="shared" si="4"/>
        <v>0</v>
      </c>
      <c r="H19" s="132">
        <f t="shared" si="4"/>
        <v>0</v>
      </c>
      <c r="I19" s="134">
        <f t="shared" si="2"/>
        <v>10.214373475637712</v>
      </c>
      <c r="J19" s="134">
        <f t="shared" si="3"/>
        <v>22.28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22.77</v>
      </c>
      <c r="F20" s="134">
        <f t="shared" si="1"/>
        <v>10.439016339329923</v>
      </c>
      <c r="G20" s="132">
        <f t="shared" si="4"/>
        <v>0</v>
      </c>
      <c r="H20" s="132">
        <f t="shared" si="4"/>
        <v>0</v>
      </c>
      <c r="I20" s="134">
        <f t="shared" si="2"/>
        <v>10.439016339329923</v>
      </c>
      <c r="J20" s="134">
        <f t="shared" si="3"/>
        <v>22.77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23.27</v>
      </c>
      <c r="F21" s="134">
        <f t="shared" si="1"/>
        <v>10.668243751260752</v>
      </c>
      <c r="G21" s="132">
        <f t="shared" si="4"/>
        <v>0</v>
      </c>
      <c r="H21" s="132">
        <f t="shared" si="4"/>
        <v>0</v>
      </c>
      <c r="I21" s="134">
        <f t="shared" si="2"/>
        <v>10.668243751260752</v>
      </c>
      <c r="J21" s="134">
        <f t="shared" si="3"/>
        <v>23.27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23.81</v>
      </c>
      <c r="F22" s="134">
        <f t="shared" si="1"/>
        <v>10.915809356146045</v>
      </c>
      <c r="G22" s="132">
        <f t="shared" si="4"/>
        <v>0</v>
      </c>
      <c r="H22" s="132">
        <f t="shared" si="4"/>
        <v>0</v>
      </c>
      <c r="I22" s="134">
        <f t="shared" si="2"/>
        <v>10.915809356146045</v>
      </c>
      <c r="J22" s="134">
        <f t="shared" si="3"/>
        <v>23.81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24.36</v>
      </c>
      <c r="F23" s="134">
        <f t="shared" si="1"/>
        <v>11.167959509269958</v>
      </c>
      <c r="G23" s="132">
        <f t="shared" si="4"/>
        <v>0</v>
      </c>
      <c r="H23" s="132">
        <f t="shared" si="4"/>
        <v>0</v>
      </c>
      <c r="I23" s="134">
        <f t="shared" si="2"/>
        <v>11.167959509269958</v>
      </c>
      <c r="J23" s="134">
        <f t="shared" si="3"/>
        <v>24.36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24.92</v>
      </c>
      <c r="F24" s="134">
        <f t="shared" si="1"/>
        <v>11.424694210632486</v>
      </c>
      <c r="G24" s="132">
        <f t="shared" si="4"/>
        <v>0</v>
      </c>
      <c r="H24" s="132">
        <f t="shared" si="4"/>
        <v>0</v>
      </c>
      <c r="I24" s="134">
        <f t="shared" si="2"/>
        <v>11.424694210632486</v>
      </c>
      <c r="J24" s="134">
        <f t="shared" si="3"/>
        <v>24.92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25.49</v>
      </c>
      <c r="F25" s="134">
        <f t="shared" si="1"/>
        <v>11.686013460233628</v>
      </c>
      <c r="G25" s="132">
        <f t="shared" si="4"/>
        <v>0</v>
      </c>
      <c r="H25" s="132">
        <f t="shared" si="4"/>
        <v>0</v>
      </c>
      <c r="I25" s="134">
        <f t="shared" si="2"/>
        <v>11.686013460233628</v>
      </c>
      <c r="J25" s="134">
        <f t="shared" si="3"/>
        <v>25.49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26.08</v>
      </c>
      <c r="F26" s="134">
        <f t="shared" si="1"/>
        <v>11.956501806312007</v>
      </c>
      <c r="G26" s="132">
        <f t="shared" si="4"/>
        <v>0</v>
      </c>
      <c r="H26" s="132">
        <f t="shared" si="4"/>
        <v>0</v>
      </c>
      <c r="I26" s="134">
        <f t="shared" si="2"/>
        <v>11.956501806312007</v>
      </c>
      <c r="J26" s="134">
        <f t="shared" si="3"/>
        <v>26.08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31">
        <f>$C$55</f>
        <v>1172.2286766768136</v>
      </c>
      <c r="D27" s="132">
        <f>C27*$C$62</f>
        <v>90.49207108361027</v>
      </c>
      <c r="E27" s="132">
        <f t="shared" si="4"/>
        <v>26.65</v>
      </c>
      <c r="F27" s="134">
        <f t="shared" si="1"/>
        <v>53.704347565426211</v>
      </c>
      <c r="G27" s="132">
        <f t="shared" si="4"/>
        <v>0</v>
      </c>
      <c r="H27" s="132">
        <f t="shared" si="4"/>
        <v>0</v>
      </c>
      <c r="I27" s="134">
        <f t="shared" si="2"/>
        <v>53.704347565426211</v>
      </c>
      <c r="J27" s="134">
        <f t="shared" si="3"/>
        <v>117.14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92.48</v>
      </c>
      <c r="E28" s="132">
        <f t="shared" si="4"/>
        <v>27.24</v>
      </c>
      <c r="F28" s="134">
        <f t="shared" si="1"/>
        <v>54.886211512717537</v>
      </c>
      <c r="G28" s="132">
        <f t="shared" si="4"/>
        <v>0</v>
      </c>
      <c r="H28" s="132">
        <f t="shared" si="4"/>
        <v>0</v>
      </c>
      <c r="I28" s="134">
        <f t="shared" si="2"/>
        <v>54.886211512717537</v>
      </c>
      <c r="J28" s="134">
        <f t="shared" si="3"/>
        <v>119.72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94.51</v>
      </c>
      <c r="E29" s="132">
        <f t="shared" si="4"/>
        <v>27.84</v>
      </c>
      <c r="F29" s="134">
        <f t="shared" si="1"/>
        <v>56.0919476994737</v>
      </c>
      <c r="G29" s="132">
        <f t="shared" si="4"/>
        <v>0</v>
      </c>
      <c r="H29" s="132">
        <f t="shared" si="4"/>
        <v>0</v>
      </c>
      <c r="I29" s="134">
        <f t="shared" si="2"/>
        <v>56.0919476994737</v>
      </c>
      <c r="J29" s="134">
        <f t="shared" si="3"/>
        <v>122.35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96.59</v>
      </c>
      <c r="E30" s="132">
        <f t="shared" si="4"/>
        <v>28.45</v>
      </c>
      <c r="F30" s="134">
        <f t="shared" si="1"/>
        <v>57.325191175661558</v>
      </c>
      <c r="G30" s="132">
        <f t="shared" si="4"/>
        <v>0</v>
      </c>
      <c r="H30" s="132">
        <f t="shared" si="4"/>
        <v>0</v>
      </c>
      <c r="I30" s="134">
        <f t="shared" si="2"/>
        <v>57.325191175661558</v>
      </c>
      <c r="J30" s="134">
        <f t="shared" si="3"/>
        <v>125.04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98.71</v>
      </c>
      <c r="E31" s="132">
        <f t="shared" si="4"/>
        <v>29.08</v>
      </c>
      <c r="F31" s="134">
        <f t="shared" si="1"/>
        <v>58.585941941281106</v>
      </c>
      <c r="G31" s="132">
        <f t="shared" si="4"/>
        <v>0</v>
      </c>
      <c r="H31" s="132">
        <f t="shared" si="4"/>
        <v>0</v>
      </c>
      <c r="I31" s="134">
        <f t="shared" si="2"/>
        <v>58.585941941281106</v>
      </c>
      <c r="J31" s="134">
        <f t="shared" si="3"/>
        <v>127.79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100.88</v>
      </c>
      <c r="E32" s="132">
        <f t="shared" si="4"/>
        <v>29.72</v>
      </c>
      <c r="F32" s="134">
        <f t="shared" si="1"/>
        <v>59.874199996332365</v>
      </c>
      <c r="G32" s="132">
        <f t="shared" si="4"/>
        <v>0</v>
      </c>
      <c r="H32" s="132">
        <f t="shared" si="4"/>
        <v>0</v>
      </c>
      <c r="I32" s="134">
        <f t="shared" si="2"/>
        <v>59.874199996332365</v>
      </c>
      <c r="J32" s="134">
        <f t="shared" si="3"/>
        <v>130.6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103.1</v>
      </c>
      <c r="E33" s="132">
        <f t="shared" si="4"/>
        <v>30.37</v>
      </c>
      <c r="F33" s="134">
        <f t="shared" si="1"/>
        <v>61.18996534081532</v>
      </c>
      <c r="G33" s="132">
        <f t="shared" si="4"/>
        <v>0</v>
      </c>
      <c r="H33" s="132">
        <f t="shared" si="4"/>
        <v>0</v>
      </c>
      <c r="I33" s="134">
        <f t="shared" si="2"/>
        <v>61.18996534081532</v>
      </c>
      <c r="J33" s="134">
        <f t="shared" si="3"/>
        <v>133.47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105.37</v>
      </c>
      <c r="E34" s="132">
        <f t="shared" si="4"/>
        <v>31.04</v>
      </c>
      <c r="F34" s="134">
        <f t="shared" si="1"/>
        <v>62.53782252296859</v>
      </c>
      <c r="G34" s="132">
        <f t="shared" si="4"/>
        <v>0</v>
      </c>
      <c r="H34" s="132">
        <f t="shared" si="4"/>
        <v>0</v>
      </c>
      <c r="I34" s="134">
        <f t="shared" si="2"/>
        <v>62.53782252296859</v>
      </c>
      <c r="J34" s="134">
        <f t="shared" si="3"/>
        <v>136.41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107.69</v>
      </c>
      <c r="E35" s="132">
        <f t="shared" si="4"/>
        <v>31.72</v>
      </c>
      <c r="F35" s="134">
        <f t="shared" si="1"/>
        <v>63.913186994553563</v>
      </c>
      <c r="G35" s="132">
        <f t="shared" si="4"/>
        <v>0</v>
      </c>
      <c r="H35" s="132">
        <f t="shared" si="4"/>
        <v>0</v>
      </c>
      <c r="I35" s="134">
        <f t="shared" si="2"/>
        <v>63.913186994553563</v>
      </c>
      <c r="J35" s="134">
        <f t="shared" si="3"/>
        <v>139.41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110.17</v>
      </c>
      <c r="E36" s="132">
        <f t="shared" si="4"/>
        <v>32.450000000000003</v>
      </c>
      <c r="F36" s="134">
        <f t="shared" si="1"/>
        <v>65.38482697914948</v>
      </c>
      <c r="G36" s="132">
        <f t="shared" si="4"/>
        <v>0</v>
      </c>
      <c r="H36" s="132">
        <f t="shared" si="4"/>
        <v>0</v>
      </c>
      <c r="I36" s="134">
        <f t="shared" si="2"/>
        <v>65.38482697914948</v>
      </c>
      <c r="J36" s="134">
        <f t="shared" si="3"/>
        <v>142.62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YK Solar 2032'!D44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Resource-2033 - 25%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1172.2286766768136</v>
      </c>
      <c r="D55" s="121" t="s">
        <v>73</v>
      </c>
      <c r="H55" s="121" t="s">
        <v>9</v>
      </c>
    </row>
    <row r="56" spans="2:24">
      <c r="B56" s="85" t="s">
        <v>110</v>
      </c>
      <c r="C56" s="154">
        <v>18.74175672264068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0.249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topLeftCell="A2"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3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20.52</v>
      </c>
      <c r="F13" s="134">
        <f t="shared" si="1"/>
        <v>7.5320442232304101</v>
      </c>
      <c r="G13" s="132">
        <f t="shared" si="5"/>
        <v>0</v>
      </c>
      <c r="H13" s="132">
        <f t="shared" si="5"/>
        <v>0</v>
      </c>
      <c r="I13" s="134">
        <f t="shared" si="2"/>
        <v>7.5320442232304101</v>
      </c>
      <c r="J13" s="134">
        <f t="shared" si="3"/>
        <v>20.52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20.97</v>
      </c>
      <c r="F14" s="134">
        <f t="shared" si="1"/>
        <v>7.6972206316345853</v>
      </c>
      <c r="G14" s="132">
        <f t="shared" si="5"/>
        <v>0</v>
      </c>
      <c r="H14" s="132">
        <f t="shared" si="5"/>
        <v>0</v>
      </c>
      <c r="I14" s="134">
        <f t="shared" si="2"/>
        <v>7.6972206316345853</v>
      </c>
      <c r="J14" s="134">
        <f t="shared" si="3"/>
        <v>20.97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21.43</v>
      </c>
      <c r="F15" s="134">
        <f t="shared" si="1"/>
        <v>7.8660676268921881</v>
      </c>
      <c r="G15" s="132">
        <f t="shared" si="5"/>
        <v>0</v>
      </c>
      <c r="H15" s="132">
        <f t="shared" si="5"/>
        <v>0</v>
      </c>
      <c r="I15" s="134">
        <f t="shared" si="2"/>
        <v>7.8660676268921881</v>
      </c>
      <c r="J15" s="134">
        <f t="shared" si="3"/>
        <v>21.43</v>
      </c>
      <c r="K15" s="132">
        <f t="shared" si="6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21.92</v>
      </c>
      <c r="F16" s="134">
        <f t="shared" si="1"/>
        <v>8.0459263827100678</v>
      </c>
      <c r="G16" s="132">
        <f t="shared" si="5"/>
        <v>0</v>
      </c>
      <c r="H16" s="132">
        <f t="shared" si="5"/>
        <v>0</v>
      </c>
      <c r="I16" s="134">
        <f t="shared" si="2"/>
        <v>8.0459263827100678</v>
      </c>
      <c r="J16" s="134">
        <f t="shared" si="3"/>
        <v>21.92</v>
      </c>
      <c r="K16" s="132">
        <f t="shared" si="6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22.4</v>
      </c>
      <c r="F17" s="134">
        <f t="shared" si="1"/>
        <v>8.2221145516745207</v>
      </c>
      <c r="G17" s="132">
        <f t="shared" si="5"/>
        <v>0</v>
      </c>
      <c r="H17" s="132">
        <f t="shared" si="5"/>
        <v>0</v>
      </c>
      <c r="I17" s="134">
        <f t="shared" si="2"/>
        <v>8.2221145516745207</v>
      </c>
      <c r="J17" s="134">
        <f t="shared" si="3"/>
        <v>22.4</v>
      </c>
      <c r="K17" s="132">
        <f t="shared" si="6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22.89</v>
      </c>
      <c r="F18" s="134">
        <f t="shared" si="1"/>
        <v>8.401973307492403</v>
      </c>
      <c r="G18" s="132">
        <f t="shared" si="5"/>
        <v>0</v>
      </c>
      <c r="H18" s="132">
        <f t="shared" si="5"/>
        <v>0</v>
      </c>
      <c r="I18" s="134">
        <f t="shared" si="2"/>
        <v>8.401973307492403</v>
      </c>
      <c r="J18" s="134">
        <f t="shared" si="3"/>
        <v>22.89</v>
      </c>
      <c r="K18" s="132">
        <f t="shared" si="6"/>
        <v>0.71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23.39</v>
      </c>
      <c r="F19" s="134">
        <f t="shared" si="1"/>
        <v>8.5855026501637095</v>
      </c>
      <c r="G19" s="132">
        <f t="shared" si="5"/>
        <v>0</v>
      </c>
      <c r="H19" s="132">
        <f t="shared" si="5"/>
        <v>0</v>
      </c>
      <c r="I19" s="134">
        <f t="shared" si="2"/>
        <v>8.5855026501637095</v>
      </c>
      <c r="J19" s="134">
        <f t="shared" si="3"/>
        <v>23.39</v>
      </c>
      <c r="K19" s="132">
        <f t="shared" si="6"/>
        <v>0.73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23.9</v>
      </c>
      <c r="F20" s="134">
        <f t="shared" si="1"/>
        <v>8.7727025796884401</v>
      </c>
      <c r="G20" s="132">
        <f t="shared" si="5"/>
        <v>0</v>
      </c>
      <c r="H20" s="132">
        <f t="shared" si="5"/>
        <v>0</v>
      </c>
      <c r="I20" s="134">
        <f t="shared" si="2"/>
        <v>8.7727025796884401</v>
      </c>
      <c r="J20" s="134">
        <f t="shared" si="3"/>
        <v>23.9</v>
      </c>
      <c r="K20" s="132">
        <f t="shared" si="6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24.43</v>
      </c>
      <c r="F21" s="134">
        <f t="shared" si="1"/>
        <v>8.9672436829200262</v>
      </c>
      <c r="G21" s="132">
        <f t="shared" si="5"/>
        <v>0</v>
      </c>
      <c r="H21" s="132">
        <f t="shared" si="5"/>
        <v>0</v>
      </c>
      <c r="I21" s="134">
        <f t="shared" si="2"/>
        <v>8.9672436829200262</v>
      </c>
      <c r="J21" s="134">
        <f t="shared" si="3"/>
        <v>24.43</v>
      </c>
      <c r="K21" s="132">
        <f t="shared" si="6"/>
        <v>0.77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24.99</v>
      </c>
      <c r="F22" s="134">
        <f t="shared" si="1"/>
        <v>9.1727965467118882</v>
      </c>
      <c r="G22" s="132">
        <f t="shared" si="5"/>
        <v>0</v>
      </c>
      <c r="H22" s="132">
        <f t="shared" si="5"/>
        <v>0</v>
      </c>
      <c r="I22" s="134">
        <f t="shared" si="2"/>
        <v>9.1727965467118882</v>
      </c>
      <c r="J22" s="134">
        <f t="shared" si="3"/>
        <v>24.99</v>
      </c>
      <c r="K22" s="132">
        <f t="shared" si="6"/>
        <v>0.79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25.56</v>
      </c>
      <c r="F23" s="134">
        <f t="shared" si="1"/>
        <v>9.3820199973571778</v>
      </c>
      <c r="G23" s="132">
        <f t="shared" si="5"/>
        <v>0</v>
      </c>
      <c r="H23" s="132">
        <f t="shared" si="5"/>
        <v>0</v>
      </c>
      <c r="I23" s="134">
        <f t="shared" si="2"/>
        <v>9.3820199973571778</v>
      </c>
      <c r="J23" s="134">
        <f t="shared" si="3"/>
        <v>25.56</v>
      </c>
      <c r="K23" s="132">
        <f t="shared" si="6"/>
        <v>0.81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26.15</v>
      </c>
      <c r="F24" s="134">
        <f t="shared" si="1"/>
        <v>9.5985846217093194</v>
      </c>
      <c r="G24" s="132">
        <f t="shared" si="5"/>
        <v>0</v>
      </c>
      <c r="H24" s="132">
        <f t="shared" si="5"/>
        <v>0</v>
      </c>
      <c r="I24" s="134">
        <f t="shared" si="2"/>
        <v>9.5985846217093194</v>
      </c>
      <c r="J24" s="134">
        <f t="shared" si="3"/>
        <v>26.15</v>
      </c>
      <c r="K24" s="132">
        <f t="shared" si="6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26.75</v>
      </c>
      <c r="F25" s="134">
        <f t="shared" si="1"/>
        <v>9.8188198329148868</v>
      </c>
      <c r="G25" s="132">
        <f t="shared" si="5"/>
        <v>0</v>
      </c>
      <c r="H25" s="132">
        <f t="shared" si="5"/>
        <v>0</v>
      </c>
      <c r="I25" s="134">
        <f t="shared" si="2"/>
        <v>9.8188198329148868</v>
      </c>
      <c r="J25" s="134">
        <f t="shared" si="3"/>
        <v>26.75</v>
      </c>
      <c r="K25" s="132">
        <f t="shared" si="6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27.37</v>
      </c>
      <c r="F26" s="134">
        <f t="shared" si="1"/>
        <v>10.046396217827308</v>
      </c>
      <c r="G26" s="132">
        <f t="shared" si="5"/>
        <v>0</v>
      </c>
      <c r="H26" s="132">
        <f t="shared" si="5"/>
        <v>0</v>
      </c>
      <c r="I26" s="134">
        <f t="shared" si="2"/>
        <v>10.046396217827308</v>
      </c>
      <c r="J26" s="134">
        <f t="shared" si="3"/>
        <v>27.37</v>
      </c>
      <c r="K26" s="132">
        <f t="shared" si="6"/>
        <v>0.87</v>
      </c>
      <c r="L26" s="123"/>
      <c r="P26" s="169"/>
    </row>
    <row r="27" spans="2:17">
      <c r="B27" s="140">
        <f t="shared" si="0"/>
        <v>2033</v>
      </c>
      <c r="C27" s="131">
        <f>$C$55</f>
        <v>1165.8805905559132</v>
      </c>
      <c r="D27" s="132">
        <f>C27*$C$62</f>
        <v>90.002020403289137</v>
      </c>
      <c r="E27" s="132">
        <f t="shared" si="5"/>
        <v>27.97</v>
      </c>
      <c r="F27" s="134">
        <f t="shared" si="1"/>
        <v>43.302654716443179</v>
      </c>
      <c r="G27" s="132">
        <f t="shared" si="5"/>
        <v>0</v>
      </c>
      <c r="H27" s="132">
        <f t="shared" si="5"/>
        <v>0</v>
      </c>
      <c r="I27" s="134">
        <f t="shared" si="2"/>
        <v>43.302654716443179</v>
      </c>
      <c r="J27" s="134">
        <f t="shared" si="3"/>
        <v>117.97</v>
      </c>
      <c r="K27" s="132">
        <f t="shared" si="6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5"/>
        <v>91.98</v>
      </c>
      <c r="E28" s="132">
        <f t="shared" si="5"/>
        <v>28.59</v>
      </c>
      <c r="F28" s="134">
        <f t="shared" si="1"/>
        <v>44.256265691758806</v>
      </c>
      <c r="G28" s="132">
        <f t="shared" si="5"/>
        <v>0</v>
      </c>
      <c r="H28" s="132">
        <f t="shared" si="5"/>
        <v>0</v>
      </c>
      <c r="I28" s="134">
        <f t="shared" si="2"/>
        <v>44.256265691758806</v>
      </c>
      <c r="J28" s="134">
        <f t="shared" si="3"/>
        <v>120.57</v>
      </c>
      <c r="K28" s="132">
        <f t="shared" si="6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5"/>
        <v>94</v>
      </c>
      <c r="E29" s="132">
        <f t="shared" si="5"/>
        <v>29.22</v>
      </c>
      <c r="F29" s="134">
        <f t="shared" si="1"/>
        <v>45.228971207916722</v>
      </c>
      <c r="G29" s="132">
        <f t="shared" si="5"/>
        <v>0</v>
      </c>
      <c r="H29" s="132">
        <f t="shared" si="5"/>
        <v>0</v>
      </c>
      <c r="I29" s="134">
        <f t="shared" si="2"/>
        <v>45.228971207916722</v>
      </c>
      <c r="J29" s="134">
        <f t="shared" si="3"/>
        <v>123.22</v>
      </c>
      <c r="K29" s="132">
        <f t="shared" si="6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96.07</v>
      </c>
      <c r="E30" s="132">
        <f t="shared" si="5"/>
        <v>29.86</v>
      </c>
      <c r="F30" s="134">
        <f t="shared" si="1"/>
        <v>46.223700245195204</v>
      </c>
      <c r="G30" s="132">
        <f t="shared" si="5"/>
        <v>0</v>
      </c>
      <c r="H30" s="132">
        <f t="shared" si="5"/>
        <v>0</v>
      </c>
      <c r="I30" s="134">
        <f t="shared" si="2"/>
        <v>46.223700245195204</v>
      </c>
      <c r="J30" s="134">
        <f t="shared" si="3"/>
        <v>125.93</v>
      </c>
      <c r="K30" s="132">
        <f t="shared" si="6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98.18</v>
      </c>
      <c r="E31" s="132">
        <f t="shared" si="5"/>
        <v>30.52</v>
      </c>
      <c r="F31" s="134">
        <f t="shared" si="1"/>
        <v>47.240452803594245</v>
      </c>
      <c r="G31" s="132">
        <f t="shared" si="5"/>
        <v>0</v>
      </c>
      <c r="H31" s="132">
        <f t="shared" si="5"/>
        <v>0</v>
      </c>
      <c r="I31" s="134">
        <f t="shared" si="2"/>
        <v>47.240452803594245</v>
      </c>
      <c r="J31" s="134">
        <f t="shared" si="3"/>
        <v>128.69999999999999</v>
      </c>
      <c r="K31" s="132">
        <f t="shared" si="6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100.34</v>
      </c>
      <c r="E32" s="132">
        <f t="shared" si="5"/>
        <v>31.19</v>
      </c>
      <c r="F32" s="134">
        <f t="shared" si="1"/>
        <v>48.279228883113838</v>
      </c>
      <c r="G32" s="132">
        <f t="shared" si="5"/>
        <v>0</v>
      </c>
      <c r="H32" s="132">
        <f t="shared" si="5"/>
        <v>0</v>
      </c>
      <c r="I32" s="134">
        <f t="shared" si="2"/>
        <v>48.279228883113838</v>
      </c>
      <c r="J32" s="134">
        <f t="shared" si="3"/>
        <v>131.53</v>
      </c>
      <c r="K32" s="132">
        <f t="shared" si="6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102.55</v>
      </c>
      <c r="E33" s="132">
        <f t="shared" si="5"/>
        <v>31.88</v>
      </c>
      <c r="F33" s="134">
        <f t="shared" si="1"/>
        <v>49.343699070607414</v>
      </c>
      <c r="G33" s="132">
        <f t="shared" si="5"/>
        <v>0</v>
      </c>
      <c r="H33" s="132">
        <f t="shared" si="5"/>
        <v>0</v>
      </c>
      <c r="I33" s="134">
        <f t="shared" si="2"/>
        <v>49.343699070607414</v>
      </c>
      <c r="J33" s="134">
        <f t="shared" si="3"/>
        <v>134.43</v>
      </c>
      <c r="K33" s="132">
        <f t="shared" si="6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104.81</v>
      </c>
      <c r="E34" s="132">
        <f t="shared" si="5"/>
        <v>32.58</v>
      </c>
      <c r="F34" s="134">
        <f t="shared" ref="F34:F36" si="8">(D34+E34)/(8.76*$C$63)</f>
        <v>50.430192779221542</v>
      </c>
      <c r="G34" s="132">
        <f t="shared" si="5"/>
        <v>0</v>
      </c>
      <c r="H34" s="132">
        <f t="shared" si="5"/>
        <v>0</v>
      </c>
      <c r="I34" s="134">
        <f t="shared" si="2"/>
        <v>50.430192779221542</v>
      </c>
      <c r="J34" s="134">
        <f t="shared" si="3"/>
        <v>137.38999999999999</v>
      </c>
      <c r="K34" s="132">
        <f t="shared" si="6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107.12</v>
      </c>
      <c r="E35" s="132">
        <f t="shared" si="5"/>
        <v>33.299999999999997</v>
      </c>
      <c r="F35" s="134">
        <f t="shared" si="8"/>
        <v>51.542380595809668</v>
      </c>
      <c r="G35" s="132">
        <f t="shared" si="5"/>
        <v>0</v>
      </c>
      <c r="H35" s="132">
        <f t="shared" si="5"/>
        <v>0</v>
      </c>
      <c r="I35" s="134">
        <f t="shared" si="2"/>
        <v>51.542380595809668</v>
      </c>
      <c r="J35" s="134">
        <f t="shared" si="3"/>
        <v>140.41999999999999</v>
      </c>
      <c r="K35" s="132">
        <f t="shared" si="6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109.58</v>
      </c>
      <c r="E36" s="132">
        <f t="shared" si="5"/>
        <v>34.07</v>
      </c>
      <c r="F36" s="134">
        <f t="shared" si="8"/>
        <v>52.727980149466298</v>
      </c>
      <c r="G36" s="132">
        <f t="shared" si="5"/>
        <v>0</v>
      </c>
      <c r="H36" s="132">
        <f t="shared" si="5"/>
        <v>0</v>
      </c>
      <c r="I36" s="134">
        <f t="shared" si="2"/>
        <v>52.727980149466298</v>
      </c>
      <c r="J36" s="134">
        <f t="shared" si="3"/>
        <v>143.65</v>
      </c>
      <c r="K36" s="132">
        <f t="shared" si="6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OR Solar 2033'!D44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1165.8805905559132</v>
      </c>
      <c r="D55" s="121" t="s">
        <v>73</v>
      </c>
      <c r="H55" s="121" t="s">
        <v>9</v>
      </c>
    </row>
    <row r="56" spans="2:24">
      <c r="B56" s="85" t="s">
        <v>110</v>
      </c>
      <c r="C56" s="154">
        <v>19.691768539314772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38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6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20.52</v>
      </c>
      <c r="F13" s="134">
        <f t="shared" si="1"/>
        <v>7.5320442232304101</v>
      </c>
      <c r="G13" s="132">
        <f t="shared" si="5"/>
        <v>0</v>
      </c>
      <c r="H13" s="132">
        <f t="shared" si="5"/>
        <v>0</v>
      </c>
      <c r="I13" s="134">
        <f t="shared" si="2"/>
        <v>7.5320442232304101</v>
      </c>
      <c r="J13" s="134">
        <f t="shared" si="3"/>
        <v>20.52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20.97</v>
      </c>
      <c r="F14" s="134">
        <f t="shared" si="1"/>
        <v>7.6972206316345853</v>
      </c>
      <c r="G14" s="132">
        <f t="shared" si="5"/>
        <v>0</v>
      </c>
      <c r="H14" s="132">
        <f t="shared" si="5"/>
        <v>0</v>
      </c>
      <c r="I14" s="134">
        <f t="shared" si="2"/>
        <v>7.6972206316345853</v>
      </c>
      <c r="J14" s="134">
        <f t="shared" si="3"/>
        <v>20.97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21.43</v>
      </c>
      <c r="F15" s="134">
        <f t="shared" si="1"/>
        <v>7.8660676268921881</v>
      </c>
      <c r="G15" s="132">
        <f t="shared" si="5"/>
        <v>0</v>
      </c>
      <c r="H15" s="132">
        <f t="shared" si="5"/>
        <v>0</v>
      </c>
      <c r="I15" s="134">
        <f t="shared" si="2"/>
        <v>7.8660676268921881</v>
      </c>
      <c r="J15" s="134">
        <f t="shared" si="3"/>
        <v>21.43</v>
      </c>
      <c r="K15" s="132">
        <f t="shared" si="6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21.92</v>
      </c>
      <c r="F16" s="134">
        <f t="shared" si="1"/>
        <v>8.0459263827100678</v>
      </c>
      <c r="G16" s="132">
        <f t="shared" si="5"/>
        <v>0</v>
      </c>
      <c r="H16" s="132">
        <f t="shared" si="5"/>
        <v>0</v>
      </c>
      <c r="I16" s="134">
        <f t="shared" si="2"/>
        <v>8.0459263827100678</v>
      </c>
      <c r="J16" s="134">
        <f t="shared" si="3"/>
        <v>21.92</v>
      </c>
      <c r="K16" s="132">
        <f t="shared" si="6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22.4</v>
      </c>
      <c r="F17" s="134">
        <f t="shared" si="1"/>
        <v>8.2221145516745207</v>
      </c>
      <c r="G17" s="132">
        <f t="shared" si="5"/>
        <v>0</v>
      </c>
      <c r="H17" s="132">
        <f t="shared" si="5"/>
        <v>0</v>
      </c>
      <c r="I17" s="134">
        <f t="shared" si="2"/>
        <v>8.2221145516745207</v>
      </c>
      <c r="J17" s="134">
        <f t="shared" si="3"/>
        <v>22.4</v>
      </c>
      <c r="K17" s="132">
        <f t="shared" si="6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22.89</v>
      </c>
      <c r="F18" s="134">
        <f t="shared" si="1"/>
        <v>8.401973307492403</v>
      </c>
      <c r="G18" s="132">
        <f t="shared" si="5"/>
        <v>0</v>
      </c>
      <c r="H18" s="132">
        <f t="shared" si="5"/>
        <v>0</v>
      </c>
      <c r="I18" s="134">
        <f t="shared" si="2"/>
        <v>8.401973307492403</v>
      </c>
      <c r="J18" s="134">
        <f t="shared" si="3"/>
        <v>22.89</v>
      </c>
      <c r="K18" s="132">
        <f t="shared" si="6"/>
        <v>0.71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23.39</v>
      </c>
      <c r="F19" s="134">
        <f t="shared" si="1"/>
        <v>8.5855026501637095</v>
      </c>
      <c r="G19" s="132">
        <f t="shared" si="5"/>
        <v>0</v>
      </c>
      <c r="H19" s="132">
        <f t="shared" si="5"/>
        <v>0</v>
      </c>
      <c r="I19" s="134">
        <f t="shared" si="2"/>
        <v>8.5855026501637095</v>
      </c>
      <c r="J19" s="134">
        <f t="shared" si="3"/>
        <v>23.39</v>
      </c>
      <c r="K19" s="132">
        <f t="shared" si="6"/>
        <v>0.73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23.9</v>
      </c>
      <c r="F20" s="134">
        <f t="shared" si="1"/>
        <v>8.7727025796884401</v>
      </c>
      <c r="G20" s="132">
        <f t="shared" si="5"/>
        <v>0</v>
      </c>
      <c r="H20" s="132">
        <f t="shared" si="5"/>
        <v>0</v>
      </c>
      <c r="I20" s="134">
        <f t="shared" si="2"/>
        <v>8.7727025796884401</v>
      </c>
      <c r="J20" s="134">
        <f t="shared" si="3"/>
        <v>23.9</v>
      </c>
      <c r="K20" s="132">
        <f t="shared" si="6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24.43</v>
      </c>
      <c r="F21" s="134">
        <f t="shared" si="1"/>
        <v>8.9672436829200262</v>
      </c>
      <c r="G21" s="132">
        <f t="shared" si="5"/>
        <v>0</v>
      </c>
      <c r="H21" s="132">
        <f t="shared" si="5"/>
        <v>0</v>
      </c>
      <c r="I21" s="134">
        <f t="shared" si="2"/>
        <v>8.9672436829200262</v>
      </c>
      <c r="J21" s="134">
        <f t="shared" si="3"/>
        <v>24.43</v>
      </c>
      <c r="K21" s="132">
        <f t="shared" si="6"/>
        <v>0.77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24.99</v>
      </c>
      <c r="F22" s="134">
        <f t="shared" si="1"/>
        <v>9.1727965467118882</v>
      </c>
      <c r="G22" s="132">
        <f t="shared" si="5"/>
        <v>0</v>
      </c>
      <c r="H22" s="132">
        <f t="shared" si="5"/>
        <v>0</v>
      </c>
      <c r="I22" s="134">
        <f t="shared" si="2"/>
        <v>9.1727965467118882</v>
      </c>
      <c r="J22" s="134">
        <f t="shared" si="3"/>
        <v>24.99</v>
      </c>
      <c r="K22" s="132">
        <f t="shared" si="6"/>
        <v>0.79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25.56</v>
      </c>
      <c r="F23" s="134">
        <f t="shared" si="1"/>
        <v>9.3820199973571778</v>
      </c>
      <c r="G23" s="132">
        <f t="shared" si="5"/>
        <v>0</v>
      </c>
      <c r="H23" s="132">
        <f t="shared" si="5"/>
        <v>0</v>
      </c>
      <c r="I23" s="134">
        <f t="shared" si="2"/>
        <v>9.3820199973571778</v>
      </c>
      <c r="J23" s="134">
        <f t="shared" si="3"/>
        <v>25.56</v>
      </c>
      <c r="K23" s="132">
        <f t="shared" si="6"/>
        <v>0.81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26.15</v>
      </c>
      <c r="F24" s="134">
        <f t="shared" si="1"/>
        <v>9.5985846217093194</v>
      </c>
      <c r="G24" s="132">
        <f t="shared" si="5"/>
        <v>0</v>
      </c>
      <c r="H24" s="132">
        <f t="shared" si="5"/>
        <v>0</v>
      </c>
      <c r="I24" s="134">
        <f t="shared" si="2"/>
        <v>9.5985846217093194</v>
      </c>
      <c r="J24" s="134">
        <f t="shared" si="3"/>
        <v>26.15</v>
      </c>
      <c r="K24" s="132">
        <f t="shared" si="6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26.75</v>
      </c>
      <c r="F25" s="134">
        <f t="shared" si="1"/>
        <v>9.8188198329148868</v>
      </c>
      <c r="G25" s="132">
        <f t="shared" si="5"/>
        <v>0</v>
      </c>
      <c r="H25" s="132">
        <f t="shared" si="5"/>
        <v>0</v>
      </c>
      <c r="I25" s="134">
        <f t="shared" si="2"/>
        <v>9.8188198329148868</v>
      </c>
      <c r="J25" s="134">
        <f t="shared" si="3"/>
        <v>26.75</v>
      </c>
      <c r="K25" s="132">
        <f t="shared" si="6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27.37</v>
      </c>
      <c r="F26" s="134">
        <f t="shared" si="1"/>
        <v>10.046396217827308</v>
      </c>
      <c r="G26" s="132">
        <f t="shared" si="5"/>
        <v>0</v>
      </c>
      <c r="H26" s="132">
        <f t="shared" si="5"/>
        <v>0</v>
      </c>
      <c r="I26" s="134">
        <f t="shared" si="2"/>
        <v>10.046396217827308</v>
      </c>
      <c r="J26" s="134">
        <f t="shared" si="3"/>
        <v>27.37</v>
      </c>
      <c r="K26" s="132">
        <f t="shared" si="6"/>
        <v>0.87</v>
      </c>
      <c r="L26" s="123"/>
      <c r="P26" s="169"/>
    </row>
    <row r="27" spans="2:17">
      <c r="B27" s="140">
        <f t="shared" si="0"/>
        <v>2033</v>
      </c>
      <c r="C27" s="131"/>
      <c r="D27" s="132">
        <f t="shared" ref="D27" si="8">ROUND(D26*(1+$G73),2)</f>
        <v>0</v>
      </c>
      <c r="E27" s="132">
        <f t="shared" si="5"/>
        <v>27.97</v>
      </c>
      <c r="F27" s="134">
        <f t="shared" si="1"/>
        <v>10.266631429032874</v>
      </c>
      <c r="G27" s="132">
        <f t="shared" si="5"/>
        <v>0</v>
      </c>
      <c r="H27" s="132">
        <f t="shared" si="5"/>
        <v>0</v>
      </c>
      <c r="I27" s="134">
        <f t="shared" si="2"/>
        <v>10.266631429032874</v>
      </c>
      <c r="J27" s="134">
        <f t="shared" si="3"/>
        <v>27.97</v>
      </c>
      <c r="K27" s="132">
        <f t="shared" si="6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ref="D28" si="9">ROUND(D27*(1+$G74),2)</f>
        <v>0</v>
      </c>
      <c r="E28" s="132">
        <f t="shared" si="5"/>
        <v>28.59</v>
      </c>
      <c r="F28" s="134">
        <f t="shared" si="1"/>
        <v>10.494207813945295</v>
      </c>
      <c r="G28" s="132">
        <f t="shared" si="5"/>
        <v>0</v>
      </c>
      <c r="H28" s="132">
        <f t="shared" si="5"/>
        <v>0</v>
      </c>
      <c r="I28" s="134">
        <f t="shared" si="2"/>
        <v>10.494207813945295</v>
      </c>
      <c r="J28" s="134">
        <f t="shared" si="3"/>
        <v>28.59</v>
      </c>
      <c r="K28" s="132">
        <f t="shared" si="6"/>
        <v>0.91</v>
      </c>
      <c r="L28" s="123"/>
      <c r="P28" s="169"/>
    </row>
    <row r="29" spans="2:17">
      <c r="B29" s="140">
        <f t="shared" si="0"/>
        <v>2035</v>
      </c>
      <c r="C29" s="131">
        <f>$C$55</f>
        <v>1152.6274312839628</v>
      </c>
      <c r="D29" s="132">
        <f>C29*$C$62</f>
        <v>88.978921536334539</v>
      </c>
      <c r="E29" s="132">
        <f t="shared" si="5"/>
        <v>29.22</v>
      </c>
      <c r="F29" s="134">
        <f t="shared" si="1"/>
        <v>43.385940748041577</v>
      </c>
      <c r="G29" s="132">
        <f t="shared" si="5"/>
        <v>0</v>
      </c>
      <c r="H29" s="132">
        <f t="shared" si="5"/>
        <v>0</v>
      </c>
      <c r="I29" s="134">
        <f t="shared" si="2"/>
        <v>43.385940748041577</v>
      </c>
      <c r="J29" s="134">
        <f t="shared" si="3"/>
        <v>118.2</v>
      </c>
      <c r="K29" s="132">
        <f t="shared" si="6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90.94</v>
      </c>
      <c r="E30" s="132">
        <f t="shared" si="5"/>
        <v>29.86</v>
      </c>
      <c r="F30" s="134">
        <f t="shared" si="1"/>
        <v>44.340689189387597</v>
      </c>
      <c r="G30" s="132">
        <f t="shared" si="5"/>
        <v>0</v>
      </c>
      <c r="H30" s="132">
        <f t="shared" si="5"/>
        <v>0</v>
      </c>
      <c r="I30" s="134">
        <f t="shared" si="2"/>
        <v>44.340689189387597</v>
      </c>
      <c r="J30" s="134">
        <f t="shared" si="3"/>
        <v>120.8</v>
      </c>
      <c r="K30" s="132">
        <f t="shared" si="6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92.94</v>
      </c>
      <c r="E31" s="132">
        <f t="shared" si="5"/>
        <v>30.52</v>
      </c>
      <c r="F31" s="134">
        <f t="shared" si="1"/>
        <v>45.317065292398951</v>
      </c>
      <c r="G31" s="132">
        <f t="shared" si="5"/>
        <v>0</v>
      </c>
      <c r="H31" s="132">
        <f t="shared" si="5"/>
        <v>0</v>
      </c>
      <c r="I31" s="134">
        <f t="shared" si="2"/>
        <v>45.317065292398951</v>
      </c>
      <c r="J31" s="134">
        <f t="shared" si="3"/>
        <v>123.46</v>
      </c>
      <c r="K31" s="132">
        <f t="shared" si="6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94.98</v>
      </c>
      <c r="E32" s="132">
        <f t="shared" si="5"/>
        <v>31.19</v>
      </c>
      <c r="F32" s="134">
        <f t="shared" si="1"/>
        <v>46.311794329677433</v>
      </c>
      <c r="G32" s="132">
        <f t="shared" si="5"/>
        <v>0</v>
      </c>
      <c r="H32" s="132">
        <f t="shared" si="5"/>
        <v>0</v>
      </c>
      <c r="I32" s="134">
        <f t="shared" si="2"/>
        <v>46.311794329677433</v>
      </c>
      <c r="J32" s="134">
        <f t="shared" si="3"/>
        <v>126.17</v>
      </c>
      <c r="K32" s="132">
        <f t="shared" si="6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97.07</v>
      </c>
      <c r="E33" s="132">
        <f t="shared" si="5"/>
        <v>31.88</v>
      </c>
      <c r="F33" s="134">
        <f t="shared" si="1"/>
        <v>47.332217474929891</v>
      </c>
      <c r="G33" s="132">
        <f t="shared" si="5"/>
        <v>0</v>
      </c>
      <c r="H33" s="132">
        <f t="shared" si="5"/>
        <v>0</v>
      </c>
      <c r="I33" s="134">
        <f t="shared" si="2"/>
        <v>47.332217474929891</v>
      </c>
      <c r="J33" s="134">
        <f t="shared" si="3"/>
        <v>128.94999999999999</v>
      </c>
      <c r="K33" s="132">
        <f t="shared" si="6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99.21</v>
      </c>
      <c r="E34" s="132">
        <f t="shared" si="5"/>
        <v>32.58</v>
      </c>
      <c r="F34" s="134">
        <f t="shared" si="1"/>
        <v>48.374664141302908</v>
      </c>
      <c r="G34" s="132">
        <f t="shared" si="5"/>
        <v>0</v>
      </c>
      <c r="H34" s="132">
        <f t="shared" si="5"/>
        <v>0</v>
      </c>
      <c r="I34" s="134">
        <f t="shared" si="2"/>
        <v>48.374664141302908</v>
      </c>
      <c r="J34" s="134">
        <f t="shared" si="3"/>
        <v>131.79</v>
      </c>
      <c r="K34" s="132">
        <f t="shared" si="6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101.39</v>
      </c>
      <c r="E35" s="132">
        <f t="shared" si="5"/>
        <v>33.299999999999997</v>
      </c>
      <c r="F35" s="134">
        <f t="shared" si="1"/>
        <v>49.439134328796492</v>
      </c>
      <c r="G35" s="132">
        <f t="shared" si="5"/>
        <v>0</v>
      </c>
      <c r="H35" s="132">
        <f t="shared" si="5"/>
        <v>0</v>
      </c>
      <c r="I35" s="134">
        <f t="shared" si="2"/>
        <v>49.439134328796492</v>
      </c>
      <c r="J35" s="134">
        <f t="shared" si="3"/>
        <v>134.69</v>
      </c>
      <c r="K35" s="132">
        <f t="shared" si="6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103.72</v>
      </c>
      <c r="E36" s="132">
        <f t="shared" si="5"/>
        <v>34.07</v>
      </c>
      <c r="F36" s="134">
        <f t="shared" si="1"/>
        <v>50.577016253358586</v>
      </c>
      <c r="G36" s="132">
        <f t="shared" si="5"/>
        <v>0</v>
      </c>
      <c r="H36" s="132">
        <f t="shared" si="5"/>
        <v>0</v>
      </c>
      <c r="I36" s="134">
        <f t="shared" si="2"/>
        <v>50.577016253358586</v>
      </c>
      <c r="J36" s="134">
        <f t="shared" si="3"/>
        <v>137.79</v>
      </c>
      <c r="K36" s="132">
        <f t="shared" si="6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UT Solar 2033 ST'!D44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1152.6274312839628</v>
      </c>
      <c r="D55" s="121" t="s">
        <v>73</v>
      </c>
      <c r="H55" s="121" t="s">
        <v>9</v>
      </c>
    </row>
    <row r="56" spans="2:24">
      <c r="B56" s="85" t="s">
        <v>110</v>
      </c>
      <c r="C56" s="154">
        <v>19.691768539314772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38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2.1999999999999999E-2</v>
      </c>
    </row>
    <row r="68" spans="3:11">
      <c r="C68" s="87">
        <f t="shared" si="10"/>
        <v>2019</v>
      </c>
      <c r="D68" s="41">
        <v>1.9E-2</v>
      </c>
      <c r="E68" s="85"/>
      <c r="F68" s="87">
        <f t="shared" si="11"/>
        <v>2028</v>
      </c>
      <c r="G68" s="41">
        <v>2.3E-2</v>
      </c>
      <c r="H68" s="85"/>
      <c r="I68" s="87">
        <f t="shared" si="12"/>
        <v>2037</v>
      </c>
      <c r="J68" s="41">
        <v>2.1999999999999999E-2</v>
      </c>
    </row>
    <row r="69" spans="3:11">
      <c r="C69" s="87">
        <f t="shared" si="10"/>
        <v>2020</v>
      </c>
      <c r="D69" s="41">
        <v>2.1999999999999999E-2</v>
      </c>
      <c r="E69" s="85"/>
      <c r="F69" s="87">
        <f t="shared" si="11"/>
        <v>2029</v>
      </c>
      <c r="G69" s="41">
        <v>2.3E-2</v>
      </c>
      <c r="H69" s="85"/>
      <c r="I69" s="87">
        <f t="shared" si="12"/>
        <v>2038</v>
      </c>
      <c r="J69" s="41">
        <v>2.1999999999999999E-2</v>
      </c>
    </row>
    <row r="70" spans="3:11">
      <c r="C70" s="87">
        <f t="shared" si="10"/>
        <v>2021</v>
      </c>
      <c r="D70" s="41">
        <v>2.1999999999999999E-2</v>
      </c>
      <c r="E70" s="85"/>
      <c r="F70" s="87">
        <f t="shared" si="11"/>
        <v>2030</v>
      </c>
      <c r="G70" s="41">
        <v>2.3E-2</v>
      </c>
      <c r="H70" s="85"/>
      <c r="I70" s="87">
        <f t="shared" si="12"/>
        <v>2039</v>
      </c>
      <c r="J70" s="41">
        <v>2.1999999999999999E-2</v>
      </c>
    </row>
    <row r="71" spans="3:11">
      <c r="C71" s="87">
        <f t="shared" si="10"/>
        <v>2022</v>
      </c>
      <c r="D71" s="41">
        <v>2.3E-2</v>
      </c>
      <c r="E71" s="85"/>
      <c r="F71" s="87">
        <f t="shared" si="11"/>
        <v>2031</v>
      </c>
      <c r="G71" s="41">
        <v>2.3E-2</v>
      </c>
      <c r="H71" s="85"/>
      <c r="I71" s="87">
        <f t="shared" si="12"/>
        <v>2040</v>
      </c>
      <c r="J71" s="41">
        <v>2.1999999999999999E-2</v>
      </c>
    </row>
    <row r="72" spans="3:11" s="123" customFormat="1">
      <c r="C72" s="87">
        <f t="shared" si="10"/>
        <v>2023</v>
      </c>
      <c r="D72" s="41">
        <v>2.1999999999999999E-2</v>
      </c>
      <c r="E72" s="86"/>
      <c r="F72" s="87">
        <f t="shared" si="11"/>
        <v>2032</v>
      </c>
      <c r="G72" s="41">
        <v>2.3E-2</v>
      </c>
      <c r="H72" s="86"/>
      <c r="I72" s="87">
        <f t="shared" si="12"/>
        <v>2041</v>
      </c>
      <c r="J72" s="41">
        <v>2.1999999999999999E-2</v>
      </c>
    </row>
    <row r="73" spans="3:11" s="123" customFormat="1">
      <c r="C73" s="87">
        <f t="shared" si="10"/>
        <v>2024</v>
      </c>
      <c r="D73" s="41">
        <v>2.1999999999999999E-2</v>
      </c>
      <c r="E73" s="86"/>
      <c r="F73" s="87">
        <f t="shared" si="11"/>
        <v>2033</v>
      </c>
      <c r="G73" s="41">
        <v>2.1999999999999999E-2</v>
      </c>
      <c r="H73" s="86"/>
      <c r="I73" s="87">
        <f t="shared" si="12"/>
        <v>2042</v>
      </c>
      <c r="J73" s="41">
        <v>2.3E-2</v>
      </c>
    </row>
    <row r="74" spans="3:11" s="123" customFormat="1">
      <c r="C74" s="87">
        <f t="shared" si="10"/>
        <v>2025</v>
      </c>
      <c r="D74" s="41">
        <v>2.1999999999999999E-2</v>
      </c>
      <c r="E74" s="86"/>
      <c r="F74" s="87">
        <f t="shared" si="11"/>
        <v>2034</v>
      </c>
      <c r="G74" s="41">
        <v>2.1999999999999999E-2</v>
      </c>
      <c r="H74" s="86"/>
      <c r="I74" s="87">
        <f t="shared" si="12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81"/>
  <sheetViews>
    <sheetView view="pageBreakPreview" topLeftCell="A2" zoomScale="80" zoomScaleNormal="80" zoomScaleSheetLayoutView="80" workbookViewId="0">
      <selection activeCell="F26" sqref="F26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36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5">
        <v>0</v>
      </c>
      <c r="CY3" t="s">
        <v>108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v>252</v>
      </c>
      <c r="P4" s="182" t="s">
        <v>59</v>
      </c>
      <c r="Q4" s="182"/>
      <c r="CX4">
        <v>750</v>
      </c>
      <c r="CY4" t="s">
        <v>109</v>
      </c>
    </row>
    <row r="5" spans="2:103" customFormat="1" ht="15.75">
      <c r="B5" s="4" t="str">
        <f ca="1">'Table 5'!M4&amp; " - "&amp;TEXT(Study_MW,"#.0")&amp;" MW and "&amp;TEXT(Study_CF,"#.0%")&amp;" CF"</f>
        <v>Utah 2019.Q2 - 100.0 MW and 100.0% CF</v>
      </c>
      <c r="C5" s="4"/>
      <c r="D5" s="4"/>
      <c r="E5" s="4"/>
      <c r="F5" s="4"/>
      <c r="G5" s="1"/>
      <c r="H5" s="36"/>
      <c r="I5" s="5"/>
      <c r="P5" s="183">
        <v>0.158</v>
      </c>
      <c r="Q5" s="183">
        <v>0.158</v>
      </c>
      <c r="R5" s="183">
        <v>0.158</v>
      </c>
      <c r="S5" s="183">
        <v>0.158</v>
      </c>
      <c r="T5" s="183">
        <v>0.158</v>
      </c>
      <c r="U5" s="183">
        <v>0.11776428835036618</v>
      </c>
      <c r="V5" s="183">
        <v>0.11776428835036618</v>
      </c>
      <c r="W5" s="183">
        <v>0.11776428835036618</v>
      </c>
      <c r="X5" s="183">
        <v>0.158</v>
      </c>
      <c r="Y5" s="183">
        <v>0.158</v>
      </c>
      <c r="Z5" s="183">
        <v>0.53861399146353772</v>
      </c>
      <c r="AA5" s="183">
        <v>0.53861399146353772</v>
      </c>
      <c r="AB5" s="183">
        <v>0.53861399146353772</v>
      </c>
      <c r="AC5" s="183">
        <v>0.59672377662708742</v>
      </c>
      <c r="AD5" s="183">
        <v>0.59672377662708742</v>
      </c>
      <c r="AE5" s="183">
        <v>0.37912293315598289</v>
      </c>
      <c r="AF5" s="183">
        <v>0.64803174039612643</v>
      </c>
      <c r="AG5" s="183">
        <v>0.64803174039612643</v>
      </c>
      <c r="AH5" s="183">
        <v>0.64803174039612643</v>
      </c>
      <c r="AI5" s="183">
        <v>0.64803174039612643</v>
      </c>
      <c r="AJ5" s="183"/>
      <c r="CX5" s="193">
        <f>$CX$3*$CX$4</f>
        <v>0</v>
      </c>
      <c r="CY5" t="s">
        <v>104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40" customFormat="1" ht="40.5" customHeight="1">
      <c r="B8" s="228"/>
      <c r="C8" s="228"/>
      <c r="D8" s="228"/>
      <c r="E8" s="230"/>
      <c r="F8" s="231"/>
      <c r="G8" s="229" t="s">
        <v>14</v>
      </c>
      <c r="H8" s="233"/>
      <c r="I8" s="243"/>
      <c r="K8" s="244" t="s">
        <v>59</v>
      </c>
      <c r="L8" s="244"/>
      <c r="P8" s="245" t="s">
        <v>90</v>
      </c>
      <c r="Q8" s="245"/>
      <c r="S8" s="247" t="s">
        <v>160</v>
      </c>
      <c r="T8" s="247" t="s">
        <v>161</v>
      </c>
      <c r="X8" s="247" t="s">
        <v>158</v>
      </c>
      <c r="Y8" s="247" t="s">
        <v>159</v>
      </c>
      <c r="Z8" s="240" t="s">
        <v>152</v>
      </c>
      <c r="AA8" s="240" t="s">
        <v>143</v>
      </c>
      <c r="AB8" s="240" t="s">
        <v>144</v>
      </c>
      <c r="AC8" s="240" t="s">
        <v>145</v>
      </c>
      <c r="AD8" s="240" t="s">
        <v>146</v>
      </c>
      <c r="AE8" s="240" t="s">
        <v>147</v>
      </c>
      <c r="AF8" s="240" t="s">
        <v>154</v>
      </c>
      <c r="AG8" s="240" t="s">
        <v>149</v>
      </c>
      <c r="AH8" s="240" t="s">
        <v>150</v>
      </c>
      <c r="AI8" s="240" t="s">
        <v>151</v>
      </c>
      <c r="AK8" s="245" t="s">
        <v>91</v>
      </c>
      <c r="AL8" s="245"/>
      <c r="AN8" s="247" t="s">
        <v>160</v>
      </c>
      <c r="AO8" s="247" t="s">
        <v>161</v>
      </c>
      <c r="AS8" s="247" t="s">
        <v>158</v>
      </c>
      <c r="AT8" s="247" t="s">
        <v>159</v>
      </c>
      <c r="AU8" s="240" t="str">
        <f t="shared" ref="AU8:BD9" si="0">Z8</f>
        <v>IRP17 Yakima Solar2030</v>
      </c>
      <c r="AV8" s="240" t="str">
        <f t="shared" si="0"/>
        <v>IRP17 Yakima Solar2032</v>
      </c>
      <c r="AW8" s="240" t="str">
        <f t="shared" si="0"/>
        <v>IRP17 Yakima Solar2033</v>
      </c>
      <c r="AX8" s="240" t="str">
        <f t="shared" si="0"/>
        <v>IRP17 Utah South Solar T2033</v>
      </c>
      <c r="AY8" s="240" t="str">
        <f t="shared" si="0"/>
        <v>IRP17 Utah South Solar T2035</v>
      </c>
      <c r="AZ8" s="240" t="str">
        <f t="shared" si="0"/>
        <v>IRP17 Utah South Solar F2035</v>
      </c>
      <c r="BA8" s="240" t="str">
        <f t="shared" si="0"/>
        <v>IRP17 SOregonCal Solar2030</v>
      </c>
      <c r="BB8" s="240" t="str">
        <f t="shared" si="0"/>
        <v>IRP17 SOregonCal Solar2031</v>
      </c>
      <c r="BC8" s="240" t="str">
        <f t="shared" si="0"/>
        <v>IRP17 SOregonCal Solar2032</v>
      </c>
      <c r="BD8" s="240" t="str">
        <f t="shared" si="0"/>
        <v>IRP17 SOregonCal Solar2033</v>
      </c>
      <c r="BF8" s="245" t="s">
        <v>92</v>
      </c>
      <c r="BG8" s="245"/>
      <c r="BJ8" s="247"/>
      <c r="BO8" s="247"/>
      <c r="CA8" s="245" t="s">
        <v>93</v>
      </c>
      <c r="CB8" s="245"/>
      <c r="CE8" s="250"/>
      <c r="CJ8" s="250"/>
      <c r="CX8" s="208" t="s">
        <v>92</v>
      </c>
      <c r="CY8" s="209" t="s">
        <v>93</v>
      </c>
    </row>
    <row r="9" spans="2:103" s="219" customFormat="1" ht="76.5" customHeight="1">
      <c r="B9" s="228"/>
      <c r="C9" s="229" t="s">
        <v>6</v>
      </c>
      <c r="D9" s="229"/>
      <c r="E9" s="230" t="s">
        <v>19</v>
      </c>
      <c r="F9" s="231"/>
      <c r="G9" s="232">
        <f ca="1">Study_CF</f>
        <v>1</v>
      </c>
      <c r="H9" s="233"/>
      <c r="I9" s="234"/>
      <c r="K9" s="235" t="s">
        <v>60</v>
      </c>
      <c r="L9" s="235" t="s">
        <v>53</v>
      </c>
      <c r="M9" s="236" t="s">
        <v>94</v>
      </c>
      <c r="P9" s="219" t="s">
        <v>89</v>
      </c>
      <c r="Q9" s="219" t="s">
        <v>133</v>
      </c>
      <c r="R9" s="219" t="s">
        <v>85</v>
      </c>
      <c r="S9" s="219" t="s">
        <v>86</v>
      </c>
      <c r="T9" s="247" t="s">
        <v>86</v>
      </c>
      <c r="U9" s="219" t="s">
        <v>136</v>
      </c>
      <c r="V9" s="219" t="s">
        <v>137</v>
      </c>
      <c r="W9" s="219" t="s">
        <v>138</v>
      </c>
      <c r="X9" s="219" t="s">
        <v>135</v>
      </c>
      <c r="Y9" s="247" t="s">
        <v>135</v>
      </c>
      <c r="Z9" s="219" t="s">
        <v>88</v>
      </c>
      <c r="AA9" s="240" t="s">
        <v>88</v>
      </c>
      <c r="AB9" s="240" t="s">
        <v>88</v>
      </c>
      <c r="AC9" s="219" t="s">
        <v>140</v>
      </c>
      <c r="AD9" s="240" t="s">
        <v>140</v>
      </c>
      <c r="AE9" s="240" t="s">
        <v>153</v>
      </c>
      <c r="AF9" s="240" t="s">
        <v>134</v>
      </c>
      <c r="AG9" s="240" t="s">
        <v>134</v>
      </c>
      <c r="AH9" s="240" t="s">
        <v>134</v>
      </c>
      <c r="AI9" s="219" t="s">
        <v>134</v>
      </c>
      <c r="AJ9" s="238"/>
      <c r="AK9" s="219" t="str">
        <f t="shared" ref="AK9:AT9" si="1">P9</f>
        <v>IRP17 Aeolus Wind</v>
      </c>
      <c r="AL9" s="219" t="str">
        <f t="shared" si="1"/>
        <v>IRP17 WYAE WindCDR2021</v>
      </c>
      <c r="AM9" s="219" t="str">
        <f t="shared" si="1"/>
        <v>IRP17 Dave Johnston Wind</v>
      </c>
      <c r="AN9" s="219" t="str">
        <f t="shared" si="1"/>
        <v>IRP17 Goshen Wind 2</v>
      </c>
      <c r="AO9" s="247" t="str">
        <f t="shared" si="1"/>
        <v>IRP17 Goshen Wind 2</v>
      </c>
      <c r="AP9" s="219" t="str">
        <f t="shared" si="1"/>
        <v>IRP17 WallaW Wind</v>
      </c>
      <c r="AQ9" s="219" t="str">
        <f t="shared" si="1"/>
        <v>IRP17 Yakima Wind</v>
      </c>
      <c r="AR9" s="219" t="str">
        <f t="shared" si="1"/>
        <v>IRP17 S Oregon Wind</v>
      </c>
      <c r="AS9" s="219" t="str">
        <f t="shared" si="1"/>
        <v>IRP17 UT Wind</v>
      </c>
      <c r="AT9" s="247" t="str">
        <f t="shared" si="1"/>
        <v>IRP17 UT Wind</v>
      </c>
      <c r="AU9" s="219" t="str">
        <f t="shared" si="0"/>
        <v>IRP17 Yakima Solar</v>
      </c>
      <c r="AV9" s="240" t="str">
        <f t="shared" si="0"/>
        <v>IRP17 Yakima Solar</v>
      </c>
      <c r="AW9" s="240" t="str">
        <f t="shared" si="0"/>
        <v>IRP17 Yakima Solar</v>
      </c>
      <c r="AX9" s="240" t="str">
        <f t="shared" si="0"/>
        <v>IRP17 Utah South Solar T</v>
      </c>
      <c r="AY9" s="240" t="str">
        <f t="shared" si="0"/>
        <v>IRP17 Utah South Solar T</v>
      </c>
      <c r="AZ9" s="240" t="str">
        <f t="shared" si="0"/>
        <v>IRP17 Utah South Solar F</v>
      </c>
      <c r="BA9" s="240" t="str">
        <f t="shared" si="0"/>
        <v>IRP17 SOregonCal Solar</v>
      </c>
      <c r="BB9" s="240" t="str">
        <f t="shared" si="0"/>
        <v>IRP17 SOregonCal Solar</v>
      </c>
      <c r="BC9" s="240" t="str">
        <f t="shared" si="0"/>
        <v>IRP17 SOregonCal Solar</v>
      </c>
      <c r="BD9" s="240" t="str">
        <f t="shared" si="0"/>
        <v>IRP17 SOregonCal Solar</v>
      </c>
      <c r="BF9" s="219" t="str">
        <f>P9</f>
        <v>IRP17 Aeolus Wind</v>
      </c>
      <c r="BG9" s="219" t="str">
        <f>Q9</f>
        <v>IRP17 WYAE WindCDR2021</v>
      </c>
      <c r="BH9" s="219" t="str">
        <f>R9</f>
        <v>IRP17 Dave Johnston Wind</v>
      </c>
      <c r="BI9" s="248" t="str">
        <f>S8</f>
        <v>IRP17 Goshen Wind 2 2030</v>
      </c>
      <c r="BJ9" s="248" t="str">
        <f>T8</f>
        <v>IRP17 Goshen Wind 2 2033</v>
      </c>
      <c r="BK9" s="219" t="str">
        <f>U9</f>
        <v>IRP17 WallaW Wind</v>
      </c>
      <c r="BL9" s="219" t="str">
        <f>V9</f>
        <v>IRP17 Yakima Wind</v>
      </c>
      <c r="BM9" s="219" t="str">
        <f>W9</f>
        <v>IRP17 S Oregon Wind</v>
      </c>
      <c r="BN9" s="248" t="str">
        <f>X8</f>
        <v>IRP17 UT Wind 2030</v>
      </c>
      <c r="BO9" s="248" t="str">
        <f>Y8</f>
        <v>IRP17 UT Wind 2036</v>
      </c>
      <c r="BP9" s="242" t="s">
        <v>142</v>
      </c>
      <c r="BQ9" s="242" t="s">
        <v>143</v>
      </c>
      <c r="BR9" s="242" t="s">
        <v>144</v>
      </c>
      <c r="BS9" s="242" t="s">
        <v>145</v>
      </c>
      <c r="BT9" s="242" t="s">
        <v>146</v>
      </c>
      <c r="BU9" s="242" t="s">
        <v>147</v>
      </c>
      <c r="BV9" s="242" t="s">
        <v>148</v>
      </c>
      <c r="BW9" s="242" t="s">
        <v>149</v>
      </c>
      <c r="BX9" s="242" t="s">
        <v>150</v>
      </c>
      <c r="BY9" s="242" t="s">
        <v>151</v>
      </c>
      <c r="CA9" s="219" t="str">
        <f t="shared" ref="CA9:CT9" si="2">BF9</f>
        <v>IRP17 Aeolus Wind</v>
      </c>
      <c r="CB9" s="240" t="str">
        <f t="shared" si="2"/>
        <v>IRP17 WYAE WindCDR2021</v>
      </c>
      <c r="CC9" s="240" t="str">
        <f t="shared" si="2"/>
        <v>IRP17 Dave Johnston Wind</v>
      </c>
      <c r="CD9" s="240" t="str">
        <f t="shared" si="2"/>
        <v>IRP17 Goshen Wind 2 2030</v>
      </c>
      <c r="CE9" s="248" t="str">
        <f t="shared" si="2"/>
        <v>IRP17 Goshen Wind 2 2033</v>
      </c>
      <c r="CF9" s="240" t="str">
        <f t="shared" si="2"/>
        <v>IRP17 WallaW Wind</v>
      </c>
      <c r="CG9" s="240" t="str">
        <f t="shared" si="2"/>
        <v>IRP17 Yakima Wind</v>
      </c>
      <c r="CH9" s="240" t="str">
        <f t="shared" si="2"/>
        <v>IRP17 S Oregon Wind</v>
      </c>
      <c r="CI9" s="240" t="str">
        <f t="shared" si="2"/>
        <v>IRP17 UT Wind 2030</v>
      </c>
      <c r="CJ9" s="248" t="str">
        <f t="shared" si="2"/>
        <v>IRP17 UT Wind 2036</v>
      </c>
      <c r="CK9" s="240" t="str">
        <f t="shared" si="2"/>
        <v xml:space="preserve">IRP17 Yakima Solar2030 </v>
      </c>
      <c r="CL9" s="240" t="str">
        <f t="shared" si="2"/>
        <v>IRP17 Yakima Solar2032</v>
      </c>
      <c r="CM9" s="240" t="str">
        <f t="shared" si="2"/>
        <v>IRP17 Yakima Solar2033</v>
      </c>
      <c r="CN9" s="240" t="str">
        <f t="shared" si="2"/>
        <v>IRP17 Utah South Solar T2033</v>
      </c>
      <c r="CO9" s="240" t="str">
        <f t="shared" si="2"/>
        <v>IRP17 Utah South Solar T2035</v>
      </c>
      <c r="CP9" s="240" t="str">
        <f t="shared" si="2"/>
        <v>IRP17 Utah South Solar F2035</v>
      </c>
      <c r="CQ9" s="240" t="str">
        <f t="shared" si="2"/>
        <v>IRP17 SOregonCal Solar2030'</v>
      </c>
      <c r="CR9" s="240" t="str">
        <f t="shared" si="2"/>
        <v>IRP17 SOregonCal Solar2031</v>
      </c>
      <c r="CS9" s="240" t="str">
        <f t="shared" si="2"/>
        <v>IRP17 SOregonCal Solar2032</v>
      </c>
      <c r="CT9" s="240" t="str">
        <f t="shared" si="2"/>
        <v>IRP17 SOregonCal Solar2033</v>
      </c>
      <c r="CU9" s="219" t="s">
        <v>95</v>
      </c>
      <c r="CX9" s="219" t="s">
        <v>105</v>
      </c>
      <c r="CY9" s="219" t="s">
        <v>105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89"/>
      <c r="K10" s="112"/>
      <c r="L10" s="112"/>
      <c r="M10" s="184"/>
    </row>
    <row r="11" spans="2:103" customFormat="1" ht="13.5">
      <c r="B11" s="6"/>
      <c r="C11" s="6" t="s">
        <v>17</v>
      </c>
      <c r="D11" s="6"/>
      <c r="E11" s="84" t="s">
        <v>55</v>
      </c>
      <c r="F11" s="39"/>
      <c r="G11" s="12" t="s">
        <v>32</v>
      </c>
      <c r="H11" s="36"/>
      <c r="I11" s="89"/>
      <c r="K11" s="113" t="s">
        <v>61</v>
      </c>
      <c r="L11" s="114">
        <v>0.158</v>
      </c>
      <c r="M11" s="114">
        <v>0.11776428835036618</v>
      </c>
      <c r="P11" t="s">
        <v>33</v>
      </c>
      <c r="R11" t="s">
        <v>33</v>
      </c>
      <c r="S11" t="s">
        <v>33</v>
      </c>
      <c r="T11" t="s">
        <v>33</v>
      </c>
      <c r="U11" t="s">
        <v>33</v>
      </c>
      <c r="V11" t="s">
        <v>33</v>
      </c>
      <c r="W11" t="s">
        <v>33</v>
      </c>
      <c r="X11" t="s">
        <v>33</v>
      </c>
      <c r="Y11" t="s">
        <v>33</v>
      </c>
      <c r="Z11" t="s">
        <v>33</v>
      </c>
      <c r="AA11" t="s">
        <v>33</v>
      </c>
      <c r="AB11" t="s">
        <v>33</v>
      </c>
      <c r="AC11" t="s">
        <v>33</v>
      </c>
      <c r="AD11" t="s">
        <v>33</v>
      </c>
      <c r="AE11" t="s">
        <v>33</v>
      </c>
      <c r="AF11" t="s">
        <v>33</v>
      </c>
      <c r="AG11" t="s">
        <v>33</v>
      </c>
      <c r="AH11" t="s">
        <v>33</v>
      </c>
      <c r="AI11" t="s">
        <v>33</v>
      </c>
      <c r="AK11" t="s">
        <v>33</v>
      </c>
      <c r="AL11" t="s">
        <v>33</v>
      </c>
      <c r="AM11" t="s">
        <v>33</v>
      </c>
      <c r="AN11" t="s">
        <v>33</v>
      </c>
      <c r="AO11" t="s">
        <v>33</v>
      </c>
      <c r="AP11" t="s">
        <v>33</v>
      </c>
      <c r="AQ11" t="s">
        <v>33</v>
      </c>
      <c r="AR11" t="s">
        <v>33</v>
      </c>
      <c r="AS11" t="s">
        <v>33</v>
      </c>
      <c r="AT11" t="s">
        <v>33</v>
      </c>
      <c r="AU11" t="s">
        <v>33</v>
      </c>
      <c r="AV11" t="s">
        <v>33</v>
      </c>
      <c r="AW11" t="s">
        <v>33</v>
      </c>
      <c r="AX11" t="s">
        <v>33</v>
      </c>
      <c r="AY11" t="s">
        <v>33</v>
      </c>
      <c r="AZ11" t="s">
        <v>33</v>
      </c>
      <c r="BA11" t="s">
        <v>33</v>
      </c>
      <c r="BB11" t="s">
        <v>33</v>
      </c>
      <c r="BC11" t="s">
        <v>33</v>
      </c>
      <c r="BD11" t="s">
        <v>33</v>
      </c>
      <c r="BF11" t="s">
        <v>96</v>
      </c>
      <c r="BG11" t="s">
        <v>96</v>
      </c>
      <c r="BH11" t="s">
        <v>96</v>
      </c>
      <c r="BI11" t="s">
        <v>96</v>
      </c>
      <c r="BK11" t="s">
        <v>96</v>
      </c>
      <c r="BL11" t="s">
        <v>96</v>
      </c>
      <c r="BM11" t="s">
        <v>96</v>
      </c>
      <c r="BN11" t="s">
        <v>96</v>
      </c>
      <c r="BP11" t="s">
        <v>96</v>
      </c>
      <c r="BQ11" t="s">
        <v>96</v>
      </c>
      <c r="BR11" t="s">
        <v>96</v>
      </c>
      <c r="BS11" t="s">
        <v>96</v>
      </c>
      <c r="BT11" t="s">
        <v>96</v>
      </c>
      <c r="BU11" t="s">
        <v>96</v>
      </c>
      <c r="BV11" t="s">
        <v>96</v>
      </c>
      <c r="BW11" t="s">
        <v>96</v>
      </c>
      <c r="BX11" t="s">
        <v>96</v>
      </c>
      <c r="BY11" t="s">
        <v>96</v>
      </c>
      <c r="CA11" t="s">
        <v>97</v>
      </c>
      <c r="CB11" t="s">
        <v>97</v>
      </c>
      <c r="CC11" t="s">
        <v>97</v>
      </c>
      <c r="CD11" t="s">
        <v>97</v>
      </c>
      <c r="CE11" t="s">
        <v>97</v>
      </c>
      <c r="CF11" t="s">
        <v>97</v>
      </c>
      <c r="CG11" t="s">
        <v>97</v>
      </c>
      <c r="CH11" t="s">
        <v>97</v>
      </c>
      <c r="CI11" t="s">
        <v>97</v>
      </c>
      <c r="CJ11" t="s">
        <v>97</v>
      </c>
      <c r="CK11" t="s">
        <v>97</v>
      </c>
      <c r="CL11" t="s">
        <v>97</v>
      </c>
      <c r="CM11" t="s">
        <v>97</v>
      </c>
      <c r="CN11" t="s">
        <v>97</v>
      </c>
      <c r="CO11" t="s">
        <v>97</v>
      </c>
      <c r="CP11" t="s">
        <v>97</v>
      </c>
      <c r="CQ11" t="s">
        <v>97</v>
      </c>
      <c r="CR11" t="s">
        <v>97</v>
      </c>
      <c r="CS11" t="s">
        <v>97</v>
      </c>
      <c r="CT11" t="s">
        <v>97</v>
      </c>
      <c r="CU11" t="s">
        <v>97</v>
      </c>
      <c r="CX11" t="s">
        <v>96</v>
      </c>
      <c r="CY11" t="s">
        <v>97</v>
      </c>
    </row>
    <row r="12" spans="2:103" customFormat="1">
      <c r="B12" s="188"/>
      <c r="C12" s="189"/>
      <c r="D12" s="188"/>
      <c r="E12" s="12"/>
      <c r="F12" s="12"/>
      <c r="G12" s="3"/>
      <c r="H12" s="36"/>
      <c r="I12" s="89"/>
      <c r="K12" s="113" t="s">
        <v>34</v>
      </c>
      <c r="L12" s="114">
        <v>0.37912293315598289</v>
      </c>
      <c r="M12" s="114">
        <v>0.53861399146353772</v>
      </c>
    </row>
    <row r="13" spans="2:103" customFormat="1">
      <c r="B13" s="15">
        <f>'Table 5'!J13</f>
        <v>2019</v>
      </c>
      <c r="C13" s="9">
        <f t="shared" ref="C13:C34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21.562641256729744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21.562641256729744</v>
      </c>
      <c r="H13" s="36"/>
      <c r="I13" s="193"/>
      <c r="J13" s="193"/>
      <c r="K13" s="113" t="s">
        <v>62</v>
      </c>
      <c r="L13" s="114">
        <v>0.59672377662708742</v>
      </c>
      <c r="M13" s="114">
        <v>0.64803174039612643</v>
      </c>
      <c r="O13">
        <f t="shared" ref="O13:O32" si="4">B13</f>
        <v>2019</v>
      </c>
      <c r="P13">
        <v>0</v>
      </c>
      <c r="Q13">
        <v>0</v>
      </c>
      <c r="R13">
        <v>0</v>
      </c>
      <c r="S13" s="193">
        <v>0</v>
      </c>
      <c r="T13" s="19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37.950000000000003</v>
      </c>
      <c r="BG13">
        <f>VLOOKUP($O13,'Table 3 EV2020 Wind_2021'!$B$10:$K$36,10,FALSE)</f>
        <v>37.950000000000003</v>
      </c>
      <c r="BH13">
        <f>VLOOKUP($O13,'Table 3 DJ Wind 2030'!$B$10:$J$36,9,FALSE)</f>
        <v>41.58</v>
      </c>
      <c r="BI13">
        <f>VLOOKUP($O13,'Table 3 ID Wind 2030'!$B$10:$J$36,9,FALSE)</f>
        <v>39.159999999999997</v>
      </c>
      <c r="BJ13">
        <f>VLOOKUP($O13,'Table 3 ID Wind 2033'!$B$10:$J$36,9,FALSE)</f>
        <v>39.159999999999997</v>
      </c>
      <c r="BK13">
        <f>VLOOKUP($O13,'Table 3 WW Wind 2035'!$B$10:$J$36,9,FALSE)</f>
        <v>39.159999999999997</v>
      </c>
      <c r="BL13">
        <f>VLOOKUP($O13,'Table 3 YK Wind 2035'!$B$10:$J$36,9,FALSE)</f>
        <v>39.159999999999997</v>
      </c>
      <c r="BM13">
        <f>VLOOKUP($O13,'Table 3 OR Wind 2035'!$B$10:$J$36,9,FALSE)</f>
        <v>39.159999999999997</v>
      </c>
      <c r="BN13">
        <f>VLOOKUP($O13,'Table 3 UT Wind 2030'!$B$10:$J$36,9,FALSE)</f>
        <v>39.159999999999997</v>
      </c>
      <c r="BO13">
        <f>VLOOKUP($O13,'Table 3 UT Wind 2036'!$B$10:$J$36,9,FALSE)</f>
        <v>39.159999999999997</v>
      </c>
      <c r="BP13">
        <f>VLOOKUP($O13,'Table 3 YK Solar 2030'!$B$10:$J$36,9,FALSE)</f>
        <v>19.53</v>
      </c>
      <c r="BQ13">
        <f>VLOOKUP($O13,'Table 3 YK Solar 2032'!$B$10:$J$36,9,FALSE)</f>
        <v>19.53</v>
      </c>
      <c r="BR13">
        <f>VLOOKUP($O13,'Table 3 YK Solar 2033'!$B$10:$J$36,9,FALSE)</f>
        <v>19.53</v>
      </c>
      <c r="BS13">
        <f>VLOOKUP($O13,'Table 3 UT Solar 2033 ST'!$B$10:$J$36,9,FALSE)</f>
        <v>20.52</v>
      </c>
      <c r="BT13">
        <f>VLOOKUP($O13,'Table 3 UT Solar 2035 ST'!$B$10:$J$36,9,FALSE)</f>
        <v>20.52</v>
      </c>
      <c r="BU13">
        <f>VLOOKUP($O13,'Table 3 UT Solar 2035 FT'!$B$10:$J$36,9,FALSE)</f>
        <v>19.510000000000002</v>
      </c>
      <c r="BV13">
        <f>VLOOKUP($O13,'Table 3 OR Solar 2030'!$B$10:$J$36,9,FALSE)</f>
        <v>20.55</v>
      </c>
      <c r="BW13">
        <f>VLOOKUP($O13,'Table 3 OR Solar 2031'!$B$10:$J$36,9,FALSE)</f>
        <v>20.55</v>
      </c>
      <c r="BX13">
        <f>VLOOKUP($O13,'Table 3 OR Solar 2032'!$B$10:$J$36,9,FALSE)</f>
        <v>20.55</v>
      </c>
      <c r="BY13">
        <f>VLOOKUP($O13,'Table 3 OR Solar 2033'!$B$10:$J$36,9,FALSE)</f>
        <v>20.55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2019</v>
      </c>
      <c r="CX13" s="89">
        <f>IFERROR(VLOOKUP($CW13,'Table 3 TransCost D2 '!$B$10:$E$34,4,FALSE),0)</f>
        <v>0</v>
      </c>
      <c r="CY13" s="193">
        <f>$CX$5*CX13/1000</f>
        <v>0</v>
      </c>
    </row>
    <row r="14" spans="2:103" customFormat="1">
      <c r="B14" s="15">
        <f t="shared" ref="B14:B34" si="25">B13+1</f>
        <v>2020</v>
      </c>
      <c r="C14" s="9">
        <f t="shared" si="3"/>
        <v>0</v>
      </c>
      <c r="D14" s="45"/>
      <c r="E14" s="9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18.297131969359192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18.297131969359192</v>
      </c>
      <c r="H14" s="36"/>
      <c r="I14" s="193"/>
      <c r="J14" s="193"/>
      <c r="K14" s="113" t="s">
        <v>63</v>
      </c>
      <c r="L14" s="114">
        <v>1</v>
      </c>
      <c r="M14" s="114">
        <v>1</v>
      </c>
      <c r="O14">
        <f t="shared" si="4"/>
        <v>2020</v>
      </c>
      <c r="P14">
        <v>0</v>
      </c>
      <c r="Q14">
        <v>0</v>
      </c>
      <c r="R14">
        <v>0</v>
      </c>
      <c r="S14" s="193">
        <v>0</v>
      </c>
      <c r="T14" s="193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-0.92</v>
      </c>
      <c r="BG14">
        <f>VLOOKUP($O14,'Table 3 EV2020 Wind_2021'!$B$10:$K$36,10,FALSE)</f>
        <v>38.78</v>
      </c>
      <c r="BH14">
        <f>VLOOKUP($O14,'Table 3 DJ Wind 2030'!$B$10:$J$36,9,FALSE)</f>
        <v>42.48</v>
      </c>
      <c r="BI14">
        <f>VLOOKUP($O14,'Table 3 ID Wind 2030'!$B$10:$J$36,9,FALSE)</f>
        <v>40.020000000000003</v>
      </c>
      <c r="BJ14">
        <f>VLOOKUP($O14,'Table 3 ID Wind 2033'!$B$10:$J$36,9,FALSE)</f>
        <v>40.020000000000003</v>
      </c>
      <c r="BK14">
        <f>VLOOKUP($O14,'Table 3 WW Wind 2035'!$B$10:$J$36,9,FALSE)</f>
        <v>40.020000000000003</v>
      </c>
      <c r="BL14">
        <f>VLOOKUP($O14,'Table 3 YK Wind 2035'!$B$10:$J$36,9,FALSE)</f>
        <v>40.020000000000003</v>
      </c>
      <c r="BM14">
        <f>VLOOKUP($O14,'Table 3 OR Wind 2035'!$B$10:$J$36,9,FALSE)</f>
        <v>40.020000000000003</v>
      </c>
      <c r="BN14">
        <f>VLOOKUP($O14,'Table 3 UT Wind 2030'!$B$10:$J$36,9,FALSE)</f>
        <v>40.020000000000003</v>
      </c>
      <c r="BO14">
        <f>VLOOKUP($O14,'Table 3 UT Wind 2036'!$B$10:$J$36,9,FALSE)</f>
        <v>40.020000000000003</v>
      </c>
      <c r="BP14">
        <f>VLOOKUP($O14,'Table 3 YK Solar 2030'!$B$10:$J$36,9,FALSE)</f>
        <v>19.96</v>
      </c>
      <c r="BQ14">
        <f>VLOOKUP($O14,'Table 3 YK Solar 2032'!$B$10:$J$36,9,FALSE)</f>
        <v>19.96</v>
      </c>
      <c r="BR14">
        <f>VLOOKUP($O14,'Table 3 YK Solar 2033'!$B$10:$J$36,9,FALSE)</f>
        <v>19.96</v>
      </c>
      <c r="BS14">
        <f>VLOOKUP($O14,'Table 3 UT Solar 2033 ST'!$B$10:$J$36,9,FALSE)</f>
        <v>20.97</v>
      </c>
      <c r="BT14">
        <f>VLOOKUP($O14,'Table 3 UT Solar 2035 ST'!$B$10:$J$36,9,FALSE)</f>
        <v>20.97</v>
      </c>
      <c r="BU14">
        <f>VLOOKUP($O14,'Table 3 UT Solar 2035 FT'!$B$10:$J$36,9,FALSE)</f>
        <v>19.940000000000001</v>
      </c>
      <c r="BV14">
        <f>VLOOKUP($O14,'Table 3 OR Solar 2030'!$B$10:$J$36,9,FALSE)</f>
        <v>21</v>
      </c>
      <c r="BW14">
        <f>VLOOKUP($O14,'Table 3 OR Solar 2031'!$B$10:$J$36,9,FALSE)</f>
        <v>21</v>
      </c>
      <c r="BX14">
        <f>VLOOKUP($O14,'Table 3 OR Solar 2032'!$B$10:$J$36,9,FALSE)</f>
        <v>21</v>
      </c>
      <c r="BY14">
        <f>VLOOKUP($O14,'Table 3 OR Solar 2033'!$B$10:$J$36,9,FALSE)</f>
        <v>21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2020</v>
      </c>
      <c r="CX14" s="89">
        <f>IFERROR(VLOOKUP($CW14,'Table 3 TransCost D2 '!$B$10:$E$34,4,FALSE),0)</f>
        <v>7.9249999999999998</v>
      </c>
      <c r="CY14" s="193">
        <f t="shared" ref="CY14:CY33" si="27">$CX$5*CX14/1000</f>
        <v>0</v>
      </c>
    </row>
    <row r="15" spans="2:103" customFormat="1">
      <c r="B15" s="15">
        <f t="shared" si="25"/>
        <v>2021</v>
      </c>
      <c r="C15" s="9">
        <f t="shared" si="3"/>
        <v>0</v>
      </c>
      <c r="D15" s="45"/>
      <c r="E15" s="9">
        <f t="shared" ca="1" si="26"/>
        <v>17.224357312183997</v>
      </c>
      <c r="F15" s="37"/>
      <c r="G15" s="14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17.224357312183997</v>
      </c>
      <c r="H15" s="36"/>
      <c r="I15" s="193"/>
      <c r="J15" s="193"/>
      <c r="K15" s="113" t="s">
        <v>64</v>
      </c>
      <c r="L15" s="114">
        <v>1</v>
      </c>
      <c r="M15" s="114">
        <v>1</v>
      </c>
      <c r="O15">
        <f t="shared" si="4"/>
        <v>2021</v>
      </c>
      <c r="P15">
        <v>0</v>
      </c>
      <c r="Q15">
        <v>0</v>
      </c>
      <c r="R15">
        <v>0</v>
      </c>
      <c r="S15" s="193">
        <v>0</v>
      </c>
      <c r="T15" s="193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-7.68</v>
      </c>
      <c r="BG15">
        <f>VLOOKUP($O15,'Table 3 EV2020 Wind_2021'!$B$10:$K$36,10,FALSE)</f>
        <v>-9.44</v>
      </c>
      <c r="BH15">
        <f>VLOOKUP($O15,'Table 3 DJ Wind 2030'!$B$10:$J$36,9,FALSE)</f>
        <v>43.4</v>
      </c>
      <c r="BI15">
        <f>VLOOKUP($O15,'Table 3 ID Wind 2030'!$B$10:$J$36,9,FALSE)</f>
        <v>40.9</v>
      </c>
      <c r="BJ15">
        <f>VLOOKUP($O15,'Table 3 ID Wind 2033'!$B$10:$J$36,9,FALSE)</f>
        <v>40.9</v>
      </c>
      <c r="BK15">
        <f>VLOOKUP($O15,'Table 3 WW Wind 2035'!$B$10:$J$36,9,FALSE)</f>
        <v>40.9</v>
      </c>
      <c r="BL15">
        <f>VLOOKUP($O15,'Table 3 YK Wind 2035'!$B$10:$J$36,9,FALSE)</f>
        <v>40.9</v>
      </c>
      <c r="BM15">
        <f>VLOOKUP($O15,'Table 3 OR Wind 2035'!$B$10:$J$36,9,FALSE)</f>
        <v>40.9</v>
      </c>
      <c r="BN15">
        <f>VLOOKUP($O15,'Table 3 UT Wind 2030'!$B$10:$J$36,9,FALSE)</f>
        <v>40.9</v>
      </c>
      <c r="BO15">
        <f>VLOOKUP($O15,'Table 3 UT Wind 2036'!$B$10:$J$36,9,FALSE)</f>
        <v>40.9</v>
      </c>
      <c r="BP15">
        <f>VLOOKUP($O15,'Table 3 YK Solar 2030'!$B$10:$J$36,9,FALSE)</f>
        <v>20.399999999999999</v>
      </c>
      <c r="BQ15">
        <f>VLOOKUP($O15,'Table 3 YK Solar 2032'!$B$10:$J$36,9,FALSE)</f>
        <v>20.399999999999999</v>
      </c>
      <c r="BR15">
        <f>VLOOKUP($O15,'Table 3 YK Solar 2033'!$B$10:$J$36,9,FALSE)</f>
        <v>20.399999999999999</v>
      </c>
      <c r="BS15">
        <f>VLOOKUP($O15,'Table 3 UT Solar 2033 ST'!$B$10:$J$36,9,FALSE)</f>
        <v>21.43</v>
      </c>
      <c r="BT15">
        <f>VLOOKUP($O15,'Table 3 UT Solar 2035 ST'!$B$10:$J$36,9,FALSE)</f>
        <v>21.43</v>
      </c>
      <c r="BU15">
        <f>VLOOKUP($O15,'Table 3 UT Solar 2035 FT'!$B$10:$J$36,9,FALSE)</f>
        <v>20.38</v>
      </c>
      <c r="BV15">
        <f>VLOOKUP($O15,'Table 3 OR Solar 2030'!$B$10:$J$36,9,FALSE)</f>
        <v>21.46</v>
      </c>
      <c r="BW15">
        <f>VLOOKUP($O15,'Table 3 OR Solar 2031'!$B$10:$J$36,9,FALSE)</f>
        <v>21.46</v>
      </c>
      <c r="BX15">
        <f>VLOOKUP($O15,'Table 3 OR Solar 2032'!$B$10:$J$36,9,FALSE)</f>
        <v>21.46</v>
      </c>
      <c r="BY15">
        <f>VLOOKUP($O15,'Table 3 OR Solar 2033'!$B$10:$J$36,9,FALSE)</f>
        <v>21.46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2021</v>
      </c>
      <c r="CX15" s="89">
        <f>IFERROR(VLOOKUP($CW15,'Table 3 TransCost D2 '!$B$10:$E$34,4,FALSE),0)</f>
        <v>48.5910167356733</v>
      </c>
      <c r="CY15" s="193">
        <f t="shared" si="27"/>
        <v>0</v>
      </c>
    </row>
    <row r="16" spans="2:103" customFormat="1">
      <c r="B16" s="15">
        <f t="shared" si="25"/>
        <v>2022</v>
      </c>
      <c r="C16" s="9">
        <f t="shared" si="3"/>
        <v>0</v>
      </c>
      <c r="D16" s="45"/>
      <c r="E16" s="9">
        <f t="shared" ca="1" si="26"/>
        <v>18.660952326368029</v>
      </c>
      <c r="F16" s="37"/>
      <c r="G16" s="14">
        <f t="shared" ca="1" si="28"/>
        <v>18.660952326368029</v>
      </c>
      <c r="H16" s="36"/>
      <c r="I16" s="193"/>
      <c r="J16" s="193"/>
      <c r="M16" s="115"/>
      <c r="O16">
        <f t="shared" si="4"/>
        <v>2022</v>
      </c>
      <c r="P16">
        <v>0</v>
      </c>
      <c r="Q16">
        <v>0</v>
      </c>
      <c r="R16">
        <v>0</v>
      </c>
      <c r="S16" s="193">
        <v>0</v>
      </c>
      <c r="T16" s="193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-5.17</v>
      </c>
      <c r="BG16">
        <f>VLOOKUP($O16,'Table 3 EV2020 Wind_2021'!$B$10:$K$36,10,FALSE)</f>
        <v>-6.98</v>
      </c>
      <c r="BH16">
        <f>VLOOKUP($O16,'Table 3 DJ Wind 2030'!$B$10:$J$36,9,FALSE)</f>
        <v>44.41</v>
      </c>
      <c r="BI16">
        <f>VLOOKUP($O16,'Table 3 ID Wind 2030'!$B$10:$J$36,9,FALSE)</f>
        <v>41.84</v>
      </c>
      <c r="BJ16">
        <f>VLOOKUP($O16,'Table 3 ID Wind 2033'!$B$10:$J$36,9,FALSE)</f>
        <v>41.84</v>
      </c>
      <c r="BK16">
        <f>VLOOKUP($O16,'Table 3 WW Wind 2035'!$B$10:$J$36,9,FALSE)</f>
        <v>41.84</v>
      </c>
      <c r="BL16">
        <f>VLOOKUP($O16,'Table 3 YK Wind 2035'!$B$10:$J$36,9,FALSE)</f>
        <v>41.84</v>
      </c>
      <c r="BM16">
        <f>VLOOKUP($O16,'Table 3 OR Wind 2035'!$B$10:$J$36,9,FALSE)</f>
        <v>41.84</v>
      </c>
      <c r="BN16">
        <f>VLOOKUP($O16,'Table 3 UT Wind 2030'!$B$10:$J$36,9,FALSE)</f>
        <v>41.84</v>
      </c>
      <c r="BO16">
        <f>VLOOKUP($O16,'Table 3 UT Wind 2036'!$B$10:$J$36,9,FALSE)</f>
        <v>41.84</v>
      </c>
      <c r="BP16">
        <f>VLOOKUP($O16,'Table 3 YK Solar 2030'!$B$10:$J$36,9,FALSE)</f>
        <v>20.87</v>
      </c>
      <c r="BQ16">
        <f>VLOOKUP($O16,'Table 3 YK Solar 2032'!$B$10:$J$36,9,FALSE)</f>
        <v>20.87</v>
      </c>
      <c r="BR16">
        <f>VLOOKUP($O16,'Table 3 YK Solar 2033'!$B$10:$J$36,9,FALSE)</f>
        <v>20.87</v>
      </c>
      <c r="BS16">
        <f>VLOOKUP($O16,'Table 3 UT Solar 2033 ST'!$B$10:$J$36,9,FALSE)</f>
        <v>21.92</v>
      </c>
      <c r="BT16">
        <f>VLOOKUP($O16,'Table 3 UT Solar 2035 ST'!$B$10:$J$36,9,FALSE)</f>
        <v>21.92</v>
      </c>
      <c r="BU16">
        <f>VLOOKUP($O16,'Table 3 UT Solar 2035 FT'!$B$10:$J$36,9,FALSE)</f>
        <v>20.85</v>
      </c>
      <c r="BV16">
        <f>VLOOKUP($O16,'Table 3 OR Solar 2030'!$B$10:$J$36,9,FALSE)</f>
        <v>21.95</v>
      </c>
      <c r="BW16">
        <f>VLOOKUP($O16,'Table 3 OR Solar 2031'!$B$10:$J$36,9,FALSE)</f>
        <v>21.95</v>
      </c>
      <c r="BX16">
        <f>VLOOKUP($O16,'Table 3 OR Solar 2032'!$B$10:$J$36,9,FALSE)</f>
        <v>21.95</v>
      </c>
      <c r="BY16">
        <f>VLOOKUP($O16,'Table 3 OR Solar 2033'!$B$10:$J$36,9,FALSE)</f>
        <v>21.95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2022</v>
      </c>
      <c r="CX16" s="89">
        <f>IFERROR(VLOOKUP($CW16,'Table 3 TransCost D2 '!$B$10:$E$34,4,FALSE),0)</f>
        <v>49.71</v>
      </c>
      <c r="CY16" s="193">
        <f t="shared" si="27"/>
        <v>0</v>
      </c>
    </row>
    <row r="17" spans="2:103">
      <c r="B17" s="15">
        <f t="shared" si="25"/>
        <v>2023</v>
      </c>
      <c r="C17" s="9">
        <f t="shared" si="3"/>
        <v>0</v>
      </c>
      <c r="D17" s="45"/>
      <c r="E17" s="9">
        <f t="shared" ca="1" si="26"/>
        <v>19.45148502559686</v>
      </c>
      <c r="F17" s="37"/>
      <c r="G17" s="14">
        <f t="shared" ca="1" si="28"/>
        <v>19.45148502559686</v>
      </c>
      <c r="H17" s="36"/>
      <c r="I17" s="193"/>
      <c r="J17" s="193"/>
      <c r="M17" s="116"/>
      <c r="O17">
        <f t="shared" si="4"/>
        <v>2023</v>
      </c>
      <c r="P17">
        <v>0</v>
      </c>
      <c r="Q17">
        <v>0</v>
      </c>
      <c r="R17">
        <v>0</v>
      </c>
      <c r="S17" s="193">
        <v>0</v>
      </c>
      <c r="T17" s="193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-7.21</v>
      </c>
      <c r="BG17">
        <f>VLOOKUP($O17,'Table 3 EV2020 Wind_2021'!$B$10:$K$36,10,FALSE)</f>
        <v>-9.06</v>
      </c>
      <c r="BH17">
        <f>VLOOKUP($O17,'Table 3 DJ Wind 2030'!$B$10:$J$36,9,FALSE)</f>
        <v>45.4</v>
      </c>
      <c r="BI17">
        <f>VLOOKUP($O17,'Table 3 ID Wind 2030'!$B$10:$J$36,9,FALSE)</f>
        <v>42.76</v>
      </c>
      <c r="BJ17">
        <f>VLOOKUP($O17,'Table 3 ID Wind 2033'!$B$10:$J$36,9,FALSE)</f>
        <v>42.76</v>
      </c>
      <c r="BK17">
        <f>VLOOKUP($O17,'Table 3 WW Wind 2035'!$B$10:$J$36,9,FALSE)</f>
        <v>42.76</v>
      </c>
      <c r="BL17">
        <f>VLOOKUP($O17,'Table 3 YK Wind 2035'!$B$10:$J$36,9,FALSE)</f>
        <v>42.76</v>
      </c>
      <c r="BM17">
        <f>VLOOKUP($O17,'Table 3 OR Wind 2035'!$B$10:$J$36,9,FALSE)</f>
        <v>42.76</v>
      </c>
      <c r="BN17">
        <f>VLOOKUP($O17,'Table 3 UT Wind 2030'!$B$10:$J$36,9,FALSE)</f>
        <v>42.76</v>
      </c>
      <c r="BO17">
        <f>VLOOKUP($O17,'Table 3 UT Wind 2036'!$B$10:$J$36,9,FALSE)</f>
        <v>42.76</v>
      </c>
      <c r="BP17">
        <f>VLOOKUP($O17,'Table 3 YK Solar 2030'!$B$10:$J$36,9,FALSE)</f>
        <v>21.33</v>
      </c>
      <c r="BQ17">
        <f>VLOOKUP($O17,'Table 3 YK Solar 2032'!$B$10:$J$36,9,FALSE)</f>
        <v>21.33</v>
      </c>
      <c r="BR17">
        <f>VLOOKUP($O17,'Table 3 YK Solar 2033'!$B$10:$J$36,9,FALSE)</f>
        <v>21.33</v>
      </c>
      <c r="BS17">
        <f>VLOOKUP($O17,'Table 3 UT Solar 2033 ST'!$B$10:$J$36,9,FALSE)</f>
        <v>22.4</v>
      </c>
      <c r="BT17">
        <f>VLOOKUP($O17,'Table 3 UT Solar 2035 ST'!$B$10:$J$36,9,FALSE)</f>
        <v>22.4</v>
      </c>
      <c r="BU17">
        <f>VLOOKUP($O17,'Table 3 UT Solar 2035 FT'!$B$10:$J$36,9,FALSE)</f>
        <v>21.31</v>
      </c>
      <c r="BV17">
        <f>VLOOKUP($O17,'Table 3 OR Solar 2030'!$B$10:$J$36,9,FALSE)</f>
        <v>22.43</v>
      </c>
      <c r="BW17">
        <f>VLOOKUP($O17,'Table 3 OR Solar 2031'!$B$10:$J$36,9,FALSE)</f>
        <v>22.43</v>
      </c>
      <c r="BX17">
        <f>VLOOKUP($O17,'Table 3 OR Solar 2032'!$B$10:$J$36,9,FALSE)</f>
        <v>22.43</v>
      </c>
      <c r="BY17">
        <f>VLOOKUP($O17,'Table 3 OR Solar 2033'!$B$10:$J$36,9,FALSE)</f>
        <v>22.43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2023</v>
      </c>
      <c r="CX17" s="89">
        <f>IFERROR(VLOOKUP($CW17,'Table 3 TransCost D2 '!$B$10:$E$34,4,FALSE),0)</f>
        <v>50.79999999999999</v>
      </c>
      <c r="CY17" s="193">
        <f t="shared" si="27"/>
        <v>0</v>
      </c>
    </row>
    <row r="18" spans="2:103">
      <c r="B18" s="15">
        <f t="shared" si="25"/>
        <v>2024</v>
      </c>
      <c r="C18" s="9">
        <f t="shared" si="3"/>
        <v>0</v>
      </c>
      <c r="D18" s="45"/>
      <c r="E18" s="9">
        <f t="shared" ca="1" si="26"/>
        <v>21.528149241182955</v>
      </c>
      <c r="F18" s="37"/>
      <c r="G18" s="14">
        <f t="shared" ca="1" si="28"/>
        <v>21.528149241182955</v>
      </c>
      <c r="H18" s="36"/>
      <c r="I18" s="193"/>
      <c r="J18" s="193"/>
      <c r="M18" s="116"/>
      <c r="O18">
        <f t="shared" si="4"/>
        <v>2024</v>
      </c>
      <c r="P18">
        <v>0</v>
      </c>
      <c r="Q18">
        <v>0</v>
      </c>
      <c r="R18">
        <v>0</v>
      </c>
      <c r="S18" s="193">
        <v>0</v>
      </c>
      <c r="T18" s="193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-4.7</v>
      </c>
      <c r="BG18">
        <f>VLOOKUP($O18,'Table 3 EV2020 Wind_2021'!$B$10:$K$36,10,FALSE)</f>
        <v>-6.59</v>
      </c>
      <c r="BH18">
        <f>VLOOKUP($O18,'Table 3 DJ Wind 2030'!$B$10:$J$36,9,FALSE)</f>
        <v>46.41</v>
      </c>
      <c r="BI18">
        <f>VLOOKUP($O18,'Table 3 ID Wind 2030'!$B$10:$J$36,9,FALSE)</f>
        <v>43.7</v>
      </c>
      <c r="BJ18">
        <f>VLOOKUP($O18,'Table 3 ID Wind 2033'!$B$10:$J$36,9,FALSE)</f>
        <v>43.7</v>
      </c>
      <c r="BK18">
        <f>VLOOKUP($O18,'Table 3 WW Wind 2035'!$B$10:$J$36,9,FALSE)</f>
        <v>43.7</v>
      </c>
      <c r="BL18">
        <f>VLOOKUP($O18,'Table 3 YK Wind 2035'!$B$10:$J$36,9,FALSE)</f>
        <v>43.7</v>
      </c>
      <c r="BM18">
        <f>VLOOKUP($O18,'Table 3 OR Wind 2035'!$B$10:$J$36,9,FALSE)</f>
        <v>43.7</v>
      </c>
      <c r="BN18">
        <f>VLOOKUP($O18,'Table 3 UT Wind 2030'!$B$10:$J$36,9,FALSE)</f>
        <v>43.7</v>
      </c>
      <c r="BO18">
        <f>VLOOKUP($O18,'Table 3 UT Wind 2036'!$B$10:$J$36,9,FALSE)</f>
        <v>43.7</v>
      </c>
      <c r="BP18">
        <f>VLOOKUP($O18,'Table 3 YK Solar 2030'!$B$10:$J$36,9,FALSE)</f>
        <v>21.8</v>
      </c>
      <c r="BQ18">
        <f>VLOOKUP($O18,'Table 3 YK Solar 2032'!$B$10:$J$36,9,FALSE)</f>
        <v>21.8</v>
      </c>
      <c r="BR18">
        <f>VLOOKUP($O18,'Table 3 YK Solar 2033'!$B$10:$J$36,9,FALSE)</f>
        <v>21.8</v>
      </c>
      <c r="BS18">
        <f>VLOOKUP($O18,'Table 3 UT Solar 2033 ST'!$B$10:$J$36,9,FALSE)</f>
        <v>22.89</v>
      </c>
      <c r="BT18">
        <f>VLOOKUP($O18,'Table 3 UT Solar 2035 ST'!$B$10:$J$36,9,FALSE)</f>
        <v>22.89</v>
      </c>
      <c r="BU18">
        <f>VLOOKUP($O18,'Table 3 UT Solar 2035 FT'!$B$10:$J$36,9,FALSE)</f>
        <v>21.78</v>
      </c>
      <c r="BV18">
        <f>VLOOKUP($O18,'Table 3 OR Solar 2030'!$B$10:$J$36,9,FALSE)</f>
        <v>22.92</v>
      </c>
      <c r="BW18">
        <f>VLOOKUP($O18,'Table 3 OR Solar 2031'!$B$10:$J$36,9,FALSE)</f>
        <v>22.92</v>
      </c>
      <c r="BX18">
        <f>VLOOKUP($O18,'Table 3 OR Solar 2032'!$B$10:$J$36,9,FALSE)</f>
        <v>22.92</v>
      </c>
      <c r="BY18">
        <f>VLOOKUP($O18,'Table 3 OR Solar 2033'!$B$10:$J$36,9,FALSE)</f>
        <v>22.92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2024</v>
      </c>
      <c r="CX18" s="89">
        <f>IFERROR(VLOOKUP($CW18,'Table 3 TransCost D2 '!$B$10:$E$34,4,FALSE),0)</f>
        <v>51.919999999999995</v>
      </c>
      <c r="CY18" s="193">
        <f t="shared" si="27"/>
        <v>0</v>
      </c>
    </row>
    <row r="19" spans="2:103">
      <c r="B19" s="15">
        <f t="shared" si="25"/>
        <v>2025</v>
      </c>
      <c r="C19" s="9">
        <f t="shared" si="3"/>
        <v>0</v>
      </c>
      <c r="D19" s="45"/>
      <c r="E19" s="9">
        <f t="shared" ca="1" si="26"/>
        <v>24.162167902656989</v>
      </c>
      <c r="F19" s="37"/>
      <c r="G19" s="14">
        <f t="shared" ca="1" si="28"/>
        <v>24.162167902656989</v>
      </c>
      <c r="H19" s="36"/>
      <c r="I19" s="193"/>
      <c r="J19" s="193"/>
      <c r="M19" s="116"/>
      <c r="O19">
        <f t="shared" si="4"/>
        <v>2025</v>
      </c>
      <c r="P19">
        <v>0</v>
      </c>
      <c r="Q19">
        <v>0</v>
      </c>
      <c r="R19">
        <v>0</v>
      </c>
      <c r="S19" s="193">
        <v>0</v>
      </c>
      <c r="T19" s="193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-6.64</v>
      </c>
      <c r="BG19">
        <f>VLOOKUP($O19,'Table 3 EV2020 Wind_2021'!$B$10:$K$36,10,FALSE)</f>
        <v>-8.57</v>
      </c>
      <c r="BH19">
        <f>VLOOKUP($O19,'Table 3 DJ Wind 2030'!$B$10:$J$36,9,FALSE)</f>
        <v>47.45</v>
      </c>
      <c r="BI19">
        <f>VLOOKUP($O19,'Table 3 ID Wind 2030'!$B$10:$J$36,9,FALSE)</f>
        <v>44.66</v>
      </c>
      <c r="BJ19">
        <f>VLOOKUP($O19,'Table 3 ID Wind 2033'!$B$10:$J$36,9,FALSE)</f>
        <v>44.66</v>
      </c>
      <c r="BK19">
        <f>VLOOKUP($O19,'Table 3 WW Wind 2035'!$B$10:$J$36,9,FALSE)</f>
        <v>44.66</v>
      </c>
      <c r="BL19">
        <f>VLOOKUP($O19,'Table 3 YK Wind 2035'!$B$10:$J$36,9,FALSE)</f>
        <v>44.66</v>
      </c>
      <c r="BM19">
        <f>VLOOKUP($O19,'Table 3 OR Wind 2035'!$B$10:$J$36,9,FALSE)</f>
        <v>44.66</v>
      </c>
      <c r="BN19">
        <f>VLOOKUP($O19,'Table 3 UT Wind 2030'!$B$10:$J$36,9,FALSE)</f>
        <v>44.66</v>
      </c>
      <c r="BO19">
        <f>VLOOKUP($O19,'Table 3 UT Wind 2036'!$B$10:$J$36,9,FALSE)</f>
        <v>44.66</v>
      </c>
      <c r="BP19">
        <f>VLOOKUP($O19,'Table 3 YK Solar 2030'!$B$10:$J$36,9,FALSE)</f>
        <v>22.28</v>
      </c>
      <c r="BQ19">
        <f>VLOOKUP($O19,'Table 3 YK Solar 2032'!$B$10:$J$36,9,FALSE)</f>
        <v>22.28</v>
      </c>
      <c r="BR19">
        <f>VLOOKUP($O19,'Table 3 YK Solar 2033'!$B$10:$J$36,9,FALSE)</f>
        <v>22.28</v>
      </c>
      <c r="BS19">
        <f>VLOOKUP($O19,'Table 3 UT Solar 2033 ST'!$B$10:$J$36,9,FALSE)</f>
        <v>23.39</v>
      </c>
      <c r="BT19">
        <f>VLOOKUP($O19,'Table 3 UT Solar 2035 ST'!$B$10:$J$36,9,FALSE)</f>
        <v>23.39</v>
      </c>
      <c r="BU19">
        <f>VLOOKUP($O19,'Table 3 UT Solar 2035 FT'!$B$10:$J$36,9,FALSE)</f>
        <v>22.26</v>
      </c>
      <c r="BV19">
        <f>VLOOKUP($O19,'Table 3 OR Solar 2030'!$B$10:$J$36,9,FALSE)</f>
        <v>23.42</v>
      </c>
      <c r="BW19">
        <f>VLOOKUP($O19,'Table 3 OR Solar 2031'!$B$10:$J$36,9,FALSE)</f>
        <v>23.42</v>
      </c>
      <c r="BX19">
        <f>VLOOKUP($O19,'Table 3 OR Solar 2032'!$B$10:$J$36,9,FALSE)</f>
        <v>23.42</v>
      </c>
      <c r="BY19">
        <f>VLOOKUP($O19,'Table 3 OR Solar 2033'!$B$10:$J$36,9,FALSE)</f>
        <v>23.42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2025</v>
      </c>
      <c r="CX19" s="89">
        <f>IFERROR(VLOOKUP($CW19,'Table 3 TransCost D2 '!$B$10:$E$34,4,FALSE),0)</f>
        <v>53.06</v>
      </c>
      <c r="CY19" s="193">
        <f t="shared" si="27"/>
        <v>0</v>
      </c>
    </row>
    <row r="20" spans="2:103">
      <c r="B20" s="15">
        <f t="shared" si="25"/>
        <v>2026</v>
      </c>
      <c r="C20" s="9">
        <f t="shared" si="3"/>
        <v>0</v>
      </c>
      <c r="D20" s="45"/>
      <c r="E20" s="9">
        <f t="shared" ca="1" si="26"/>
        <v>28.647492212382964</v>
      </c>
      <c r="F20" s="37"/>
      <c r="G20" s="14">
        <f t="shared" ca="1" si="28"/>
        <v>28.647492212382964</v>
      </c>
      <c r="H20" s="36"/>
      <c r="I20" s="193"/>
      <c r="J20" s="193"/>
      <c r="M20" s="116"/>
      <c r="O20">
        <f t="shared" si="4"/>
        <v>2026</v>
      </c>
      <c r="P20">
        <v>0</v>
      </c>
      <c r="Q20">
        <v>0</v>
      </c>
      <c r="R20">
        <v>0</v>
      </c>
      <c r="S20" s="193">
        <v>0</v>
      </c>
      <c r="T20" s="193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-4</v>
      </c>
      <c r="BG20">
        <f>VLOOKUP($O20,'Table 3 EV2020 Wind_2021'!$B$10:$K$36,10,FALSE)</f>
        <v>-5.97</v>
      </c>
      <c r="BH20">
        <f>VLOOKUP($O20,'Table 3 DJ Wind 2030'!$B$10:$J$36,9,FALSE)</f>
        <v>48.5</v>
      </c>
      <c r="BI20">
        <f>VLOOKUP($O20,'Table 3 ID Wind 2030'!$B$10:$J$36,9,FALSE)</f>
        <v>45.64</v>
      </c>
      <c r="BJ20">
        <f>VLOOKUP($O20,'Table 3 ID Wind 2033'!$B$10:$J$36,9,FALSE)</f>
        <v>45.64</v>
      </c>
      <c r="BK20">
        <f>VLOOKUP($O20,'Table 3 WW Wind 2035'!$B$10:$J$36,9,FALSE)</f>
        <v>45.64</v>
      </c>
      <c r="BL20">
        <f>VLOOKUP($O20,'Table 3 YK Wind 2035'!$B$10:$J$36,9,FALSE)</f>
        <v>45.64</v>
      </c>
      <c r="BM20">
        <f>VLOOKUP($O20,'Table 3 OR Wind 2035'!$B$10:$J$36,9,FALSE)</f>
        <v>45.64</v>
      </c>
      <c r="BN20">
        <f>VLOOKUP($O20,'Table 3 UT Wind 2030'!$B$10:$J$36,9,FALSE)</f>
        <v>45.64</v>
      </c>
      <c r="BO20">
        <f>VLOOKUP($O20,'Table 3 UT Wind 2036'!$B$10:$J$36,9,FALSE)</f>
        <v>45.64</v>
      </c>
      <c r="BP20">
        <f>VLOOKUP($O20,'Table 3 YK Solar 2030'!$B$10:$J$36,9,FALSE)</f>
        <v>22.77</v>
      </c>
      <c r="BQ20">
        <f>VLOOKUP($O20,'Table 3 YK Solar 2032'!$B$10:$J$36,9,FALSE)</f>
        <v>22.77</v>
      </c>
      <c r="BR20">
        <f>VLOOKUP($O20,'Table 3 YK Solar 2033'!$B$10:$J$36,9,FALSE)</f>
        <v>22.77</v>
      </c>
      <c r="BS20">
        <f>VLOOKUP($O20,'Table 3 UT Solar 2033 ST'!$B$10:$J$36,9,FALSE)</f>
        <v>23.9</v>
      </c>
      <c r="BT20">
        <f>VLOOKUP($O20,'Table 3 UT Solar 2035 ST'!$B$10:$J$36,9,FALSE)</f>
        <v>23.9</v>
      </c>
      <c r="BU20">
        <f>VLOOKUP($O20,'Table 3 UT Solar 2035 FT'!$B$10:$J$36,9,FALSE)</f>
        <v>22.75</v>
      </c>
      <c r="BV20">
        <f>VLOOKUP($O20,'Table 3 OR Solar 2030'!$B$10:$J$36,9,FALSE)</f>
        <v>23.94</v>
      </c>
      <c r="BW20">
        <f>VLOOKUP($O20,'Table 3 OR Solar 2031'!$B$10:$J$36,9,FALSE)</f>
        <v>23.94</v>
      </c>
      <c r="BX20">
        <f>VLOOKUP($O20,'Table 3 OR Solar 2032'!$B$10:$J$36,9,FALSE)</f>
        <v>23.94</v>
      </c>
      <c r="BY20">
        <f>VLOOKUP($O20,'Table 3 OR Solar 2033'!$B$10:$J$36,9,FALSE)</f>
        <v>23.94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2026</v>
      </c>
      <c r="CX20" s="89">
        <f>IFERROR(VLOOKUP($CW20,'Table 3 TransCost D2 '!$B$10:$E$34,4,FALSE),0)</f>
        <v>54.23</v>
      </c>
      <c r="CY20" s="193">
        <f t="shared" si="27"/>
        <v>0</v>
      </c>
    </row>
    <row r="21" spans="2:103">
      <c r="B21" s="15">
        <f t="shared" si="25"/>
        <v>2027</v>
      </c>
      <c r="C21" s="9">
        <f t="shared" si="3"/>
        <v>0</v>
      </c>
      <c r="D21" s="45"/>
      <c r="E21" s="9">
        <f t="shared" ca="1" si="26"/>
        <v>30.057642263035369</v>
      </c>
      <c r="F21" s="37"/>
      <c r="G21" s="14">
        <f t="shared" ca="1" si="28"/>
        <v>30.057642263035369</v>
      </c>
      <c r="H21" s="36"/>
      <c r="I21" s="193"/>
      <c r="J21" s="193"/>
      <c r="M21" s="116"/>
      <c r="O21">
        <f t="shared" si="4"/>
        <v>2027</v>
      </c>
      <c r="P21">
        <v>0</v>
      </c>
      <c r="Q21">
        <v>0</v>
      </c>
      <c r="R21">
        <v>0</v>
      </c>
      <c r="S21" s="193">
        <v>0</v>
      </c>
      <c r="T21" s="193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-5.79</v>
      </c>
      <c r="BG21">
        <f>VLOOKUP($O21,'Table 3 EV2020 Wind_2021'!$B$10:$K$36,10,FALSE)</f>
        <v>-7.81</v>
      </c>
      <c r="BH21">
        <f>VLOOKUP($O21,'Table 3 DJ Wind 2030'!$B$10:$J$36,9,FALSE)</f>
        <v>49.57</v>
      </c>
      <c r="BI21">
        <f>VLOOKUP($O21,'Table 3 ID Wind 2030'!$B$10:$J$36,9,FALSE)</f>
        <v>46.64</v>
      </c>
      <c r="BJ21">
        <f>VLOOKUP($O21,'Table 3 ID Wind 2033'!$B$10:$J$36,9,FALSE)</f>
        <v>46.64</v>
      </c>
      <c r="BK21">
        <f>VLOOKUP($O21,'Table 3 WW Wind 2035'!$B$10:$J$36,9,FALSE)</f>
        <v>46.64</v>
      </c>
      <c r="BL21">
        <f>VLOOKUP($O21,'Table 3 YK Wind 2035'!$B$10:$J$36,9,FALSE)</f>
        <v>46.64</v>
      </c>
      <c r="BM21">
        <f>VLOOKUP($O21,'Table 3 OR Wind 2035'!$B$10:$J$36,9,FALSE)</f>
        <v>46.64</v>
      </c>
      <c r="BN21">
        <f>VLOOKUP($O21,'Table 3 UT Wind 2030'!$B$10:$J$36,9,FALSE)</f>
        <v>46.64</v>
      </c>
      <c r="BO21">
        <f>VLOOKUP($O21,'Table 3 UT Wind 2036'!$B$10:$J$36,9,FALSE)</f>
        <v>46.64</v>
      </c>
      <c r="BP21">
        <f>VLOOKUP($O21,'Table 3 YK Solar 2030'!$B$10:$J$36,9,FALSE)</f>
        <v>23.27</v>
      </c>
      <c r="BQ21">
        <f>VLOOKUP($O21,'Table 3 YK Solar 2032'!$B$10:$J$36,9,FALSE)</f>
        <v>23.27</v>
      </c>
      <c r="BR21">
        <f>VLOOKUP($O21,'Table 3 YK Solar 2033'!$B$10:$J$36,9,FALSE)</f>
        <v>23.27</v>
      </c>
      <c r="BS21">
        <f>VLOOKUP($O21,'Table 3 UT Solar 2033 ST'!$B$10:$J$36,9,FALSE)</f>
        <v>24.43</v>
      </c>
      <c r="BT21">
        <f>VLOOKUP($O21,'Table 3 UT Solar 2035 ST'!$B$10:$J$36,9,FALSE)</f>
        <v>24.43</v>
      </c>
      <c r="BU21">
        <f>VLOOKUP($O21,'Table 3 UT Solar 2035 FT'!$B$10:$J$36,9,FALSE)</f>
        <v>23.25</v>
      </c>
      <c r="BV21">
        <f>VLOOKUP($O21,'Table 3 OR Solar 2030'!$B$10:$J$36,9,FALSE)</f>
        <v>24.47</v>
      </c>
      <c r="BW21">
        <f>VLOOKUP($O21,'Table 3 OR Solar 2031'!$B$10:$J$36,9,FALSE)</f>
        <v>24.47</v>
      </c>
      <c r="BX21">
        <f>VLOOKUP($O21,'Table 3 OR Solar 2032'!$B$10:$J$36,9,FALSE)</f>
        <v>24.47</v>
      </c>
      <c r="BY21">
        <f>VLOOKUP($O21,'Table 3 OR Solar 2033'!$B$10:$J$36,9,FALSE)</f>
        <v>24.47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2027</v>
      </c>
      <c r="CX21" s="89">
        <f>IFERROR(VLOOKUP($CW21,'Table 3 TransCost D2 '!$B$10:$E$34,4,FALSE),0)</f>
        <v>55.419999999999995</v>
      </c>
      <c r="CY21" s="193">
        <f t="shared" si="27"/>
        <v>0</v>
      </c>
    </row>
    <row r="22" spans="2:103">
      <c r="B22" s="15">
        <f t="shared" si="25"/>
        <v>2028</v>
      </c>
      <c r="C22" s="9">
        <f t="shared" si="3"/>
        <v>0</v>
      </c>
      <c r="D22" s="45"/>
      <c r="E22" s="9">
        <f t="shared" ca="1" si="26"/>
        <v>33.323236315899422</v>
      </c>
      <c r="F22" s="37"/>
      <c r="G22" s="14">
        <f t="shared" ca="1" si="28"/>
        <v>33.323236315899422</v>
      </c>
      <c r="H22" s="36"/>
      <c r="I22" s="193"/>
      <c r="J22" s="193"/>
      <c r="M22" s="116"/>
      <c r="O22">
        <f t="shared" si="4"/>
        <v>2028</v>
      </c>
      <c r="P22">
        <v>0</v>
      </c>
      <c r="Q22">
        <v>0</v>
      </c>
      <c r="R22">
        <v>0</v>
      </c>
      <c r="S22" s="193">
        <v>0</v>
      </c>
      <c r="T22" s="193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-2.94</v>
      </c>
      <c r="BG22">
        <f>VLOOKUP($O22,'Table 3 EV2020 Wind_2021'!$B$10:$K$36,10,FALSE)</f>
        <v>-5</v>
      </c>
      <c r="BH22">
        <f>VLOOKUP($O22,'Table 3 DJ Wind 2030'!$B$10:$J$36,9,FALSE)</f>
        <v>50.71</v>
      </c>
      <c r="BI22">
        <f>VLOOKUP($O22,'Table 3 ID Wind 2030'!$B$10:$J$36,9,FALSE)</f>
        <v>47.71</v>
      </c>
      <c r="BJ22">
        <f>VLOOKUP($O22,'Table 3 ID Wind 2033'!$B$10:$J$36,9,FALSE)</f>
        <v>47.71</v>
      </c>
      <c r="BK22">
        <f>VLOOKUP($O22,'Table 3 WW Wind 2035'!$B$10:$J$36,9,FALSE)</f>
        <v>47.71</v>
      </c>
      <c r="BL22">
        <f>VLOOKUP($O22,'Table 3 YK Wind 2035'!$B$10:$J$36,9,FALSE)</f>
        <v>47.71</v>
      </c>
      <c r="BM22">
        <f>VLOOKUP($O22,'Table 3 OR Wind 2035'!$B$10:$J$36,9,FALSE)</f>
        <v>47.71</v>
      </c>
      <c r="BN22">
        <f>VLOOKUP($O22,'Table 3 UT Wind 2030'!$B$10:$J$36,9,FALSE)</f>
        <v>47.71</v>
      </c>
      <c r="BO22">
        <f>VLOOKUP($O22,'Table 3 UT Wind 2036'!$B$10:$J$36,9,FALSE)</f>
        <v>47.71</v>
      </c>
      <c r="BP22">
        <f>VLOOKUP($O22,'Table 3 YK Solar 2030'!$B$10:$J$36,9,FALSE)</f>
        <v>23.81</v>
      </c>
      <c r="BQ22">
        <f>VLOOKUP($O22,'Table 3 YK Solar 2032'!$B$10:$J$36,9,FALSE)</f>
        <v>23.81</v>
      </c>
      <c r="BR22">
        <f>VLOOKUP($O22,'Table 3 YK Solar 2033'!$B$10:$J$36,9,FALSE)</f>
        <v>23.81</v>
      </c>
      <c r="BS22">
        <f>VLOOKUP($O22,'Table 3 UT Solar 2033 ST'!$B$10:$J$36,9,FALSE)</f>
        <v>24.99</v>
      </c>
      <c r="BT22">
        <f>VLOOKUP($O22,'Table 3 UT Solar 2035 ST'!$B$10:$J$36,9,FALSE)</f>
        <v>24.99</v>
      </c>
      <c r="BU22">
        <f>VLOOKUP($O22,'Table 3 UT Solar 2035 FT'!$B$10:$J$36,9,FALSE)</f>
        <v>23.78</v>
      </c>
      <c r="BV22">
        <f>VLOOKUP($O22,'Table 3 OR Solar 2030'!$B$10:$J$36,9,FALSE)</f>
        <v>25.03</v>
      </c>
      <c r="BW22">
        <f>VLOOKUP($O22,'Table 3 OR Solar 2031'!$B$10:$J$36,9,FALSE)</f>
        <v>25.03</v>
      </c>
      <c r="BX22">
        <f>VLOOKUP($O22,'Table 3 OR Solar 2032'!$B$10:$J$36,9,FALSE)</f>
        <v>25.03</v>
      </c>
      <c r="BY22">
        <f>VLOOKUP($O22,'Table 3 OR Solar 2033'!$B$10:$J$36,9,FALSE)</f>
        <v>25.03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2028</v>
      </c>
      <c r="CX22" s="89">
        <f>IFERROR(VLOOKUP($CW22,'Table 3 TransCost D2 '!$B$10:$E$34,4,FALSE),0)</f>
        <v>56.69</v>
      </c>
      <c r="CY22" s="193">
        <f t="shared" si="27"/>
        <v>0</v>
      </c>
    </row>
    <row r="23" spans="2:103">
      <c r="B23" s="15">
        <f t="shared" si="25"/>
        <v>2029</v>
      </c>
      <c r="C23" s="9">
        <f t="shared" si="3"/>
        <v>0</v>
      </c>
      <c r="D23" s="45"/>
      <c r="E23" s="9">
        <f t="shared" ca="1" si="26"/>
        <v>37.243878742129986</v>
      </c>
      <c r="F23" s="37"/>
      <c r="G23" s="14">
        <f t="shared" ca="1" si="28"/>
        <v>37.243878742129986</v>
      </c>
      <c r="H23" s="36"/>
      <c r="I23" s="193"/>
      <c r="J23" s="193"/>
      <c r="M23" s="116"/>
      <c r="O23">
        <f t="shared" si="4"/>
        <v>2029</v>
      </c>
      <c r="P23">
        <v>0</v>
      </c>
      <c r="Q23">
        <v>0</v>
      </c>
      <c r="R23">
        <v>0</v>
      </c>
      <c r="S23" s="193">
        <v>0</v>
      </c>
      <c r="T23" s="19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-4.55</v>
      </c>
      <c r="BG23">
        <f>VLOOKUP($O23,'Table 3 EV2020 Wind_2021'!$B$10:$K$36,10,FALSE)</f>
        <v>-6.65</v>
      </c>
      <c r="BH23">
        <f>VLOOKUP($O23,'Table 3 DJ Wind 2030'!$B$10:$J$36,9,FALSE)</f>
        <v>51.89</v>
      </c>
      <c r="BI23">
        <f>VLOOKUP($O23,'Table 3 ID Wind 2030'!$B$10:$J$36,9,FALSE)</f>
        <v>48.81</v>
      </c>
      <c r="BJ23">
        <f>VLOOKUP($O23,'Table 3 ID Wind 2033'!$B$10:$J$36,9,FALSE)</f>
        <v>48.81</v>
      </c>
      <c r="BK23">
        <f>VLOOKUP($O23,'Table 3 WW Wind 2035'!$B$10:$J$36,9,FALSE)</f>
        <v>48.81</v>
      </c>
      <c r="BL23">
        <f>VLOOKUP($O23,'Table 3 YK Wind 2035'!$B$10:$J$36,9,FALSE)</f>
        <v>48.81</v>
      </c>
      <c r="BM23">
        <f>VLOOKUP($O23,'Table 3 OR Wind 2035'!$B$10:$J$36,9,FALSE)</f>
        <v>48.81</v>
      </c>
      <c r="BN23">
        <f>VLOOKUP($O23,'Table 3 UT Wind 2030'!$B$10:$J$36,9,FALSE)</f>
        <v>48.81</v>
      </c>
      <c r="BO23">
        <f>VLOOKUP($O23,'Table 3 UT Wind 2036'!$B$10:$J$36,9,FALSE)</f>
        <v>48.81</v>
      </c>
      <c r="BP23">
        <f>VLOOKUP($O23,'Table 3 YK Solar 2030'!$B$10:$J$36,9,FALSE)</f>
        <v>24.36</v>
      </c>
      <c r="BQ23">
        <f>VLOOKUP($O23,'Table 3 YK Solar 2032'!$B$10:$J$36,9,FALSE)</f>
        <v>24.36</v>
      </c>
      <c r="BR23">
        <f>VLOOKUP($O23,'Table 3 YK Solar 2033'!$B$10:$J$36,9,FALSE)</f>
        <v>24.36</v>
      </c>
      <c r="BS23">
        <f>VLOOKUP($O23,'Table 3 UT Solar 2033 ST'!$B$10:$J$36,9,FALSE)</f>
        <v>25.56</v>
      </c>
      <c r="BT23">
        <f>VLOOKUP($O23,'Table 3 UT Solar 2035 ST'!$B$10:$J$36,9,FALSE)</f>
        <v>25.56</v>
      </c>
      <c r="BU23">
        <f>VLOOKUP($O23,'Table 3 UT Solar 2035 FT'!$B$10:$J$36,9,FALSE)</f>
        <v>24.33</v>
      </c>
      <c r="BV23">
        <f>VLOOKUP($O23,'Table 3 OR Solar 2030'!$B$10:$J$36,9,FALSE)</f>
        <v>25.61</v>
      </c>
      <c r="BW23">
        <f>VLOOKUP($O23,'Table 3 OR Solar 2031'!$B$10:$J$36,9,FALSE)</f>
        <v>25.61</v>
      </c>
      <c r="BX23">
        <f>VLOOKUP($O23,'Table 3 OR Solar 2032'!$B$10:$J$36,9,FALSE)</f>
        <v>25.61</v>
      </c>
      <c r="BY23">
        <f>VLOOKUP($O23,'Table 3 OR Solar 2033'!$B$10:$J$36,9,FALSE)</f>
        <v>25.61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2029</v>
      </c>
      <c r="CX23" s="89">
        <f>IFERROR(VLOOKUP($CW23,'Table 3 TransCost D2 '!$B$10:$E$34,4,FALSE),0)</f>
        <v>57.99</v>
      </c>
      <c r="CY23" s="193">
        <f t="shared" si="27"/>
        <v>0</v>
      </c>
    </row>
    <row r="24" spans="2:103">
      <c r="B24" s="15">
        <f t="shared" si="25"/>
        <v>2030</v>
      </c>
      <c r="C24" s="9">
        <f t="shared" si="3"/>
        <v>0</v>
      </c>
      <c r="D24" s="45"/>
      <c r="E24" s="9">
        <f t="shared" ca="1" si="26"/>
        <v>41.885506092875907</v>
      </c>
      <c r="F24" s="37"/>
      <c r="G24" s="14">
        <f t="shared" ca="1" si="28"/>
        <v>41.885506092875907</v>
      </c>
      <c r="H24" s="36"/>
      <c r="I24" s="193"/>
      <c r="J24" s="193"/>
      <c r="M24" s="116"/>
      <c r="O24">
        <f t="shared" si="4"/>
        <v>2030</v>
      </c>
      <c r="P24">
        <v>0</v>
      </c>
      <c r="Q24">
        <v>0</v>
      </c>
      <c r="R24" s="193">
        <v>0</v>
      </c>
      <c r="S24" s="193">
        <v>0</v>
      </c>
      <c r="T24" s="193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17.23</v>
      </c>
      <c r="BG24">
        <f>VLOOKUP($O24,'Table 3 EV2020 Wind_2021'!$B$10:$K$36,10,FALSE)</f>
        <v>-8.1999999999999993</v>
      </c>
      <c r="BH24">
        <f>VLOOKUP($O24,'Table 3 DJ Wind 2030'!$B$10:$J$36,9,FALSE)</f>
        <v>149.24</v>
      </c>
      <c r="BI24">
        <f>VLOOKUP($O24,'Table 3 ID Wind 2030'!$B$10:$J$36,9,FALSE)</f>
        <v>150.16999999999999</v>
      </c>
      <c r="BJ24">
        <f>VLOOKUP($O24,'Table 3 ID Wind 2033'!$B$10:$J$36,9,FALSE)</f>
        <v>49.93</v>
      </c>
      <c r="BK24">
        <f>VLOOKUP($O24,'Table 3 WW Wind 2035'!$B$10:$J$36,9,FALSE)</f>
        <v>49.93</v>
      </c>
      <c r="BL24">
        <f>VLOOKUP($O24,'Table 3 YK Wind 2035'!$B$10:$J$36,9,FALSE)</f>
        <v>49.93</v>
      </c>
      <c r="BM24">
        <f>VLOOKUP($O24,'Table 3 OR Wind 2035'!$B$10:$J$36,9,FALSE)</f>
        <v>49.93</v>
      </c>
      <c r="BN24">
        <f>VLOOKUP($O24,'Table 3 UT Wind 2030'!$B$10:$J$36,9,FALSE)</f>
        <v>145.99</v>
      </c>
      <c r="BO24">
        <f>VLOOKUP($O24,'Table 3 UT Wind 2036'!$B$10:$J$36,9,FALSE)</f>
        <v>49.93</v>
      </c>
      <c r="BP24">
        <f>VLOOKUP($O24,'Table 3 YK Solar 2030'!$B$10:$J$36,9,FALSE)</f>
        <v>116.98</v>
      </c>
      <c r="BQ24">
        <f>VLOOKUP($O24,'Table 3 YK Solar 2032'!$B$10:$J$36,9,FALSE)</f>
        <v>24.92</v>
      </c>
      <c r="BR24">
        <f>VLOOKUP($O24,'Table 3 YK Solar 2033'!$B$10:$J$36,9,FALSE)</f>
        <v>24.92</v>
      </c>
      <c r="BS24">
        <f>VLOOKUP($O24,'Table 3 UT Solar 2033 ST'!$B$10:$J$36,9,FALSE)</f>
        <v>26.15</v>
      </c>
      <c r="BT24">
        <f>VLOOKUP($O24,'Table 3 UT Solar 2035 ST'!$B$10:$J$36,9,FALSE)</f>
        <v>26.15</v>
      </c>
      <c r="BU24">
        <f>VLOOKUP($O24,'Table 3 UT Solar 2035 FT'!$B$10:$J$36,9,FALSE)</f>
        <v>24.89</v>
      </c>
      <c r="BV24">
        <f>VLOOKUP($O24,'Table 3 OR Solar 2030'!$B$10:$J$36,9,FALSE)</f>
        <v>120.03</v>
      </c>
      <c r="BW24">
        <f>VLOOKUP($O24,'Table 3 OR Solar 2031'!$B$10:$J$36,9,FALSE)</f>
        <v>26.2</v>
      </c>
      <c r="BX24">
        <f>VLOOKUP($O24,'Table 3 OR Solar 2032'!$B$10:$J$36,9,FALSE)</f>
        <v>26.2</v>
      </c>
      <c r="BY24">
        <f>VLOOKUP($O24,'Table 3 OR Solar 2033'!$B$10:$J$36,9,FALSE)</f>
        <v>26.2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2030</v>
      </c>
      <c r="CX24" s="89">
        <f>IFERROR(VLOOKUP($CW24,'Table 3 TransCost D2 '!$B$10:$E$34,4,FALSE),0)</f>
        <v>59.32</v>
      </c>
      <c r="CY24" s="193">
        <f t="shared" si="27"/>
        <v>0</v>
      </c>
    </row>
    <row r="25" spans="2:103">
      <c r="B25" s="15">
        <f t="shared" si="25"/>
        <v>2031</v>
      </c>
      <c r="C25" s="9">
        <f t="shared" si="3"/>
        <v>0</v>
      </c>
      <c r="D25" s="45"/>
      <c r="E25" s="9">
        <f t="shared" ca="1" si="26"/>
        <v>45.707744440370774</v>
      </c>
      <c r="F25" s="37"/>
      <c r="G25" s="14">
        <f t="shared" ca="1" si="28"/>
        <v>45.707744440370774</v>
      </c>
      <c r="H25" s="36"/>
      <c r="I25" s="193"/>
      <c r="J25" s="193"/>
      <c r="M25" s="116"/>
      <c r="O25">
        <f t="shared" si="4"/>
        <v>2031</v>
      </c>
      <c r="P25">
        <v>0</v>
      </c>
      <c r="Q25">
        <v>0</v>
      </c>
      <c r="R25">
        <v>0</v>
      </c>
      <c r="S25" s="193">
        <v>0</v>
      </c>
      <c r="T25" s="193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136.72999999999999</v>
      </c>
      <c r="BG25">
        <f>VLOOKUP($O25,'Table 3 EV2020 Wind_2021'!$B$10:$K$36,10,FALSE)</f>
        <v>134.53</v>
      </c>
      <c r="BH25">
        <f>VLOOKUP($O25,'Table 3 DJ Wind 2030'!$B$10:$J$36,9,FALSE)</f>
        <v>152.68</v>
      </c>
      <c r="BI25">
        <f>VLOOKUP($O25,'Table 3 ID Wind 2030'!$B$10:$J$36,9,FALSE)</f>
        <v>153.63</v>
      </c>
      <c r="BJ25">
        <f>VLOOKUP($O25,'Table 3 ID Wind 2033'!$B$10:$J$36,9,FALSE)</f>
        <v>51.08</v>
      </c>
      <c r="BK25">
        <f>VLOOKUP($O25,'Table 3 WW Wind 2035'!$B$10:$J$36,9,FALSE)</f>
        <v>51.08</v>
      </c>
      <c r="BL25">
        <f>VLOOKUP($O25,'Table 3 YK Wind 2035'!$B$10:$J$36,9,FALSE)</f>
        <v>51.08</v>
      </c>
      <c r="BM25">
        <f>VLOOKUP($O25,'Table 3 OR Wind 2035'!$B$10:$J$36,9,FALSE)</f>
        <v>51.08</v>
      </c>
      <c r="BN25">
        <f>VLOOKUP($O25,'Table 3 UT Wind 2030'!$B$10:$J$36,9,FALSE)</f>
        <v>149.35</v>
      </c>
      <c r="BO25">
        <f>VLOOKUP($O25,'Table 3 UT Wind 2036'!$B$10:$J$36,9,FALSE)</f>
        <v>51.08</v>
      </c>
      <c r="BP25">
        <f>VLOOKUP($O25,'Table 3 YK Solar 2030'!$B$10:$J$36,9,FALSE)</f>
        <v>119.66</v>
      </c>
      <c r="BQ25">
        <f>VLOOKUP($O25,'Table 3 YK Solar 2032'!$B$10:$J$36,9,FALSE)</f>
        <v>25.49</v>
      </c>
      <c r="BR25">
        <f>VLOOKUP($O25,'Table 3 YK Solar 2033'!$B$10:$J$36,9,FALSE)</f>
        <v>25.49</v>
      </c>
      <c r="BS25">
        <f>VLOOKUP($O25,'Table 3 UT Solar 2033 ST'!$B$10:$J$36,9,FALSE)</f>
        <v>26.75</v>
      </c>
      <c r="BT25">
        <f>VLOOKUP($O25,'Table 3 UT Solar 2035 ST'!$B$10:$J$36,9,FALSE)</f>
        <v>26.75</v>
      </c>
      <c r="BU25">
        <f>VLOOKUP($O25,'Table 3 UT Solar 2035 FT'!$B$10:$J$36,9,FALSE)</f>
        <v>25.46</v>
      </c>
      <c r="BV25">
        <f>VLOOKUP($O25,'Table 3 OR Solar 2030'!$B$10:$J$36,9,FALSE)</f>
        <v>122.78</v>
      </c>
      <c r="BW25">
        <f>VLOOKUP($O25,'Table 3 OR Solar 2031'!$B$10:$J$36,9,FALSE)</f>
        <v>120.09</v>
      </c>
      <c r="BX25">
        <f>VLOOKUP($O25,'Table 3 OR Solar 2032'!$B$10:$J$36,9,FALSE)</f>
        <v>26.8</v>
      </c>
      <c r="BY25">
        <f>VLOOKUP($O25,'Table 3 OR Solar 2033'!$B$10:$J$36,9,FALSE)</f>
        <v>26.8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2031</v>
      </c>
      <c r="CX25" s="89">
        <f>IFERROR(VLOOKUP($CW25,'Table 3 TransCost D2 '!$B$10:$E$34,4,FALSE),0)</f>
        <v>60.68</v>
      </c>
      <c r="CY25" s="193">
        <f t="shared" si="27"/>
        <v>0</v>
      </c>
    </row>
    <row r="26" spans="2:103">
      <c r="B26" s="15">
        <f t="shared" si="25"/>
        <v>2032</v>
      </c>
      <c r="C26" s="9">
        <f t="shared" si="3"/>
        <v>0</v>
      </c>
      <c r="D26" s="45"/>
      <c r="E26" s="9">
        <f t="shared" ca="1" si="26"/>
        <v>47.916717495068205</v>
      </c>
      <c r="F26" s="37"/>
      <c r="G26" s="14">
        <f t="shared" ca="1" si="28"/>
        <v>47.916717495068205</v>
      </c>
      <c r="H26" s="36"/>
      <c r="I26" s="193"/>
      <c r="J26" s="193"/>
      <c r="M26" s="116"/>
      <c r="O26">
        <f t="shared" si="4"/>
        <v>2032</v>
      </c>
      <c r="P26">
        <v>0</v>
      </c>
      <c r="Q26">
        <v>0</v>
      </c>
      <c r="R26">
        <v>0</v>
      </c>
      <c r="S26" s="193">
        <v>0</v>
      </c>
      <c r="T26" s="193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139.9</v>
      </c>
      <c r="BG26">
        <f>VLOOKUP($O26,'Table 3 EV2020 Wind_2021'!$B$10:$K$36,10,FALSE)</f>
        <v>137.65</v>
      </c>
      <c r="BH26">
        <f>VLOOKUP($O26,'Table 3 DJ Wind 2030'!$B$10:$J$36,9,FALSE)</f>
        <v>156.18</v>
      </c>
      <c r="BI26">
        <f>VLOOKUP($O26,'Table 3 ID Wind 2030'!$B$10:$J$36,9,FALSE)</f>
        <v>157.16</v>
      </c>
      <c r="BJ26">
        <f>VLOOKUP($O26,'Table 3 ID Wind 2033'!$B$10:$J$36,9,FALSE)</f>
        <v>52.25</v>
      </c>
      <c r="BK26">
        <f>VLOOKUP($O26,'Table 3 WW Wind 2035'!$B$10:$J$36,9,FALSE)</f>
        <v>52.25</v>
      </c>
      <c r="BL26">
        <f>VLOOKUP($O26,'Table 3 YK Wind 2035'!$B$10:$J$36,9,FALSE)</f>
        <v>52.25</v>
      </c>
      <c r="BM26">
        <f>VLOOKUP($O26,'Table 3 OR Wind 2035'!$B$10:$J$36,9,FALSE)</f>
        <v>52.25</v>
      </c>
      <c r="BN26">
        <f>VLOOKUP($O26,'Table 3 UT Wind 2030'!$B$10:$J$36,9,FALSE)</f>
        <v>152.78</v>
      </c>
      <c r="BO26">
        <f>VLOOKUP($O26,'Table 3 UT Wind 2036'!$B$10:$J$36,9,FALSE)</f>
        <v>52.25</v>
      </c>
      <c r="BP26">
        <f>VLOOKUP($O26,'Table 3 YK Solar 2030'!$B$10:$J$36,9,FALSE)</f>
        <v>122.42</v>
      </c>
      <c r="BQ26">
        <f>VLOOKUP($O26,'Table 3 YK Solar 2032'!$B$10:$J$36,9,FALSE)</f>
        <v>117.09</v>
      </c>
      <c r="BR26">
        <f>VLOOKUP($O26,'Table 3 YK Solar 2033'!$B$10:$J$36,9,FALSE)</f>
        <v>26.08</v>
      </c>
      <c r="BS26">
        <f>VLOOKUP($O26,'Table 3 UT Solar 2033 ST'!$B$10:$J$36,9,FALSE)</f>
        <v>27.37</v>
      </c>
      <c r="BT26">
        <f>VLOOKUP($O26,'Table 3 UT Solar 2035 ST'!$B$10:$J$36,9,FALSE)</f>
        <v>27.37</v>
      </c>
      <c r="BU26">
        <f>VLOOKUP($O26,'Table 3 UT Solar 2035 FT'!$B$10:$J$36,9,FALSE)</f>
        <v>26.05</v>
      </c>
      <c r="BV26">
        <f>VLOOKUP($O26,'Table 3 OR Solar 2030'!$B$10:$J$36,9,FALSE)</f>
        <v>125.61</v>
      </c>
      <c r="BW26">
        <f>VLOOKUP($O26,'Table 3 OR Solar 2031'!$B$10:$J$36,9,FALSE)</f>
        <v>122.86</v>
      </c>
      <c r="BX26">
        <f>VLOOKUP($O26,'Table 3 OR Solar 2032'!$B$10:$J$36,9,FALSE)</f>
        <v>120.18</v>
      </c>
      <c r="BY26">
        <f>VLOOKUP($O26,'Table 3 OR Solar 2033'!$B$10:$J$36,9,FALSE)</f>
        <v>27.42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2032</v>
      </c>
      <c r="CX26" s="89">
        <f>IFERROR(VLOOKUP($CW26,'Table 3 TransCost D2 '!$B$10:$E$34,4,FALSE),0)</f>
        <v>62.080000000000005</v>
      </c>
      <c r="CY26" s="193">
        <f t="shared" si="27"/>
        <v>0</v>
      </c>
    </row>
    <row r="27" spans="2:103">
      <c r="B27" s="15">
        <f t="shared" si="25"/>
        <v>2033</v>
      </c>
      <c r="C27" s="9">
        <f t="shared" si="3"/>
        <v>0</v>
      </c>
      <c r="D27" s="45"/>
      <c r="E27" s="9">
        <f t="shared" ca="1" si="26"/>
        <v>53.466261066889942</v>
      </c>
      <c r="F27" s="37"/>
      <c r="G27" s="14">
        <f t="shared" ca="1" si="28"/>
        <v>53.466261066889942</v>
      </c>
      <c r="H27" s="36"/>
      <c r="I27" s="193"/>
      <c r="J27" s="193"/>
      <c r="M27" s="116"/>
      <c r="O27">
        <f t="shared" si="4"/>
        <v>2033</v>
      </c>
      <c r="P27">
        <v>0</v>
      </c>
      <c r="Q27">
        <v>0</v>
      </c>
      <c r="R27">
        <v>0</v>
      </c>
      <c r="S27" s="193">
        <v>0</v>
      </c>
      <c r="T27" s="193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142.96</v>
      </c>
      <c r="BG27">
        <f>VLOOKUP($O27,'Table 3 EV2020 Wind_2021'!$B$10:$K$36,10,FALSE)</f>
        <v>140.66</v>
      </c>
      <c r="BH27">
        <f>VLOOKUP($O27,'Table 3 DJ Wind 2030'!$B$10:$J$36,9,FALSE)</f>
        <v>159.61000000000001</v>
      </c>
      <c r="BI27">
        <f>VLOOKUP($O27,'Table 3 ID Wind 2030'!$B$10:$J$36,9,FALSE)</f>
        <v>160.62</v>
      </c>
      <c r="BJ27">
        <f>VLOOKUP($O27,'Table 3 ID Wind 2033'!$B$10:$J$36,9,FALSE)</f>
        <v>154.31</v>
      </c>
      <c r="BK27">
        <f>VLOOKUP($O27,'Table 3 WW Wind 2035'!$B$10:$J$36,9,FALSE)</f>
        <v>53.4</v>
      </c>
      <c r="BL27">
        <f>VLOOKUP($O27,'Table 3 YK Wind 2035'!$B$10:$J$36,9,FALSE)</f>
        <v>53.4</v>
      </c>
      <c r="BM27">
        <f>VLOOKUP($O27,'Table 3 OR Wind 2035'!$B$10:$J$36,9,FALSE)</f>
        <v>53.4</v>
      </c>
      <c r="BN27">
        <f>VLOOKUP($O27,'Table 3 UT Wind 2030'!$B$10:$J$36,9,FALSE)</f>
        <v>156.13999999999999</v>
      </c>
      <c r="BO27">
        <f>VLOOKUP($O27,'Table 3 UT Wind 2036'!$B$10:$J$36,9,FALSE)</f>
        <v>53.4</v>
      </c>
      <c r="BP27">
        <f>VLOOKUP($O27,'Table 3 YK Solar 2030'!$B$10:$J$36,9,FALSE)</f>
        <v>125.11</v>
      </c>
      <c r="BQ27">
        <f>VLOOKUP($O27,'Table 3 YK Solar 2032'!$B$10:$J$36,9,FALSE)</f>
        <v>119.66</v>
      </c>
      <c r="BR27">
        <f>VLOOKUP($O27,'Table 3 YK Solar 2033'!$B$10:$J$36,9,FALSE)</f>
        <v>117.14</v>
      </c>
      <c r="BS27">
        <f>VLOOKUP($O27,'Table 3 UT Solar 2033 ST'!$B$10:$J$36,9,FALSE)</f>
        <v>117.97</v>
      </c>
      <c r="BT27">
        <f>VLOOKUP($O27,'Table 3 UT Solar 2035 ST'!$B$10:$J$36,9,FALSE)</f>
        <v>27.97</v>
      </c>
      <c r="BU27">
        <f>VLOOKUP($O27,'Table 3 UT Solar 2035 FT'!$B$10:$J$36,9,FALSE)</f>
        <v>26.62</v>
      </c>
      <c r="BV27">
        <f>VLOOKUP($O27,'Table 3 OR Solar 2030'!$B$10:$J$36,9,FALSE)</f>
        <v>128.37</v>
      </c>
      <c r="BW27">
        <f>VLOOKUP($O27,'Table 3 OR Solar 2031'!$B$10:$J$36,9,FALSE)</f>
        <v>125.56</v>
      </c>
      <c r="BX27">
        <f>VLOOKUP($O27,'Table 3 OR Solar 2032'!$B$10:$J$36,9,FALSE)</f>
        <v>122.82</v>
      </c>
      <c r="BY27">
        <f>VLOOKUP($O27,'Table 3 OR Solar 2033'!$B$10:$J$36,9,FALSE)</f>
        <v>120.25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2033</v>
      </c>
      <c r="CX27" s="89">
        <f>IFERROR(VLOOKUP($CW27,'Table 3 TransCost D2 '!$B$10:$E$34,4,FALSE),0)</f>
        <v>63.45000000000001</v>
      </c>
      <c r="CY27" s="193">
        <f t="shared" si="27"/>
        <v>0</v>
      </c>
    </row>
    <row r="28" spans="2:103">
      <c r="B28" s="15">
        <f t="shared" si="25"/>
        <v>2034</v>
      </c>
      <c r="C28" s="9">
        <f t="shared" si="3"/>
        <v>0</v>
      </c>
      <c r="D28" s="45"/>
      <c r="E28" s="9">
        <f t="shared" ca="1" si="26"/>
        <v>56.081691960185168</v>
      </c>
      <c r="F28" s="37"/>
      <c r="G28" s="14">
        <f t="shared" ca="1" si="28"/>
        <v>56.081691960185168</v>
      </c>
      <c r="H28" s="36"/>
      <c r="I28" s="193"/>
      <c r="J28" s="193"/>
      <c r="M28" s="116"/>
      <c r="O28">
        <f t="shared" si="4"/>
        <v>2034</v>
      </c>
      <c r="P28">
        <v>0</v>
      </c>
      <c r="Q28">
        <v>0</v>
      </c>
      <c r="R28">
        <v>0</v>
      </c>
      <c r="S28" s="193">
        <v>0</v>
      </c>
      <c r="T28" s="193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146.13</v>
      </c>
      <c r="BG28">
        <f>VLOOKUP($O28,'Table 3 EV2020 Wind_2021'!$B$10:$K$36,10,FALSE)</f>
        <v>143.78</v>
      </c>
      <c r="BH28">
        <f>VLOOKUP($O28,'Table 3 DJ Wind 2030'!$B$10:$J$36,9,FALSE)</f>
        <v>163.12</v>
      </c>
      <c r="BI28">
        <f>VLOOKUP($O28,'Table 3 ID Wind 2030'!$B$10:$J$36,9,FALSE)</f>
        <v>164.15</v>
      </c>
      <c r="BJ28">
        <f>VLOOKUP($O28,'Table 3 ID Wind 2033'!$B$10:$J$36,9,FALSE)</f>
        <v>157.69999999999999</v>
      </c>
      <c r="BK28">
        <f>VLOOKUP($O28,'Table 3 WW Wind 2035'!$B$10:$J$36,9,FALSE)</f>
        <v>54.57</v>
      </c>
      <c r="BL28">
        <f>VLOOKUP($O28,'Table 3 YK Wind 2035'!$B$10:$J$36,9,FALSE)</f>
        <v>54.57</v>
      </c>
      <c r="BM28">
        <f>VLOOKUP($O28,'Table 3 OR Wind 2035'!$B$10:$J$36,9,FALSE)</f>
        <v>54.57</v>
      </c>
      <c r="BN28">
        <f>VLOOKUP($O28,'Table 3 UT Wind 2030'!$B$10:$J$36,9,FALSE)</f>
        <v>159.57</v>
      </c>
      <c r="BO28">
        <f>VLOOKUP($O28,'Table 3 UT Wind 2036'!$B$10:$J$36,9,FALSE)</f>
        <v>54.57</v>
      </c>
      <c r="BP28">
        <f>VLOOKUP($O28,'Table 3 YK Solar 2030'!$B$10:$J$36,9,FALSE)</f>
        <v>127.87</v>
      </c>
      <c r="BQ28">
        <f>VLOOKUP($O28,'Table 3 YK Solar 2032'!$B$10:$J$36,9,FALSE)</f>
        <v>122.3</v>
      </c>
      <c r="BR28">
        <f>VLOOKUP($O28,'Table 3 YK Solar 2033'!$B$10:$J$36,9,FALSE)</f>
        <v>119.72</v>
      </c>
      <c r="BS28">
        <f>VLOOKUP($O28,'Table 3 UT Solar 2033 ST'!$B$10:$J$36,9,FALSE)</f>
        <v>120.57</v>
      </c>
      <c r="BT28">
        <f>VLOOKUP($O28,'Table 3 UT Solar 2035 ST'!$B$10:$J$36,9,FALSE)</f>
        <v>28.59</v>
      </c>
      <c r="BU28">
        <f>VLOOKUP($O28,'Table 3 UT Solar 2035 FT'!$B$10:$J$36,9,FALSE)</f>
        <v>27.21</v>
      </c>
      <c r="BV28">
        <f>VLOOKUP($O28,'Table 3 OR Solar 2030'!$B$10:$J$36,9,FALSE)</f>
        <v>131.19999999999999</v>
      </c>
      <c r="BW28">
        <f>VLOOKUP($O28,'Table 3 OR Solar 2031'!$B$10:$J$36,9,FALSE)</f>
        <v>128.33000000000001</v>
      </c>
      <c r="BX28">
        <f>VLOOKUP($O28,'Table 3 OR Solar 2032'!$B$10:$J$36,9,FALSE)</f>
        <v>125.53</v>
      </c>
      <c r="BY28">
        <f>VLOOKUP($O28,'Table 3 OR Solar 2033'!$B$10:$J$36,9,FALSE)</f>
        <v>122.9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0</v>
      </c>
      <c r="CW28">
        <f t="shared" si="24"/>
        <v>2034</v>
      </c>
      <c r="CX28" s="89">
        <f>IFERROR(VLOOKUP($CW28,'Table 3 TransCost D2 '!$B$10:$E$34,4,FALSE),0)</f>
        <v>64.849999999999994</v>
      </c>
      <c r="CY28" s="193">
        <f t="shared" si="27"/>
        <v>0</v>
      </c>
    </row>
    <row r="29" spans="2:103">
      <c r="B29" s="15">
        <f t="shared" si="25"/>
        <v>2035</v>
      </c>
      <c r="C29" s="9">
        <f t="shared" si="3"/>
        <v>0</v>
      </c>
      <c r="D29" s="45"/>
      <c r="E29" s="9">
        <f t="shared" ca="1" si="26"/>
        <v>59.898845224870684</v>
      </c>
      <c r="F29" s="37"/>
      <c r="G29" s="14">
        <f t="shared" ca="1" si="28"/>
        <v>59.898845224870684</v>
      </c>
      <c r="H29" s="36"/>
      <c r="I29" s="193"/>
      <c r="J29" s="193"/>
      <c r="M29" s="116"/>
      <c r="O29">
        <f t="shared" si="4"/>
        <v>2035</v>
      </c>
      <c r="P29">
        <v>0</v>
      </c>
      <c r="Q29">
        <v>0</v>
      </c>
      <c r="R29">
        <v>0</v>
      </c>
      <c r="S29" s="193">
        <v>0</v>
      </c>
      <c r="T29" s="193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149.36000000000001</v>
      </c>
      <c r="BG29">
        <f>VLOOKUP($O29,'Table 3 EV2020 Wind_2021'!$B$10:$K$36,10,FALSE)</f>
        <v>146.96</v>
      </c>
      <c r="BH29">
        <f>VLOOKUP($O29,'Table 3 DJ Wind 2030'!$B$10:$J$36,9,FALSE)</f>
        <v>166.7</v>
      </c>
      <c r="BI29">
        <f>VLOOKUP($O29,'Table 3 ID Wind 2030'!$B$10:$J$36,9,FALSE)</f>
        <v>167.76</v>
      </c>
      <c r="BJ29">
        <f>VLOOKUP($O29,'Table 3 ID Wind 2033'!$B$10:$J$36,9,FALSE)</f>
        <v>161.16999999999999</v>
      </c>
      <c r="BK29">
        <f>VLOOKUP($O29,'Table 3 WW Wind 2035'!$B$10:$J$36,9,FALSE)</f>
        <v>156.49</v>
      </c>
      <c r="BL29">
        <f>VLOOKUP($O29,'Table 3 YK Wind 2035'!$B$10:$J$36,9,FALSE)</f>
        <v>156.49</v>
      </c>
      <c r="BM29">
        <f>VLOOKUP($O29,'Table 3 OR Wind 2035'!$B$10:$J$36,9,FALSE)</f>
        <v>155.05000000000001</v>
      </c>
      <c r="BN29">
        <f>VLOOKUP($O29,'Table 3 UT Wind 2030'!$B$10:$J$36,9,FALSE)</f>
        <v>163.08000000000001</v>
      </c>
      <c r="BO29">
        <f>VLOOKUP($O29,'Table 3 UT Wind 2036'!$B$10:$J$36,9,FALSE)</f>
        <v>55.77</v>
      </c>
      <c r="BP29">
        <f>VLOOKUP($O29,'Table 3 YK Solar 2030'!$B$10:$J$36,9,FALSE)</f>
        <v>130.68</v>
      </c>
      <c r="BQ29">
        <f>VLOOKUP($O29,'Table 3 YK Solar 2032'!$B$10:$J$36,9,FALSE)</f>
        <v>124.99</v>
      </c>
      <c r="BR29">
        <f>VLOOKUP($O29,'Table 3 YK Solar 2033'!$B$10:$J$36,9,FALSE)</f>
        <v>122.35</v>
      </c>
      <c r="BS29">
        <f>VLOOKUP($O29,'Table 3 UT Solar 2033 ST'!$B$10:$J$36,9,FALSE)</f>
        <v>123.22</v>
      </c>
      <c r="BT29">
        <f>VLOOKUP($O29,'Table 3 UT Solar 2035 ST'!$B$10:$J$36,9,FALSE)</f>
        <v>118.2</v>
      </c>
      <c r="BU29">
        <f>VLOOKUP($O29,'Table 3 UT Solar 2035 FT'!$B$10:$J$36,9,FALSE)</f>
        <v>114.97</v>
      </c>
      <c r="BV29">
        <f>VLOOKUP($O29,'Table 3 OR Solar 2030'!$B$10:$J$36,9,FALSE)</f>
        <v>134.09</v>
      </c>
      <c r="BW29">
        <f>VLOOKUP($O29,'Table 3 OR Solar 2031'!$B$10:$J$36,9,FALSE)</f>
        <v>131.15</v>
      </c>
      <c r="BX29">
        <f>VLOOKUP($O29,'Table 3 OR Solar 2032'!$B$10:$J$36,9,FALSE)</f>
        <v>128.29</v>
      </c>
      <c r="BY29">
        <f>VLOOKUP($O29,'Table 3 OR Solar 2033'!$B$10:$J$36,9,FALSE)</f>
        <v>125.6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0</v>
      </c>
      <c r="CW29">
        <f t="shared" si="24"/>
        <v>2035</v>
      </c>
      <c r="CX29" s="89">
        <f>IFERROR(VLOOKUP($CW29,'Table 3 TransCost D2 '!$B$10:$E$34,4,FALSE),0)</f>
        <v>66.28</v>
      </c>
      <c r="CY29" s="193">
        <f t="shared" si="27"/>
        <v>0</v>
      </c>
    </row>
    <row r="30" spans="2:103">
      <c r="B30" s="15">
        <f t="shared" si="25"/>
        <v>2036</v>
      </c>
      <c r="C30" s="9">
        <f t="shared" si="3"/>
        <v>0</v>
      </c>
      <c r="D30" s="45"/>
      <c r="E30" s="9">
        <f t="shared" ca="1" si="26"/>
        <v>61.907776267988261</v>
      </c>
      <c r="F30" s="37"/>
      <c r="G30" s="14">
        <f t="shared" ca="1" si="28"/>
        <v>61.907776267988261</v>
      </c>
      <c r="H30" s="36"/>
      <c r="I30" s="193"/>
      <c r="J30" s="193"/>
      <c r="M30" s="116"/>
      <c r="O30">
        <f t="shared" si="4"/>
        <v>2036</v>
      </c>
      <c r="P30">
        <v>0</v>
      </c>
      <c r="Q30">
        <v>0</v>
      </c>
      <c r="R30">
        <v>0</v>
      </c>
      <c r="S30" s="193">
        <v>0</v>
      </c>
      <c r="T30" s="193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152.66</v>
      </c>
      <c r="BG30">
        <f>VLOOKUP($O30,'Table 3 EV2020 Wind_2021'!$B$10:$K$36,10,FALSE)</f>
        <v>150.19999999999999</v>
      </c>
      <c r="BH30">
        <f>VLOOKUP($O30,'Table 3 DJ Wind 2030'!$B$10:$J$36,9,FALSE)</f>
        <v>170.36</v>
      </c>
      <c r="BI30">
        <f>VLOOKUP($O30,'Table 3 ID Wind 2030'!$B$10:$J$36,9,FALSE)</f>
        <v>171.45</v>
      </c>
      <c r="BJ30">
        <f>VLOOKUP($O30,'Table 3 ID Wind 2033'!$B$10:$J$36,9,FALSE)</f>
        <v>164.72</v>
      </c>
      <c r="BK30">
        <f>VLOOKUP($O30,'Table 3 WW Wind 2035'!$B$10:$J$36,9,FALSE)</f>
        <v>159.94</v>
      </c>
      <c r="BL30">
        <f>VLOOKUP($O30,'Table 3 YK Wind 2035'!$B$10:$J$36,9,FALSE)</f>
        <v>159.94</v>
      </c>
      <c r="BM30">
        <f>VLOOKUP($O30,'Table 3 OR Wind 2035'!$B$10:$J$36,9,FALSE)</f>
        <v>158.46</v>
      </c>
      <c r="BN30">
        <f>VLOOKUP($O30,'Table 3 UT Wind 2030'!$B$10:$J$36,9,FALSE)</f>
        <v>166.67</v>
      </c>
      <c r="BO30">
        <f>VLOOKUP($O30,'Table 3 UT Wind 2036'!$B$10:$J$36,9,FALSE)</f>
        <v>154.33000000000001</v>
      </c>
      <c r="BP30">
        <f>VLOOKUP($O30,'Table 3 YK Solar 2030'!$B$10:$J$36,9,FALSE)</f>
        <v>133.55000000000001</v>
      </c>
      <c r="BQ30">
        <f>VLOOKUP($O30,'Table 3 YK Solar 2032'!$B$10:$J$36,9,FALSE)</f>
        <v>127.74</v>
      </c>
      <c r="BR30">
        <f>VLOOKUP($O30,'Table 3 YK Solar 2033'!$B$10:$J$36,9,FALSE)</f>
        <v>125.04</v>
      </c>
      <c r="BS30">
        <f>VLOOKUP($O30,'Table 3 UT Solar 2033 ST'!$B$10:$J$36,9,FALSE)</f>
        <v>125.93</v>
      </c>
      <c r="BT30">
        <f>VLOOKUP($O30,'Table 3 UT Solar 2035 ST'!$B$10:$J$36,9,FALSE)</f>
        <v>120.8</v>
      </c>
      <c r="BU30">
        <f>VLOOKUP($O30,'Table 3 UT Solar 2035 FT'!$B$10:$J$36,9,FALSE)</f>
        <v>117.5</v>
      </c>
      <c r="BV30">
        <f>VLOOKUP($O30,'Table 3 OR Solar 2030'!$B$10:$J$36,9,FALSE)</f>
        <v>137.04</v>
      </c>
      <c r="BW30">
        <f>VLOOKUP($O30,'Table 3 OR Solar 2031'!$B$10:$J$36,9,FALSE)</f>
        <v>134.03</v>
      </c>
      <c r="BX30">
        <f>VLOOKUP($O30,'Table 3 OR Solar 2032'!$B$10:$J$36,9,FALSE)</f>
        <v>131.11000000000001</v>
      </c>
      <c r="BY30">
        <f>VLOOKUP($O30,'Table 3 OR Solar 2033'!$B$10:$J$36,9,FALSE)</f>
        <v>128.36000000000001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0</v>
      </c>
      <c r="CW30">
        <f t="shared" si="24"/>
        <v>2036</v>
      </c>
      <c r="CX30" s="89">
        <f>IFERROR(VLOOKUP($CW30,'Table 3 TransCost D2 '!$B$10:$E$34,4,FALSE),0)</f>
        <v>67.739999999999995</v>
      </c>
      <c r="CY30" s="193">
        <f t="shared" si="27"/>
        <v>0</v>
      </c>
    </row>
    <row r="31" spans="2:103">
      <c r="B31" s="15">
        <f t="shared" si="25"/>
        <v>2037</v>
      </c>
      <c r="C31" s="9">
        <f t="shared" si="3"/>
        <v>0</v>
      </c>
      <c r="D31" s="45"/>
      <c r="E31" s="9">
        <f t="shared" ca="1" si="26"/>
        <v>63.310483864607264</v>
      </c>
      <c r="F31" s="37"/>
      <c r="G31" s="14">
        <f t="shared" ca="1" si="28"/>
        <v>63.310483864607264</v>
      </c>
      <c r="H31" s="36"/>
      <c r="I31" s="193"/>
      <c r="J31" s="193"/>
      <c r="M31" s="116"/>
      <c r="O31">
        <f t="shared" si="4"/>
        <v>2037</v>
      </c>
      <c r="P31">
        <v>0</v>
      </c>
      <c r="Q31">
        <v>0</v>
      </c>
      <c r="R31">
        <v>0</v>
      </c>
      <c r="S31" s="193">
        <v>0</v>
      </c>
      <c r="T31" s="193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156.02000000000001</v>
      </c>
      <c r="BG31">
        <f>VLOOKUP($O31,'Table 3 EV2020 Wind_2021'!$B$10:$K$36,10,FALSE)</f>
        <v>153.51</v>
      </c>
      <c r="BH31">
        <f>VLOOKUP($O31,'Table 3 DJ Wind 2030'!$B$10:$J$36,9,FALSE)</f>
        <v>174.1</v>
      </c>
      <c r="BI31">
        <f>VLOOKUP($O31,'Table 3 ID Wind 2030'!$B$10:$J$36,9,FALSE)</f>
        <v>175.22</v>
      </c>
      <c r="BJ31">
        <f>VLOOKUP($O31,'Table 3 ID Wind 2033'!$B$10:$J$36,9,FALSE)</f>
        <v>168.34</v>
      </c>
      <c r="BK31">
        <f>VLOOKUP($O31,'Table 3 WW Wind 2035'!$B$10:$J$36,9,FALSE)</f>
        <v>163.44999999999999</v>
      </c>
      <c r="BL31">
        <f>VLOOKUP($O31,'Table 3 YK Wind 2035'!$B$10:$J$36,9,FALSE)</f>
        <v>163.44999999999999</v>
      </c>
      <c r="BM31">
        <f>VLOOKUP($O31,'Table 3 OR Wind 2035'!$B$10:$J$36,9,FALSE)</f>
        <v>161.94</v>
      </c>
      <c r="BN31">
        <f>VLOOKUP($O31,'Table 3 UT Wind 2030'!$B$10:$J$36,9,FALSE)</f>
        <v>170.33</v>
      </c>
      <c r="BO31">
        <f>VLOOKUP($O31,'Table 3 UT Wind 2036'!$B$10:$J$36,9,FALSE)</f>
        <v>157.72999999999999</v>
      </c>
      <c r="BP31">
        <f>VLOOKUP($O31,'Table 3 YK Solar 2030'!$B$10:$J$36,9,FALSE)</f>
        <v>136.49</v>
      </c>
      <c r="BQ31">
        <f>VLOOKUP($O31,'Table 3 YK Solar 2032'!$B$10:$J$36,9,FALSE)</f>
        <v>130.55000000000001</v>
      </c>
      <c r="BR31">
        <f>VLOOKUP($O31,'Table 3 YK Solar 2033'!$B$10:$J$36,9,FALSE)</f>
        <v>127.79</v>
      </c>
      <c r="BS31">
        <f>VLOOKUP($O31,'Table 3 UT Solar 2033 ST'!$B$10:$J$36,9,FALSE)</f>
        <v>128.69999999999999</v>
      </c>
      <c r="BT31">
        <f>VLOOKUP($O31,'Table 3 UT Solar 2035 ST'!$B$10:$J$36,9,FALSE)</f>
        <v>123.46</v>
      </c>
      <c r="BU31">
        <f>VLOOKUP($O31,'Table 3 UT Solar 2035 FT'!$B$10:$J$36,9,FALSE)</f>
        <v>120.09</v>
      </c>
      <c r="BV31">
        <f>VLOOKUP($O31,'Table 3 OR Solar 2030'!$B$10:$J$36,9,FALSE)</f>
        <v>140.06</v>
      </c>
      <c r="BW31">
        <f>VLOOKUP($O31,'Table 3 OR Solar 2031'!$B$10:$J$36,9,FALSE)</f>
        <v>136.97999999999999</v>
      </c>
      <c r="BX31">
        <f>VLOOKUP($O31,'Table 3 OR Solar 2032'!$B$10:$J$36,9,FALSE)</f>
        <v>134</v>
      </c>
      <c r="BY31">
        <f>VLOOKUP($O31,'Table 3 OR Solar 2033'!$B$10:$J$36,9,FALSE)</f>
        <v>131.19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0</v>
      </c>
      <c r="CW31">
        <f t="shared" si="24"/>
        <v>2037</v>
      </c>
      <c r="CX31" s="89">
        <f>IFERROR(VLOOKUP($CW31,'Table 3 TransCost D2 '!$B$10:$E$34,4,FALSE),0)</f>
        <v>69.23</v>
      </c>
      <c r="CY31" s="193">
        <f t="shared" si="27"/>
        <v>0</v>
      </c>
    </row>
    <row r="32" spans="2:103">
      <c r="B32" s="15">
        <f t="shared" si="25"/>
        <v>2038</v>
      </c>
      <c r="C32" s="9">
        <f t="shared" si="3"/>
        <v>0</v>
      </c>
      <c r="D32" s="45"/>
      <c r="E32" s="9">
        <f t="shared" ca="1" si="26"/>
        <v>64.703314509628626</v>
      </c>
      <c r="F32" s="37"/>
      <c r="G32" s="14">
        <f t="shared" ca="1" si="28"/>
        <v>64.703314509628626</v>
      </c>
      <c r="H32" s="36"/>
      <c r="I32" s="193"/>
      <c r="J32" s="193"/>
      <c r="M32" s="116"/>
      <c r="O32">
        <f t="shared" si="4"/>
        <v>2038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159.44999999999999</v>
      </c>
      <c r="BG32">
        <f>VLOOKUP($O32,'Table 3 EV2020 Wind_2021'!$B$10:$K$36,10,FALSE)</f>
        <v>156.88</v>
      </c>
      <c r="BH32">
        <f>VLOOKUP($O32,'Table 3 DJ Wind 2030'!$B$10:$J$36,9,FALSE)</f>
        <v>177.93</v>
      </c>
      <c r="BI32">
        <f>VLOOKUP($O32,'Table 3 ID Wind 2030'!$B$10:$J$36,9,FALSE)</f>
        <v>179.07</v>
      </c>
      <c r="BJ32">
        <f>VLOOKUP($O32,'Table 3 ID Wind 2033'!$B$10:$J$36,9,FALSE)</f>
        <v>172.04</v>
      </c>
      <c r="BK32">
        <f>VLOOKUP($O32,'Table 3 WW Wind 2035'!$B$10:$J$36,9,FALSE)</f>
        <v>167.04</v>
      </c>
      <c r="BL32">
        <f>VLOOKUP($O32,'Table 3 YK Wind 2035'!$B$10:$J$36,9,FALSE)</f>
        <v>167.04</v>
      </c>
      <c r="BM32">
        <f>VLOOKUP($O32,'Table 3 OR Wind 2035'!$B$10:$J$36,9,FALSE)</f>
        <v>165.5</v>
      </c>
      <c r="BN32">
        <f>VLOOKUP($O32,'Table 3 UT Wind 2030'!$B$10:$J$36,9,FALSE)</f>
        <v>174.08</v>
      </c>
      <c r="BO32">
        <f>VLOOKUP($O32,'Table 3 UT Wind 2036'!$B$10:$J$36,9,FALSE)</f>
        <v>161.19999999999999</v>
      </c>
      <c r="BP32">
        <f>VLOOKUP($O32,'Table 3 YK Solar 2030'!$B$10:$J$36,9,FALSE)</f>
        <v>139.49</v>
      </c>
      <c r="BQ32">
        <f>VLOOKUP($O32,'Table 3 YK Solar 2032'!$B$10:$J$36,9,FALSE)</f>
        <v>133.41999999999999</v>
      </c>
      <c r="BR32">
        <f>VLOOKUP($O32,'Table 3 YK Solar 2033'!$B$10:$J$36,9,FALSE)</f>
        <v>130.6</v>
      </c>
      <c r="BS32">
        <f>VLOOKUP($O32,'Table 3 UT Solar 2033 ST'!$B$10:$J$36,9,FALSE)</f>
        <v>131.53</v>
      </c>
      <c r="BT32">
        <f>VLOOKUP($O32,'Table 3 UT Solar 2035 ST'!$B$10:$J$36,9,FALSE)</f>
        <v>126.17</v>
      </c>
      <c r="BU32">
        <f>VLOOKUP($O32,'Table 3 UT Solar 2035 FT'!$B$10:$J$36,9,FALSE)</f>
        <v>122.73</v>
      </c>
      <c r="BV32">
        <f>VLOOKUP($O32,'Table 3 OR Solar 2030'!$B$10:$J$36,9,FALSE)</f>
        <v>143.13999999999999</v>
      </c>
      <c r="BW32">
        <f>VLOOKUP($O32,'Table 3 OR Solar 2031'!$B$10:$J$36,9,FALSE)</f>
        <v>139.99</v>
      </c>
      <c r="BX32">
        <f>VLOOKUP($O32,'Table 3 OR Solar 2032'!$B$10:$J$36,9,FALSE)</f>
        <v>136.94999999999999</v>
      </c>
      <c r="BY32">
        <f>VLOOKUP($O32,'Table 3 OR Solar 2033'!$B$10:$J$36,9,FALSE)</f>
        <v>134.07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7">
        <f t="shared" si="29"/>
        <v>0</v>
      </c>
      <c r="CW32">
        <f t="shared" si="24"/>
        <v>2038</v>
      </c>
      <c r="CX32" s="89">
        <f>IFERROR(VLOOKUP($CW32,'Table 3 TransCost D2 '!$B$10:$E$34,4,FALSE),0)</f>
        <v>70.75</v>
      </c>
      <c r="CY32" s="193">
        <f t="shared" si="27"/>
        <v>0</v>
      </c>
    </row>
    <row r="33" spans="1:103" hidden="1">
      <c r="B33" s="15">
        <f t="shared" si="25"/>
        <v>2039</v>
      </c>
      <c r="C33" s="9">
        <f t="shared" si="3"/>
        <v>0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0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3"/>
      <c r="J33" s="193"/>
      <c r="M33" s="116"/>
      <c r="O33">
        <f t="shared" ref="O33" si="31">B33</f>
        <v>2039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162.94999999999999</v>
      </c>
      <c r="BG33">
        <f>VLOOKUP($O33,'Table 3 EV2020 Wind_2021'!$B$10:$K$36,10,FALSE)</f>
        <v>160.32</v>
      </c>
      <c r="BH33">
        <f>VLOOKUP($O33,'Table 3 DJ Wind 2030'!$B$10:$J$36,9,FALSE)</f>
        <v>181.83</v>
      </c>
      <c r="BI33">
        <f>VLOOKUP($O33,'Table 3 ID Wind 2030'!$B$10:$J$36,9,FALSE)</f>
        <v>183.01</v>
      </c>
      <c r="BJ33">
        <f>VLOOKUP($O33,'Table 3 ID Wind 2033'!$B$10:$J$36,9,FALSE)</f>
        <v>175.83</v>
      </c>
      <c r="BK33">
        <f>VLOOKUP($O33,'Table 3 WW Wind 2035'!$B$10:$J$36,9,FALSE)</f>
        <v>170.72</v>
      </c>
      <c r="BL33">
        <f>VLOOKUP($O33,'Table 3 YK Wind 2035'!$B$10:$J$36,9,FALSE)</f>
        <v>170.72</v>
      </c>
      <c r="BM33">
        <f>VLOOKUP($O33,'Table 3 OR Wind 2035'!$B$10:$J$36,9,FALSE)</f>
        <v>169.14</v>
      </c>
      <c r="BN33">
        <f>VLOOKUP($O33,'Table 3 UT Wind 2030'!$B$10:$J$36,9,FALSE)</f>
        <v>177.91</v>
      </c>
      <c r="BO33">
        <f>VLOOKUP($O33,'Table 3 UT Wind 2036'!$B$10:$J$36,9,FALSE)</f>
        <v>164.75</v>
      </c>
      <c r="BP33">
        <f>VLOOKUP($O33,'Table 3 YK Solar 2030'!$B$10:$J$36,9,FALSE)</f>
        <v>142.55000000000001</v>
      </c>
      <c r="BQ33">
        <f>VLOOKUP($O33,'Table 3 YK Solar 2032'!$B$10:$J$36,9,FALSE)</f>
        <v>136.35</v>
      </c>
      <c r="BR33">
        <f>VLOOKUP($O33,'Table 3 YK Solar 2033'!$B$10:$J$36,9,FALSE)</f>
        <v>133.47</v>
      </c>
      <c r="BS33">
        <f>VLOOKUP($O33,'Table 3 UT Solar 2033 ST'!$B$10:$J$36,9,FALSE)</f>
        <v>134.43</v>
      </c>
      <c r="BT33">
        <f>VLOOKUP($O33,'Table 3 UT Solar 2035 ST'!$B$10:$J$36,9,FALSE)</f>
        <v>128.94999999999999</v>
      </c>
      <c r="BU33">
        <f>VLOOKUP($O33,'Table 3 UT Solar 2035 FT'!$B$10:$J$36,9,FALSE)</f>
        <v>125.43</v>
      </c>
      <c r="BV33">
        <f>VLOOKUP($O33,'Table 3 OR Solar 2030'!$B$10:$J$36,9,FALSE)</f>
        <v>146.29</v>
      </c>
      <c r="BW33">
        <f>VLOOKUP($O33,'Table 3 OR Solar 2031'!$B$10:$J$36,9,FALSE)</f>
        <v>143.07</v>
      </c>
      <c r="BX33">
        <f>VLOOKUP($O33,'Table 3 OR Solar 2032'!$B$10:$J$36,9,FALSE)</f>
        <v>139.97</v>
      </c>
      <c r="BY33">
        <f>VLOOKUP($O33,'Table 3 OR Solar 2033'!$B$10:$J$36,9,FALSE)</f>
        <v>137.02000000000001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7">
        <f t="shared" ref="CU33" si="32">SUM(CA33:CT33)</f>
        <v>0</v>
      </c>
      <c r="CW33">
        <f t="shared" si="24"/>
        <v>2039</v>
      </c>
      <c r="CX33" s="89">
        <f>IFERROR(VLOOKUP($CW33,'Table 3 TransCost D2 '!$B$10:$E$34,4,FALSE),0)</f>
        <v>72.31</v>
      </c>
      <c r="CY33" s="193">
        <f t="shared" si="27"/>
        <v>0</v>
      </c>
    </row>
    <row r="34" spans="1:103" hidden="1">
      <c r="B34" s="15">
        <f t="shared" si="25"/>
        <v>2040</v>
      </c>
      <c r="C34" s="9">
        <f t="shared" si="3"/>
        <v>0</v>
      </c>
      <c r="D34" s="45"/>
      <c r="E34" s="9" t="e">
        <f t="shared" ref="E34" ca="1" si="3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ref="G34" ca="1" si="34">SUMIF(INDIRECT("'Table 5'!$J$"&amp;$K$3&amp;":$J$"&amp;$K$4),B34,INDIRECT("'Table 5'!$e$"&amp;$K$3&amp;":$e$"&amp;$K$4))/SUMIF(INDIRECT("'Table 5'!$J$"&amp;$K$3&amp;":$J$"&amp;$K$4),B34,INDIRECT("'Table 5'!$f$"&amp;$K$3&amp;":$f$"&amp;$K$4))</f>
        <v>#DIV/0!</v>
      </c>
      <c r="H34" s="36"/>
      <c r="I34" s="193"/>
      <c r="J34" s="193"/>
      <c r="M34" s="116"/>
      <c r="O34">
        <f t="shared" ref="O34" si="35">B34</f>
        <v>2040</v>
      </c>
      <c r="P34">
        <v>0</v>
      </c>
      <c r="Q34">
        <v>0</v>
      </c>
      <c r="R34">
        <v>0</v>
      </c>
      <c r="S34" s="193">
        <v>0</v>
      </c>
      <c r="T34" s="193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K34">
        <f t="shared" ref="AK34" si="36">P34/P$5</f>
        <v>0</v>
      </c>
      <c r="AL34">
        <f t="shared" ref="AL34" si="37">Q34/Q$5</f>
        <v>0</v>
      </c>
      <c r="AM34">
        <f t="shared" ref="AM34" si="38">R34/R$5</f>
        <v>0</v>
      </c>
      <c r="AN34">
        <f t="shared" ref="AN34" si="39">S34/S$5</f>
        <v>0</v>
      </c>
      <c r="AO34">
        <f t="shared" ref="AO34" si="40">T34/T$5</f>
        <v>0</v>
      </c>
      <c r="AP34">
        <f t="shared" ref="AP34" si="41">U34/U$5</f>
        <v>0</v>
      </c>
      <c r="AQ34">
        <f t="shared" ref="AQ34" si="42">V34/V$5</f>
        <v>0</v>
      </c>
      <c r="AR34">
        <f t="shared" ref="AR34" si="43">W34/W$5</f>
        <v>0</v>
      </c>
      <c r="AS34">
        <f t="shared" ref="AS34" si="44">X34/X$5</f>
        <v>0</v>
      </c>
      <c r="AT34">
        <f t="shared" ref="AT34" si="45">Y34/Y$5</f>
        <v>0</v>
      </c>
      <c r="AU34">
        <f t="shared" ref="AU34" si="46">Z34/Z$5</f>
        <v>0</v>
      </c>
      <c r="AV34">
        <f t="shared" ref="AV34" si="47">AA34/AA$5</f>
        <v>0</v>
      </c>
      <c r="AW34">
        <f t="shared" ref="AW34" si="48">AB34/AB$5</f>
        <v>0</v>
      </c>
      <c r="AX34">
        <f t="shared" ref="AX34" si="49">AC34/AC$5</f>
        <v>0</v>
      </c>
      <c r="AY34">
        <f t="shared" ref="AY34" si="50">AD34/AD$5</f>
        <v>0</v>
      </c>
      <c r="AZ34">
        <f t="shared" ref="AZ34" si="51">AE34/AE$5</f>
        <v>0</v>
      </c>
      <c r="BA34">
        <f t="shared" ref="BA34" si="52">AF34/AF$5</f>
        <v>0</v>
      </c>
      <c r="BB34">
        <f t="shared" ref="BB34" si="53">AG34/AG$5</f>
        <v>0</v>
      </c>
      <c r="BC34">
        <f t="shared" ref="BC34" si="54">AH34/AH$5</f>
        <v>0</v>
      </c>
      <c r="BD34">
        <f t="shared" ref="BD34" si="55">AI34/AI$5</f>
        <v>0</v>
      </c>
      <c r="BF34">
        <f>VLOOKUP($O34,'Table 3 EV2020 Wind_2020'!$B$10:$K$36,10,FALSE)</f>
        <v>166.52</v>
      </c>
      <c r="BG34">
        <f>VLOOKUP($O34,'Table 3 EV2020 Wind_2021'!$B$10:$K$36,10,FALSE)</f>
        <v>163.83000000000001</v>
      </c>
      <c r="BH34">
        <f>VLOOKUP($O34,'Table 3 DJ Wind 2030'!$B$10:$J$36,9,FALSE)</f>
        <v>185.82</v>
      </c>
      <c r="BI34">
        <f>VLOOKUP($O34,'Table 3 ID Wind 2030'!$B$10:$J$36,9,FALSE)</f>
        <v>187.04</v>
      </c>
      <c r="BJ34">
        <f>VLOOKUP($O34,'Table 3 ID Wind 2033'!$B$10:$J$36,9,FALSE)</f>
        <v>179.7</v>
      </c>
      <c r="BK34">
        <f>VLOOKUP($O34,'Table 3 WW Wind 2035'!$B$10:$J$36,9,FALSE)</f>
        <v>174.48</v>
      </c>
      <c r="BL34">
        <f>VLOOKUP($O34,'Table 3 YK Wind 2035'!$B$10:$J$36,9,FALSE)</f>
        <v>174.48</v>
      </c>
      <c r="BM34">
        <f>VLOOKUP($O34,'Table 3 OR Wind 2035'!$B$10:$J$36,9,FALSE)</f>
        <v>172.86</v>
      </c>
      <c r="BN34">
        <f>VLOOKUP($O34,'Table 3 UT Wind 2030'!$B$10:$J$36,9,FALSE)</f>
        <v>181.83</v>
      </c>
      <c r="BO34">
        <f>VLOOKUP($O34,'Table 3 UT Wind 2036'!$B$10:$J$36,9,FALSE)</f>
        <v>168.38</v>
      </c>
      <c r="BP34">
        <f>VLOOKUP($O34,'Table 3 YK Solar 2030'!$B$10:$J$36,9,FALSE)</f>
        <v>145.69</v>
      </c>
      <c r="BQ34">
        <f>VLOOKUP($O34,'Table 3 YK Solar 2032'!$B$10:$J$36,9,FALSE)</f>
        <v>139.35</v>
      </c>
      <c r="BR34">
        <f>VLOOKUP($O34,'Table 3 YK Solar 2033'!$B$10:$J$36,9,FALSE)</f>
        <v>136.41</v>
      </c>
      <c r="BS34">
        <f>VLOOKUP($O34,'Table 3 UT Solar 2033 ST'!$B$10:$J$36,9,FALSE)</f>
        <v>137.38999999999999</v>
      </c>
      <c r="BT34">
        <f>VLOOKUP($O34,'Table 3 UT Solar 2035 ST'!$B$10:$J$36,9,FALSE)</f>
        <v>131.79</v>
      </c>
      <c r="BU34">
        <f>VLOOKUP($O34,'Table 3 UT Solar 2035 FT'!$B$10:$J$36,9,FALSE)</f>
        <v>128.19</v>
      </c>
      <c r="BV34">
        <f>VLOOKUP($O34,'Table 3 OR Solar 2030'!$B$10:$J$36,9,FALSE)</f>
        <v>149.51</v>
      </c>
      <c r="BW34">
        <f>VLOOKUP($O34,'Table 3 OR Solar 2031'!$B$10:$J$36,9,FALSE)</f>
        <v>146.22</v>
      </c>
      <c r="BX34">
        <f>VLOOKUP($O34,'Table 3 OR Solar 2032'!$B$10:$J$36,9,FALSE)</f>
        <v>143.05000000000001</v>
      </c>
      <c r="BY34">
        <f>VLOOKUP($O34,'Table 3 OR Solar 2033'!$B$10:$J$36,9,FALSE)</f>
        <v>140.03</v>
      </c>
      <c r="CA34">
        <f>SUM(AK$13:AK34)*BF34/1000</f>
        <v>0</v>
      </c>
      <c r="CB34">
        <f>SUM(AL$13:AL34)*BG34/1000</f>
        <v>0</v>
      </c>
      <c r="CC34">
        <f>SUM(AM$13:AM34)*BH34/1000</f>
        <v>0</v>
      </c>
      <c r="CD34">
        <f>SUM(AN$13:AN34)*BI34/1000</f>
        <v>0</v>
      </c>
      <c r="CF34">
        <f>SUM(AP$13:AP34)*BK34/1000</f>
        <v>0</v>
      </c>
      <c r="CG34">
        <f>SUM(AQ$13:AQ34)*BL34/1000</f>
        <v>0</v>
      </c>
      <c r="CH34">
        <f>SUM(AR$13:AR34)*BM34/1000</f>
        <v>0</v>
      </c>
      <c r="CI34">
        <f>SUM(AS$13:AS34)*BN34/1000</f>
        <v>0</v>
      </c>
      <c r="CJ34">
        <f>SUM(AT$13:AT34)*BO34/1000</f>
        <v>0</v>
      </c>
      <c r="CK34">
        <f>SUM(AU$13:AU34)*BP34/1000</f>
        <v>0</v>
      </c>
      <c r="CL34">
        <f>SUM(AV$13:AV34)*BQ34/1000</f>
        <v>0</v>
      </c>
      <c r="CM34">
        <f>SUM(AW$13:AW34)*BR34/1000</f>
        <v>0</v>
      </c>
      <c r="CN34">
        <f>SUM(AX$13:AX34)*BS34/1000</f>
        <v>0</v>
      </c>
      <c r="CO34">
        <f>SUM(AY$13:AY34)*BT34/1000</f>
        <v>0</v>
      </c>
      <c r="CP34">
        <f>SUM(AZ$13:AZ34)*BU34/1000</f>
        <v>0</v>
      </c>
      <c r="CQ34">
        <f>SUM(BA$13:BA34)*BV34/1000</f>
        <v>0</v>
      </c>
      <c r="CR34">
        <f>SUM(BB$13:BB34)*BW34/1000</f>
        <v>0</v>
      </c>
      <c r="CS34">
        <f>SUM(BC$13:BC34)*BX34/1000</f>
        <v>0</v>
      </c>
      <c r="CT34">
        <f>SUM(BD$13:BD34)*BY34/1000</f>
        <v>0</v>
      </c>
      <c r="CU34" s="187">
        <f t="shared" ref="CU34" si="56">SUM(CA34:CT34)</f>
        <v>0</v>
      </c>
      <c r="CW34">
        <f t="shared" ref="CW34" si="57">O34</f>
        <v>2040</v>
      </c>
      <c r="CX34" s="89">
        <f>IFERROR(VLOOKUP($CW34,'Table 3 TransCost D2 '!$B$10:$E$34,4,FALSE),0)</f>
        <v>73.900000000000006</v>
      </c>
      <c r="CY34" s="193">
        <f t="shared" ref="CY34" si="58">$CX$5*CX34/1000</f>
        <v>0</v>
      </c>
    </row>
    <row r="35" spans="1:103">
      <c r="B35" s="181"/>
      <c r="C35" s="9"/>
      <c r="D35" s="45"/>
      <c r="E35" s="9"/>
      <c r="F35" s="37"/>
      <c r="G35" s="9"/>
      <c r="H35" s="36"/>
      <c r="I35" s="49"/>
      <c r="M35" s="116"/>
    </row>
    <row r="36" spans="1:103" ht="12" customHeight="1">
      <c r="B36" s="181"/>
      <c r="C36" s="9"/>
      <c r="D36" s="45"/>
      <c r="E36" s="9"/>
      <c r="F36" s="37"/>
      <c r="G36" s="9"/>
      <c r="H36" s="36"/>
      <c r="I36" s="49"/>
      <c r="M36" s="116"/>
      <c r="N36" t="s">
        <v>141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3">
      <c r="A37" s="335" t="str">
        <f>'Table 5'!A8</f>
        <v>15 Year Starting 2019</v>
      </c>
      <c r="B37" s="335"/>
      <c r="D37" s="9"/>
      <c r="F37" s="37"/>
      <c r="H37" s="36"/>
      <c r="I37"/>
      <c r="N37" t="s">
        <v>189</v>
      </c>
      <c r="S37" s="241">
        <v>0</v>
      </c>
      <c r="T37" s="241">
        <v>0</v>
      </c>
      <c r="X37" s="241">
        <v>0</v>
      </c>
      <c r="Y37" s="241">
        <v>0</v>
      </c>
      <c r="Z37" s="241">
        <v>0</v>
      </c>
      <c r="AA37" s="241">
        <v>0</v>
      </c>
      <c r="AB37" s="241">
        <v>0</v>
      </c>
      <c r="AC37" s="241">
        <v>0</v>
      </c>
      <c r="AD37" s="241">
        <v>0</v>
      </c>
      <c r="AE37" s="241">
        <v>0</v>
      </c>
      <c r="AF37" s="241">
        <v>0</v>
      </c>
      <c r="AG37" s="241">
        <v>0</v>
      </c>
      <c r="AH37" s="241">
        <v>0</v>
      </c>
      <c r="AI37" s="241">
        <v>0</v>
      </c>
    </row>
    <row r="38" spans="1:103">
      <c r="A38" s="214"/>
      <c r="B38" s="55" t="str">
        <f>"15 year Levelized Prices (Nominal) @ "&amp;TEXT($I$39,"0.00%")&amp;" Discount Rate (1) (3) "</f>
        <v xml:space="preserve">15 year Levelized Prices (Nominal) @ 6.91% Discount Rate (1) (3) </v>
      </c>
      <c r="E38" s="5"/>
      <c r="I38" s="49" t="s">
        <v>157</v>
      </c>
      <c r="P38" s="183"/>
      <c r="Q38" s="183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</row>
    <row r="39" spans="1:103">
      <c r="B39" s="47" t="s">
        <v>8</v>
      </c>
      <c r="C39" s="9">
        <f ca="1">'Table 5'!$D$8*(Study_CF*8.76)/'Table 5'!$F$8</f>
        <v>0</v>
      </c>
      <c r="D39" s="9"/>
      <c r="H39" s="36"/>
      <c r="I39" s="109">
        <v>6.9099999999999995E-2</v>
      </c>
    </row>
    <row r="40" spans="1:103">
      <c r="B40" s="48" t="s">
        <v>32</v>
      </c>
      <c r="E40" s="9">
        <f ca="1">'Table 5'!$C$8/'Table 5'!$F$8</f>
        <v>27.562787764839197</v>
      </c>
      <c r="G40" s="216">
        <f ca="1">'Table 5'!$G$8</f>
        <v>27.562787764839197</v>
      </c>
      <c r="H40" s="36"/>
    </row>
    <row r="41" spans="1:103">
      <c r="A41" s="336" t="str">
        <f>'Table 5'!A9</f>
        <v>15 Year Starting 2020</v>
      </c>
      <c r="B41" s="336"/>
      <c r="E41" s="9"/>
      <c r="G41" s="108"/>
      <c r="H41" s="36"/>
    </row>
    <row r="42" spans="1:103" ht="13.5" customHeight="1">
      <c r="B42" s="55" t="str">
        <f>"15 year Levelized Prices (Nominal) @ "&amp;TEXT($I$39,"0.00%")&amp;" Discount Rate (1) (3) "</f>
        <v xml:space="preserve">15 year Levelized Prices (Nominal) @ 6.91% Discount Rate (1) (3) </v>
      </c>
      <c r="E42" s="5"/>
      <c r="H42" s="36"/>
    </row>
    <row r="43" spans="1:103">
      <c r="B43" s="47" t="s">
        <v>8</v>
      </c>
      <c r="C43" s="9">
        <f ca="1">'Table 5'!$D$9*(Study_CF*8.76)/'Table 5'!$F$9</f>
        <v>0</v>
      </c>
      <c r="D43" s="9"/>
      <c r="H43" s="36"/>
    </row>
    <row r="44" spans="1:103">
      <c r="B44" s="48" t="s">
        <v>32</v>
      </c>
      <c r="E44" s="9">
        <f ca="1">'Table 5'!$C$9/'Table 5'!$F$9</f>
        <v>29.34754522733191</v>
      </c>
      <c r="G44" s="216">
        <f ca="1">'Table 5'!$G$9</f>
        <v>29.34754522733191</v>
      </c>
      <c r="H44" s="36"/>
    </row>
    <row r="45" spans="1:103" hidden="1">
      <c r="A45" s="336" t="str">
        <f>'Table 5'!A10</f>
        <v>15 Year Starting 2021</v>
      </c>
      <c r="B45" s="336"/>
      <c r="E45" s="9"/>
      <c r="G45" s="108"/>
      <c r="H45" s="36"/>
      <c r="I45" s="249"/>
    </row>
    <row r="46" spans="1:103" ht="21" hidden="1" customHeight="1">
      <c r="B46" s="55" t="str">
        <f>"15 year Levelized Prices (Nominal) @ "&amp;TEXT($I$39,"0.00%")&amp;" Discount Rate (1) (3) "</f>
        <v xml:space="preserve">15 year Levelized Prices (Nominal) @ 6.91% Discount Rate (1) (3) </v>
      </c>
      <c r="E46" s="5"/>
      <c r="H46" s="36"/>
    </row>
    <row r="47" spans="1:103" hidden="1">
      <c r="B47" s="47" t="s">
        <v>8</v>
      </c>
      <c r="C47" s="9">
        <f ca="1">'Table 5'!$D$10*(Study_CF*8.76)/'Table 5'!$F$10</f>
        <v>0</v>
      </c>
      <c r="D47" s="9"/>
      <c r="H47" s="36"/>
      <c r="I47"/>
      <c r="M47" s="116"/>
    </row>
    <row r="48" spans="1:103" hidden="1">
      <c r="B48" s="48" t="s">
        <v>32</v>
      </c>
      <c r="E48" s="9">
        <f ca="1">'Table 5'!$C$10/'Table 5'!$F$10</f>
        <v>31.776105396568404</v>
      </c>
      <c r="G48" s="216">
        <f ca="1">'Table 5'!$G$10</f>
        <v>31.776105396568404</v>
      </c>
      <c r="H48" s="36"/>
      <c r="I48"/>
    </row>
    <row r="49" spans="1:18">
      <c r="H49" s="36"/>
      <c r="I49" s="249"/>
      <c r="R49" s="193"/>
    </row>
    <row r="50" spans="1:18" ht="21" customHeight="1">
      <c r="B50" s="54" t="s">
        <v>16</v>
      </c>
      <c r="H50" s="36"/>
    </row>
    <row r="51" spans="1:18">
      <c r="B51" s="333" t="str">
        <f>"(1)   "&amp;$I$38</f>
        <v>(1)   Discount Rate - 2017 IRP Update</v>
      </c>
      <c r="H51" s="36"/>
      <c r="I51"/>
      <c r="M51" s="116"/>
    </row>
    <row r="52" spans="1:18">
      <c r="B52" s="333" t="str">
        <f>"(2)   Total Avoided Costs with Capacity, based on stated CF"</f>
        <v>(2)   Total Avoided Costs with Capacity, based on stated CF</v>
      </c>
      <c r="H52" s="36"/>
      <c r="I52"/>
    </row>
    <row r="53" spans="1:18">
      <c r="B53" s="54" t="str">
        <f>"(3)   15-Years: levelized monthly"</f>
        <v>(3)   15-Years: levelized monthly</v>
      </c>
      <c r="H53" s="36"/>
      <c r="I53"/>
      <c r="R53" s="193"/>
    </row>
    <row r="54" spans="1:18">
      <c r="B54" s="55"/>
      <c r="E54" s="5"/>
      <c r="H54" s="36"/>
    </row>
    <row r="55" spans="1:18">
      <c r="B55" s="47"/>
      <c r="C55" s="9"/>
      <c r="D55" s="9"/>
      <c r="H55" s="36"/>
    </row>
    <row r="56" spans="1:18">
      <c r="B56" s="48"/>
      <c r="E56" s="9"/>
      <c r="G56" s="108"/>
      <c r="H56" s="36"/>
    </row>
    <row r="57" spans="1:18">
      <c r="B57" s="47"/>
      <c r="C57" s="9"/>
      <c r="D57" s="9"/>
      <c r="H57" s="36"/>
    </row>
    <row r="58" spans="1:18">
      <c r="B58" s="55"/>
      <c r="E58" s="5"/>
      <c r="H58" s="36"/>
    </row>
    <row r="59" spans="1:18">
      <c r="B59" s="47"/>
      <c r="C59" s="9"/>
      <c r="D59" s="9"/>
      <c r="H59" s="36"/>
    </row>
    <row r="60" spans="1:18">
      <c r="A60" s="336"/>
      <c r="B60" s="336"/>
      <c r="E60" s="9"/>
      <c r="G60" s="108"/>
      <c r="H60" s="36"/>
    </row>
    <row r="61" spans="1:18">
      <c r="B61" s="55"/>
      <c r="E61" s="5"/>
      <c r="H61" s="36"/>
    </row>
    <row r="62" spans="1:18">
      <c r="B62" s="47"/>
      <c r="C62" s="9"/>
      <c r="D62" s="9"/>
      <c r="H62" s="36"/>
    </row>
    <row r="63" spans="1:18">
      <c r="B63" s="48"/>
      <c r="E63" s="9"/>
      <c r="G63" s="216"/>
      <c r="H63" s="36"/>
    </row>
    <row r="64" spans="1:18">
      <c r="E64" s="38"/>
      <c r="G64" s="38"/>
      <c r="H64" s="36"/>
      <c r="I64" s="108"/>
    </row>
    <row r="65" spans="1:13">
      <c r="B65" s="50"/>
      <c r="E65" s="36"/>
      <c r="F65" s="38"/>
      <c r="G65" s="36"/>
      <c r="H65" s="36"/>
      <c r="I65" s="108"/>
    </row>
    <row r="66" spans="1:13">
      <c r="F66" s="38"/>
      <c r="H66" s="36"/>
      <c r="I66" s="108"/>
    </row>
    <row r="67" spans="1:13">
      <c r="G67" s="5"/>
    </row>
    <row r="68" spans="1:13">
      <c r="B68" s="3" t="str">
        <f>IF(Study_Cap_Adj&gt;0,"(4)  The capacity payment is derived from:","")</f>
        <v/>
      </c>
    </row>
    <row r="69" spans="1:13">
      <c r="B69" s="94" t="str">
        <f>IF(AND(Study_Cap_Adj&gt;0,_30_Geo_West&lt;&gt;0),"       2028 - "&amp;#REF!&amp;"   ("&amp;TEXT(_30_Geo_West," 0.0%")&amp;")","")</f>
        <v/>
      </c>
    </row>
    <row r="70" spans="1:13" ht="12.75" customHeight="1">
      <c r="B70" s="94"/>
    </row>
    <row r="71" spans="1:13" ht="12.75" customHeight="1">
      <c r="A71" s="3" t="b">
        <f>SUM(P13:AI28)&gt;0</f>
        <v>0</v>
      </c>
      <c r="B71" s="94"/>
    </row>
    <row r="72" spans="1:13">
      <c r="A72" s="3" t="b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0</v>
      </c>
      <c r="B72" s="10"/>
      <c r="C72" s="7"/>
      <c r="D72" s="7"/>
      <c r="E72" s="7"/>
      <c r="G72" s="7"/>
    </row>
    <row r="73" spans="1:13">
      <c r="A73" t="e">
        <f>INDEX($O$13:$AI$33,IF(SUM($P$13:$AI$33)&gt;0,SUM($P$13:$AI$33),FALSE)-1,1)</f>
        <v>#VALUE!</v>
      </c>
      <c r="I73"/>
    </row>
    <row r="74" spans="1:13" s="53" customFormat="1">
      <c r="A74" s="54"/>
      <c r="B74" s="10"/>
      <c r="C74" s="54"/>
      <c r="D74" s="54"/>
      <c r="E74" s="54"/>
      <c r="F74" s="54"/>
      <c r="G74" s="54"/>
      <c r="I74"/>
      <c r="J74"/>
      <c r="K74"/>
      <c r="L74"/>
      <c r="M74"/>
    </row>
    <row r="75" spans="1:13" s="53" customFormat="1">
      <c r="A75" s="54"/>
      <c r="B75" s="10"/>
      <c r="C75" s="54"/>
      <c r="D75" s="54"/>
      <c r="E75" s="54"/>
      <c r="F75" s="54"/>
      <c r="G75" s="54"/>
      <c r="I75" s="10"/>
      <c r="J75"/>
      <c r="K75"/>
    </row>
    <row r="76" spans="1:13">
      <c r="A76"/>
      <c r="B76" s="51"/>
      <c r="I76" s="53"/>
      <c r="L76" s="53"/>
      <c r="M76" s="53"/>
    </row>
    <row r="77" spans="1:13">
      <c r="A77"/>
      <c r="F77" s="7"/>
    </row>
    <row r="80" spans="1:13">
      <c r="A80"/>
      <c r="J80" s="53"/>
      <c r="K80" s="53"/>
    </row>
    <row r="81" spans="1:11">
      <c r="A81"/>
      <c r="J81" s="53"/>
      <c r="K81" s="53"/>
    </row>
  </sheetData>
  <mergeCells count="4">
    <mergeCell ref="A37:B37"/>
    <mergeCell ref="A60:B60"/>
    <mergeCell ref="A41:B41"/>
    <mergeCell ref="A45:B45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27%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Utah Solar Resource-2035 - 27%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18.718009285501743</v>
      </c>
      <c r="F11" s="133">
        <f t="shared" ref="F11:F36" si="1">(D11+E11)/(8.76*$C$63)</f>
        <v>7.9729815330461324</v>
      </c>
      <c r="G11" s="133">
        <f>$C$58</f>
        <v>0</v>
      </c>
      <c r="H11" s="142">
        <f>$C$59</f>
        <v>0</v>
      </c>
      <c r="I11" s="134">
        <f t="shared" ref="I11:I36" si="2">F11+H11+G11</f>
        <v>7.9729815330461324</v>
      </c>
      <c r="J11" s="134">
        <f t="shared" ref="J11:J36" si="3">ROUND(I11*$C$63*8.76,2)</f>
        <v>18.72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19.149999999999999</v>
      </c>
      <c r="F12" s="134">
        <f t="shared" si="1"/>
        <v>8.1569890274654124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8.1569890274654124</v>
      </c>
      <c r="J12" s="134">
        <f t="shared" si="3"/>
        <v>19.149999999999999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19.510000000000002</v>
      </c>
      <c r="F13" s="134">
        <f t="shared" si="1"/>
        <v>8.3103319021331696</v>
      </c>
      <c r="G13" s="132">
        <f t="shared" si="5"/>
        <v>0</v>
      </c>
      <c r="H13" s="132">
        <f t="shared" si="5"/>
        <v>0</v>
      </c>
      <c r="I13" s="134">
        <f t="shared" si="2"/>
        <v>8.3103319021331696</v>
      </c>
      <c r="J13" s="134">
        <f t="shared" si="3"/>
        <v>19.510000000000002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19.940000000000001</v>
      </c>
      <c r="F14" s="134">
        <f t="shared" si="1"/>
        <v>8.493491446875213</v>
      </c>
      <c r="G14" s="132">
        <f t="shared" si="5"/>
        <v>0</v>
      </c>
      <c r="H14" s="132">
        <f t="shared" si="5"/>
        <v>0</v>
      </c>
      <c r="I14" s="134">
        <f t="shared" si="2"/>
        <v>8.493491446875213</v>
      </c>
      <c r="J14" s="134">
        <f t="shared" si="3"/>
        <v>19.940000000000001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20.38</v>
      </c>
      <c r="F15" s="134">
        <f t="shared" si="1"/>
        <v>8.6809105159135829</v>
      </c>
      <c r="G15" s="132">
        <f t="shared" si="5"/>
        <v>0</v>
      </c>
      <c r="H15" s="132">
        <f t="shared" si="5"/>
        <v>0</v>
      </c>
      <c r="I15" s="134">
        <f t="shared" si="2"/>
        <v>8.6809105159135829</v>
      </c>
      <c r="J15" s="134">
        <f t="shared" si="3"/>
        <v>20.38</v>
      </c>
      <c r="K15" s="132">
        <f t="shared" si="6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20.85</v>
      </c>
      <c r="F16" s="134">
        <f t="shared" si="1"/>
        <v>8.8811081578409325</v>
      </c>
      <c r="G16" s="132">
        <f t="shared" si="5"/>
        <v>0</v>
      </c>
      <c r="H16" s="132">
        <f t="shared" si="5"/>
        <v>0</v>
      </c>
      <c r="I16" s="134">
        <f t="shared" si="2"/>
        <v>8.8811081578409325</v>
      </c>
      <c r="J16" s="134">
        <f t="shared" si="3"/>
        <v>20.85</v>
      </c>
      <c r="K16" s="132">
        <f t="shared" si="6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21.31</v>
      </c>
      <c r="F17" s="134">
        <f t="shared" si="1"/>
        <v>9.0770462754719556</v>
      </c>
      <c r="G17" s="132">
        <f t="shared" si="5"/>
        <v>0</v>
      </c>
      <c r="H17" s="132">
        <f t="shared" si="5"/>
        <v>0</v>
      </c>
      <c r="I17" s="134">
        <f t="shared" si="2"/>
        <v>9.0770462754719556</v>
      </c>
      <c r="J17" s="134">
        <f t="shared" si="3"/>
        <v>21.31</v>
      </c>
      <c r="K17" s="132">
        <f t="shared" si="6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21.78</v>
      </c>
      <c r="F18" s="134">
        <f t="shared" si="1"/>
        <v>9.2772439173993053</v>
      </c>
      <c r="G18" s="132">
        <f t="shared" si="5"/>
        <v>0</v>
      </c>
      <c r="H18" s="132">
        <f t="shared" si="5"/>
        <v>0</v>
      </c>
      <c r="I18" s="134">
        <f t="shared" si="2"/>
        <v>9.2772439173993053</v>
      </c>
      <c r="J18" s="134">
        <f t="shared" si="3"/>
        <v>21.78</v>
      </c>
      <c r="K18" s="132">
        <f t="shared" si="6"/>
        <v>0.71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22.26</v>
      </c>
      <c r="F19" s="134">
        <f t="shared" si="1"/>
        <v>9.4817010836229816</v>
      </c>
      <c r="G19" s="132">
        <f t="shared" si="5"/>
        <v>0</v>
      </c>
      <c r="H19" s="132">
        <f t="shared" si="5"/>
        <v>0</v>
      </c>
      <c r="I19" s="134">
        <f t="shared" si="2"/>
        <v>9.4817010836229816</v>
      </c>
      <c r="J19" s="134">
        <f t="shared" si="3"/>
        <v>22.26</v>
      </c>
      <c r="K19" s="132">
        <f t="shared" si="6"/>
        <v>0.73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22.75</v>
      </c>
      <c r="F20" s="134">
        <f t="shared" si="1"/>
        <v>9.6904177741429844</v>
      </c>
      <c r="G20" s="132">
        <f t="shared" si="5"/>
        <v>0</v>
      </c>
      <c r="H20" s="132">
        <f t="shared" si="5"/>
        <v>0</v>
      </c>
      <c r="I20" s="134">
        <f t="shared" si="2"/>
        <v>9.6904177741429844</v>
      </c>
      <c r="J20" s="134">
        <f t="shared" si="3"/>
        <v>22.75</v>
      </c>
      <c r="K20" s="132">
        <f t="shared" si="6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8" si="7">ROUND(D20*(1+$G67),2)</f>
        <v>0</v>
      </c>
      <c r="E21" s="132">
        <f t="shared" si="5"/>
        <v>23.25</v>
      </c>
      <c r="F21" s="134">
        <f t="shared" si="1"/>
        <v>9.9033939889593139</v>
      </c>
      <c r="G21" s="132">
        <f t="shared" si="5"/>
        <v>0</v>
      </c>
      <c r="H21" s="132">
        <f t="shared" si="5"/>
        <v>0</v>
      </c>
      <c r="I21" s="134">
        <f t="shared" si="2"/>
        <v>9.9033939889593139</v>
      </c>
      <c r="J21" s="134">
        <f t="shared" si="3"/>
        <v>23.25</v>
      </c>
      <c r="K21" s="132">
        <f t="shared" si="6"/>
        <v>0.77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23.78</v>
      </c>
      <c r="F22" s="134">
        <f t="shared" si="1"/>
        <v>10.129148776664623</v>
      </c>
      <c r="G22" s="132">
        <f t="shared" si="5"/>
        <v>0</v>
      </c>
      <c r="H22" s="132">
        <f t="shared" si="5"/>
        <v>0</v>
      </c>
      <c r="I22" s="134">
        <f t="shared" si="2"/>
        <v>10.129148776664623</v>
      </c>
      <c r="J22" s="134">
        <f t="shared" si="3"/>
        <v>23.78</v>
      </c>
      <c r="K22" s="132">
        <f t="shared" si="6"/>
        <v>0.79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24.33</v>
      </c>
      <c r="F23" s="134">
        <f t="shared" si="1"/>
        <v>10.363422612962584</v>
      </c>
      <c r="G23" s="132">
        <f t="shared" si="5"/>
        <v>0</v>
      </c>
      <c r="H23" s="132">
        <f t="shared" si="5"/>
        <v>0</v>
      </c>
      <c r="I23" s="134">
        <f t="shared" si="2"/>
        <v>10.363422612962584</v>
      </c>
      <c r="J23" s="134">
        <f t="shared" si="3"/>
        <v>24.33</v>
      </c>
      <c r="K23" s="132">
        <f t="shared" si="6"/>
        <v>0.81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24.89</v>
      </c>
      <c r="F24" s="134">
        <f t="shared" si="1"/>
        <v>10.601955973556873</v>
      </c>
      <c r="G24" s="132">
        <f t="shared" si="5"/>
        <v>0</v>
      </c>
      <c r="H24" s="132">
        <f t="shared" si="5"/>
        <v>0</v>
      </c>
      <c r="I24" s="134">
        <f t="shared" si="2"/>
        <v>10.601955973556873</v>
      </c>
      <c r="J24" s="134">
        <f t="shared" si="3"/>
        <v>24.89</v>
      </c>
      <c r="K24" s="132">
        <f t="shared" si="6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25.46</v>
      </c>
      <c r="F25" s="134">
        <f t="shared" si="1"/>
        <v>10.844748858447488</v>
      </c>
      <c r="G25" s="132">
        <f t="shared" si="5"/>
        <v>0</v>
      </c>
      <c r="H25" s="132">
        <f t="shared" si="5"/>
        <v>0</v>
      </c>
      <c r="I25" s="134">
        <f t="shared" si="2"/>
        <v>10.844748858447488</v>
      </c>
      <c r="J25" s="134">
        <f t="shared" si="3"/>
        <v>25.46</v>
      </c>
      <c r="K25" s="132">
        <f t="shared" si="6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26.05</v>
      </c>
      <c r="F26" s="134">
        <f t="shared" si="1"/>
        <v>11.096060791930757</v>
      </c>
      <c r="G26" s="132">
        <f t="shared" si="5"/>
        <v>0</v>
      </c>
      <c r="H26" s="132">
        <f t="shared" si="5"/>
        <v>0</v>
      </c>
      <c r="I26" s="134">
        <f t="shared" si="2"/>
        <v>11.096060791930757</v>
      </c>
      <c r="J26" s="134">
        <f t="shared" si="3"/>
        <v>26.05</v>
      </c>
      <c r="K26" s="132">
        <f t="shared" si="6"/>
        <v>0.87</v>
      </c>
      <c r="L26" s="123"/>
      <c r="P26" s="169"/>
    </row>
    <row r="27" spans="2:17">
      <c r="B27" s="140">
        <f t="shared" si="0"/>
        <v>2033</v>
      </c>
      <c r="C27" s="131"/>
      <c r="D27" s="132">
        <f t="shared" si="7"/>
        <v>0</v>
      </c>
      <c r="E27" s="132">
        <f t="shared" si="5"/>
        <v>26.62</v>
      </c>
      <c r="F27" s="134">
        <f t="shared" si="1"/>
        <v>11.338853676821373</v>
      </c>
      <c r="G27" s="132">
        <f t="shared" si="5"/>
        <v>0</v>
      </c>
      <c r="H27" s="132">
        <f t="shared" si="5"/>
        <v>0</v>
      </c>
      <c r="I27" s="134">
        <f t="shared" si="2"/>
        <v>11.338853676821373</v>
      </c>
      <c r="J27" s="134">
        <f t="shared" si="3"/>
        <v>26.62</v>
      </c>
      <c r="K27" s="132">
        <f t="shared" si="6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7"/>
        <v>0</v>
      </c>
      <c r="E28" s="132">
        <f t="shared" si="5"/>
        <v>27.21</v>
      </c>
      <c r="F28" s="134">
        <f t="shared" si="1"/>
        <v>11.590165610304641</v>
      </c>
      <c r="G28" s="132">
        <f t="shared" si="5"/>
        <v>0</v>
      </c>
      <c r="H28" s="132">
        <f t="shared" si="5"/>
        <v>0</v>
      </c>
      <c r="I28" s="134">
        <f t="shared" si="2"/>
        <v>11.590165610304641</v>
      </c>
      <c r="J28" s="134">
        <f t="shared" si="3"/>
        <v>27.21</v>
      </c>
      <c r="K28" s="132">
        <f t="shared" si="6"/>
        <v>0.91</v>
      </c>
      <c r="L28" s="123"/>
      <c r="P28" s="169"/>
    </row>
    <row r="29" spans="2:17">
      <c r="B29" s="140">
        <f t="shared" si="0"/>
        <v>2035</v>
      </c>
      <c r="C29" s="131">
        <f>$C$55</f>
        <v>1129.0663267642597</v>
      </c>
      <c r="D29" s="132">
        <f>C29*$C$62</f>
        <v>87.160084318455105</v>
      </c>
      <c r="E29" s="132">
        <f t="shared" si="5"/>
        <v>27.81</v>
      </c>
      <c r="F29" s="134">
        <f t="shared" si="1"/>
        <v>48.97178675051758</v>
      </c>
      <c r="G29" s="132">
        <f t="shared" si="5"/>
        <v>0</v>
      </c>
      <c r="H29" s="132">
        <f t="shared" si="5"/>
        <v>0</v>
      </c>
      <c r="I29" s="134">
        <f t="shared" si="2"/>
        <v>48.97178675051758</v>
      </c>
      <c r="J29" s="134">
        <f t="shared" si="3"/>
        <v>114.97</v>
      </c>
      <c r="K29" s="132">
        <f t="shared" si="6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89.08</v>
      </c>
      <c r="E30" s="132">
        <f t="shared" si="5"/>
        <v>28.42</v>
      </c>
      <c r="F30" s="134">
        <f t="shared" si="1"/>
        <v>50.049410481837391</v>
      </c>
      <c r="G30" s="132">
        <f t="shared" si="5"/>
        <v>0</v>
      </c>
      <c r="H30" s="132">
        <f t="shared" si="5"/>
        <v>0</v>
      </c>
      <c r="I30" s="134">
        <f t="shared" si="2"/>
        <v>50.049410481837391</v>
      </c>
      <c r="J30" s="134">
        <f t="shared" si="3"/>
        <v>117.5</v>
      </c>
      <c r="K30" s="132">
        <f t="shared" si="6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91.04</v>
      </c>
      <c r="E31" s="132">
        <f t="shared" si="5"/>
        <v>29.05</v>
      </c>
      <c r="F31" s="134">
        <f t="shared" si="1"/>
        <v>51.152627274585974</v>
      </c>
      <c r="G31" s="132">
        <f t="shared" si="5"/>
        <v>0</v>
      </c>
      <c r="H31" s="132">
        <f t="shared" si="5"/>
        <v>0</v>
      </c>
      <c r="I31" s="134">
        <f t="shared" si="2"/>
        <v>51.152627274585974</v>
      </c>
      <c r="J31" s="134">
        <f t="shared" si="3"/>
        <v>120.09</v>
      </c>
      <c r="K31" s="132">
        <f t="shared" si="6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93.04</v>
      </c>
      <c r="E32" s="132">
        <f t="shared" si="5"/>
        <v>29.69</v>
      </c>
      <c r="F32" s="134">
        <f t="shared" si="1"/>
        <v>52.277141688816194</v>
      </c>
      <c r="G32" s="132">
        <f t="shared" si="5"/>
        <v>0</v>
      </c>
      <c r="H32" s="132">
        <f t="shared" si="5"/>
        <v>0</v>
      </c>
      <c r="I32" s="134">
        <f t="shared" si="2"/>
        <v>52.277141688816194</v>
      </c>
      <c r="J32" s="134">
        <f t="shared" si="3"/>
        <v>122.73</v>
      </c>
      <c r="K32" s="132">
        <f t="shared" si="6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95.09</v>
      </c>
      <c r="E33" s="132">
        <f t="shared" si="5"/>
        <v>30.34</v>
      </c>
      <c r="F33" s="134">
        <f t="shared" si="1"/>
        <v>53.427213248824373</v>
      </c>
      <c r="G33" s="132">
        <f t="shared" si="5"/>
        <v>0</v>
      </c>
      <c r="H33" s="132">
        <f t="shared" si="5"/>
        <v>0</v>
      </c>
      <c r="I33" s="134">
        <f t="shared" si="2"/>
        <v>53.427213248824373</v>
      </c>
      <c r="J33" s="134">
        <f t="shared" si="3"/>
        <v>125.43</v>
      </c>
      <c r="K33" s="132">
        <f t="shared" si="6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97.18</v>
      </c>
      <c r="E34" s="132">
        <f t="shared" si="5"/>
        <v>31.01</v>
      </c>
      <c r="F34" s="134">
        <f t="shared" si="1"/>
        <v>54.602841954610511</v>
      </c>
      <c r="G34" s="132">
        <f t="shared" si="5"/>
        <v>0</v>
      </c>
      <c r="H34" s="132">
        <f t="shared" si="5"/>
        <v>0</v>
      </c>
      <c r="I34" s="134">
        <f t="shared" si="2"/>
        <v>54.602841954610511</v>
      </c>
      <c r="J34" s="134">
        <f t="shared" si="3"/>
        <v>128.19</v>
      </c>
      <c r="K34" s="132">
        <f t="shared" si="6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99.32</v>
      </c>
      <c r="E35" s="132">
        <f t="shared" si="5"/>
        <v>31.69</v>
      </c>
      <c r="F35" s="134">
        <f t="shared" si="1"/>
        <v>55.804027806174602</v>
      </c>
      <c r="G35" s="132">
        <f t="shared" si="5"/>
        <v>0</v>
      </c>
      <c r="H35" s="132">
        <f t="shared" si="5"/>
        <v>0</v>
      </c>
      <c r="I35" s="134">
        <f t="shared" si="2"/>
        <v>55.804027806174602</v>
      </c>
      <c r="J35" s="134">
        <f t="shared" si="3"/>
        <v>131.01</v>
      </c>
      <c r="K35" s="132">
        <f t="shared" si="6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101.6</v>
      </c>
      <c r="E36" s="132">
        <f t="shared" si="5"/>
        <v>32.42</v>
      </c>
      <c r="F36" s="134">
        <f t="shared" si="1"/>
        <v>57.086144619368902</v>
      </c>
      <c r="G36" s="132">
        <f t="shared" si="5"/>
        <v>0</v>
      </c>
      <c r="H36" s="132">
        <f t="shared" si="5"/>
        <v>0</v>
      </c>
      <c r="I36" s="134">
        <f t="shared" si="2"/>
        <v>57.086144619368902</v>
      </c>
      <c r="J36" s="134">
        <f t="shared" si="3"/>
        <v>134.02000000000001</v>
      </c>
      <c r="K36" s="132">
        <f t="shared" si="6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UT Solar 2035 ST'!D44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26.8%)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125</v>
      </c>
      <c r="C55" s="185">
        <v>1129.0663267642597</v>
      </c>
      <c r="D55" s="121" t="s">
        <v>73</v>
      </c>
      <c r="H55" s="121" t="s">
        <v>9</v>
      </c>
    </row>
    <row r="56" spans="2:24">
      <c r="B56" s="85" t="s">
        <v>110</v>
      </c>
      <c r="C56" s="154">
        <v>18.718009285501743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L62" s="164"/>
      <c r="M62" s="164"/>
      <c r="N62" s="156"/>
      <c r="O62" s="52"/>
      <c r="P62" s="158"/>
    </row>
    <row r="63" spans="2:24">
      <c r="C63" s="168">
        <v>0.26800000000000002</v>
      </c>
      <c r="D63" s="121" t="s">
        <v>38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8">C66+1</f>
        <v>2018</v>
      </c>
      <c r="D67" s="41">
        <v>2.3E-2</v>
      </c>
      <c r="E67" s="85"/>
      <c r="F67" s="87">
        <f t="shared" ref="F67:F74" si="9">F66+1</f>
        <v>2027</v>
      </c>
      <c r="G67" s="41">
        <v>2.1999999999999999E-2</v>
      </c>
      <c r="H67" s="85"/>
      <c r="I67" s="87">
        <f t="shared" ref="I67:I74" si="10">I66+1</f>
        <v>2036</v>
      </c>
      <c r="J67" s="41">
        <v>2.1999999999999999E-2</v>
      </c>
    </row>
    <row r="68" spans="3:11">
      <c r="C68" s="87">
        <f t="shared" si="8"/>
        <v>2019</v>
      </c>
      <c r="D68" s="41">
        <v>1.9E-2</v>
      </c>
      <c r="E68" s="85"/>
      <c r="F68" s="87">
        <f t="shared" si="9"/>
        <v>2028</v>
      </c>
      <c r="G68" s="41">
        <v>2.3E-2</v>
      </c>
      <c r="H68" s="85"/>
      <c r="I68" s="87">
        <f t="shared" si="10"/>
        <v>2037</v>
      </c>
      <c r="J68" s="41">
        <v>2.1999999999999999E-2</v>
      </c>
    </row>
    <row r="69" spans="3:11">
      <c r="C69" s="87">
        <f t="shared" si="8"/>
        <v>2020</v>
      </c>
      <c r="D69" s="41">
        <v>2.1999999999999999E-2</v>
      </c>
      <c r="E69" s="85"/>
      <c r="F69" s="87">
        <f t="shared" si="9"/>
        <v>2029</v>
      </c>
      <c r="G69" s="41">
        <v>2.3E-2</v>
      </c>
      <c r="H69" s="85"/>
      <c r="I69" s="87">
        <f t="shared" si="10"/>
        <v>2038</v>
      </c>
      <c r="J69" s="41">
        <v>2.1999999999999999E-2</v>
      </c>
    </row>
    <row r="70" spans="3:11">
      <c r="C70" s="87">
        <f t="shared" si="8"/>
        <v>2021</v>
      </c>
      <c r="D70" s="41">
        <v>2.1999999999999999E-2</v>
      </c>
      <c r="E70" s="85"/>
      <c r="F70" s="87">
        <f t="shared" si="9"/>
        <v>2030</v>
      </c>
      <c r="G70" s="41">
        <v>2.3E-2</v>
      </c>
      <c r="H70" s="85"/>
      <c r="I70" s="87">
        <f t="shared" si="10"/>
        <v>2039</v>
      </c>
      <c r="J70" s="41">
        <v>2.1999999999999999E-2</v>
      </c>
    </row>
    <row r="71" spans="3:11">
      <c r="C71" s="87">
        <f t="shared" si="8"/>
        <v>2022</v>
      </c>
      <c r="D71" s="41">
        <v>2.3E-2</v>
      </c>
      <c r="E71" s="85"/>
      <c r="F71" s="87">
        <f t="shared" si="9"/>
        <v>2031</v>
      </c>
      <c r="G71" s="41">
        <v>2.3E-2</v>
      </c>
      <c r="H71" s="85"/>
      <c r="I71" s="87">
        <f t="shared" si="10"/>
        <v>2040</v>
      </c>
      <c r="J71" s="41">
        <v>2.1999999999999999E-2</v>
      </c>
    </row>
    <row r="72" spans="3:11" s="123" customFormat="1">
      <c r="C72" s="87">
        <f t="shared" si="8"/>
        <v>2023</v>
      </c>
      <c r="D72" s="41">
        <v>2.1999999999999999E-2</v>
      </c>
      <c r="E72" s="86"/>
      <c r="F72" s="87">
        <f t="shared" si="9"/>
        <v>2032</v>
      </c>
      <c r="G72" s="41">
        <v>2.3E-2</v>
      </c>
      <c r="H72" s="86"/>
      <c r="I72" s="87">
        <f t="shared" si="10"/>
        <v>2041</v>
      </c>
      <c r="J72" s="41">
        <v>2.1999999999999999E-2</v>
      </c>
    </row>
    <row r="73" spans="3:11" s="123" customFormat="1">
      <c r="C73" s="87">
        <f t="shared" si="8"/>
        <v>2024</v>
      </c>
      <c r="D73" s="41">
        <v>2.1999999999999999E-2</v>
      </c>
      <c r="E73" s="86"/>
      <c r="F73" s="87">
        <f t="shared" si="9"/>
        <v>2033</v>
      </c>
      <c r="G73" s="41">
        <v>2.1999999999999999E-2</v>
      </c>
      <c r="H73" s="86"/>
      <c r="I73" s="87">
        <f t="shared" si="10"/>
        <v>2042</v>
      </c>
      <c r="J73" s="41">
        <v>2.3E-2</v>
      </c>
    </row>
    <row r="74" spans="3:11" s="123" customFormat="1">
      <c r="C74" s="87">
        <f t="shared" si="8"/>
        <v>2025</v>
      </c>
      <c r="D74" s="41">
        <v>2.1999999999999999E-2</v>
      </c>
      <c r="E74" s="86"/>
      <c r="F74" s="87">
        <f t="shared" si="9"/>
        <v>2034</v>
      </c>
      <c r="G74" s="41">
        <v>2.1999999999999999E-2</v>
      </c>
      <c r="H74" s="86"/>
      <c r="I74" s="87">
        <f t="shared" si="10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Oregon Solar Resource-2030 - 29%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4">
        <f t="shared" si="1"/>
        <v>8.145452815829529</v>
      </c>
      <c r="G13" s="132">
        <f t="shared" si="4"/>
        <v>0</v>
      </c>
      <c r="H13" s="132">
        <f t="shared" si="4"/>
        <v>0</v>
      </c>
      <c r="I13" s="134">
        <f t="shared" si="2"/>
        <v>8.145452815829529</v>
      </c>
      <c r="J13" s="134">
        <f t="shared" si="3"/>
        <v>20.55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</v>
      </c>
      <c r="F14" s="134">
        <f t="shared" si="1"/>
        <v>8.3238203957382044</v>
      </c>
      <c r="G14" s="132">
        <f t="shared" si="4"/>
        <v>0</v>
      </c>
      <c r="H14" s="132">
        <f t="shared" si="4"/>
        <v>0</v>
      </c>
      <c r="I14" s="134">
        <f t="shared" si="2"/>
        <v>8.3238203957382044</v>
      </c>
      <c r="J14" s="134">
        <f t="shared" si="3"/>
        <v>21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21.46</v>
      </c>
      <c r="F15" s="134">
        <f t="shared" si="1"/>
        <v>8.5061516996448514</v>
      </c>
      <c r="G15" s="132">
        <f t="shared" si="4"/>
        <v>0</v>
      </c>
      <c r="H15" s="132">
        <f t="shared" si="4"/>
        <v>0</v>
      </c>
      <c r="I15" s="134">
        <f t="shared" si="2"/>
        <v>8.5061516996448514</v>
      </c>
      <c r="J15" s="134">
        <f t="shared" si="3"/>
        <v>21.46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21.95</v>
      </c>
      <c r="F16" s="134">
        <f t="shared" si="1"/>
        <v>8.7003741755454094</v>
      </c>
      <c r="G16" s="132">
        <f t="shared" si="4"/>
        <v>0</v>
      </c>
      <c r="H16" s="132">
        <f t="shared" si="4"/>
        <v>0</v>
      </c>
      <c r="I16" s="134">
        <f t="shared" si="2"/>
        <v>8.7003741755454094</v>
      </c>
      <c r="J16" s="134">
        <f t="shared" si="3"/>
        <v>21.95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22.43</v>
      </c>
      <c r="F17" s="134">
        <f t="shared" si="1"/>
        <v>8.8906329274479958</v>
      </c>
      <c r="G17" s="132">
        <f t="shared" si="4"/>
        <v>0</v>
      </c>
      <c r="H17" s="132">
        <f t="shared" si="4"/>
        <v>0</v>
      </c>
      <c r="I17" s="134">
        <f t="shared" si="2"/>
        <v>8.8906329274479958</v>
      </c>
      <c r="J17" s="134">
        <f t="shared" si="3"/>
        <v>22.43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22.92</v>
      </c>
      <c r="F18" s="134">
        <f t="shared" si="1"/>
        <v>9.0848554033485556</v>
      </c>
      <c r="G18" s="132">
        <f t="shared" si="4"/>
        <v>0</v>
      </c>
      <c r="H18" s="132">
        <f t="shared" si="4"/>
        <v>0</v>
      </c>
      <c r="I18" s="134">
        <f t="shared" si="2"/>
        <v>9.0848554033485556</v>
      </c>
      <c r="J18" s="134">
        <f t="shared" si="3"/>
        <v>22.92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23.42</v>
      </c>
      <c r="F19" s="134">
        <f t="shared" si="1"/>
        <v>9.2830416032470833</v>
      </c>
      <c r="G19" s="132">
        <f t="shared" si="4"/>
        <v>0</v>
      </c>
      <c r="H19" s="132">
        <f t="shared" si="4"/>
        <v>0</v>
      </c>
      <c r="I19" s="134">
        <f t="shared" si="2"/>
        <v>9.2830416032470833</v>
      </c>
      <c r="J19" s="134">
        <f t="shared" si="3"/>
        <v>23.42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23.94</v>
      </c>
      <c r="F20" s="134">
        <f t="shared" si="1"/>
        <v>9.489155251141554</v>
      </c>
      <c r="G20" s="132">
        <f t="shared" si="4"/>
        <v>0</v>
      </c>
      <c r="H20" s="132">
        <f t="shared" si="4"/>
        <v>0</v>
      </c>
      <c r="I20" s="134">
        <f t="shared" si="2"/>
        <v>9.489155251141554</v>
      </c>
      <c r="J20" s="134">
        <f t="shared" si="3"/>
        <v>23.94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24.47</v>
      </c>
      <c r="F21" s="134">
        <f t="shared" si="1"/>
        <v>9.6992326230339927</v>
      </c>
      <c r="G21" s="132">
        <f t="shared" si="4"/>
        <v>0</v>
      </c>
      <c r="H21" s="132">
        <f t="shared" si="4"/>
        <v>0</v>
      </c>
      <c r="I21" s="134">
        <f t="shared" si="2"/>
        <v>9.6992326230339927</v>
      </c>
      <c r="J21" s="134">
        <f t="shared" si="3"/>
        <v>24.47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25.03</v>
      </c>
      <c r="F22" s="134">
        <f t="shared" si="1"/>
        <v>9.9212011669203459</v>
      </c>
      <c r="G22" s="132">
        <f t="shared" si="4"/>
        <v>0</v>
      </c>
      <c r="H22" s="132">
        <f t="shared" si="4"/>
        <v>0</v>
      </c>
      <c r="I22" s="134">
        <f t="shared" si="2"/>
        <v>9.9212011669203459</v>
      </c>
      <c r="J22" s="134">
        <f t="shared" si="3"/>
        <v>25.03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25.61</v>
      </c>
      <c r="F23" s="134">
        <f t="shared" si="1"/>
        <v>10.151097158802639</v>
      </c>
      <c r="G23" s="132">
        <f t="shared" si="4"/>
        <v>0</v>
      </c>
      <c r="H23" s="132">
        <f t="shared" si="4"/>
        <v>0</v>
      </c>
      <c r="I23" s="134">
        <f t="shared" si="2"/>
        <v>10.151097158802639</v>
      </c>
      <c r="J23" s="134">
        <f t="shared" si="3"/>
        <v>25.61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>
        <f>$C$55</f>
        <v>1215.4108609806308</v>
      </c>
      <c r="D24" s="132">
        <f>C24*$C$62</f>
        <v>93.825588996381754</v>
      </c>
      <c r="E24" s="132">
        <f t="shared" si="4"/>
        <v>26.2</v>
      </c>
      <c r="F24" s="134">
        <f t="shared" si="1"/>
        <v>47.574830747551118</v>
      </c>
      <c r="G24" s="132">
        <f t="shared" si="4"/>
        <v>0</v>
      </c>
      <c r="H24" s="132">
        <f t="shared" si="4"/>
        <v>0</v>
      </c>
      <c r="I24" s="134">
        <f t="shared" si="2"/>
        <v>47.574830747551118</v>
      </c>
      <c r="J24" s="134">
        <f t="shared" si="3"/>
        <v>120.03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95.98</v>
      </c>
      <c r="E25" s="132">
        <f t="shared" si="4"/>
        <v>26.8</v>
      </c>
      <c r="F25" s="134">
        <f t="shared" si="1"/>
        <v>48.666603247082705</v>
      </c>
      <c r="G25" s="132">
        <f t="shared" si="4"/>
        <v>0</v>
      </c>
      <c r="H25" s="132">
        <f t="shared" si="4"/>
        <v>0</v>
      </c>
      <c r="I25" s="134">
        <f t="shared" si="2"/>
        <v>48.666603247082705</v>
      </c>
      <c r="J25" s="134">
        <f t="shared" si="3"/>
        <v>122.78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98.19</v>
      </c>
      <c r="E26" s="132">
        <f t="shared" si="4"/>
        <v>27.42</v>
      </c>
      <c r="F26" s="134">
        <f t="shared" si="1"/>
        <v>49.788337138508375</v>
      </c>
      <c r="G26" s="132">
        <f t="shared" si="4"/>
        <v>0</v>
      </c>
      <c r="H26" s="132">
        <f t="shared" si="4"/>
        <v>0</v>
      </c>
      <c r="I26" s="134">
        <f t="shared" si="2"/>
        <v>49.788337138508375</v>
      </c>
      <c r="J26" s="134">
        <f t="shared" si="3"/>
        <v>125.61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100.35</v>
      </c>
      <c r="E27" s="132">
        <f t="shared" si="4"/>
        <v>28.02</v>
      </c>
      <c r="F27" s="134">
        <f t="shared" si="1"/>
        <v>50.882324961948257</v>
      </c>
      <c r="G27" s="132">
        <f t="shared" si="4"/>
        <v>0</v>
      </c>
      <c r="H27" s="132">
        <f t="shared" si="4"/>
        <v>0</v>
      </c>
      <c r="I27" s="134">
        <f t="shared" si="2"/>
        <v>50.882324961948257</v>
      </c>
      <c r="J27" s="134">
        <f t="shared" si="3"/>
        <v>128.37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102.56</v>
      </c>
      <c r="E28" s="132">
        <f t="shared" si="4"/>
        <v>28.64</v>
      </c>
      <c r="F28" s="134">
        <f t="shared" si="1"/>
        <v>52.00405885337392</v>
      </c>
      <c r="G28" s="132">
        <f t="shared" si="4"/>
        <v>0</v>
      </c>
      <c r="H28" s="132">
        <f t="shared" si="4"/>
        <v>0</v>
      </c>
      <c r="I28" s="134">
        <f t="shared" si="2"/>
        <v>52.00405885337392</v>
      </c>
      <c r="J28" s="134">
        <f t="shared" si="3"/>
        <v>131.19999999999999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104.82</v>
      </c>
      <c r="E29" s="132">
        <f t="shared" si="4"/>
        <v>29.27</v>
      </c>
      <c r="F29" s="134">
        <f t="shared" si="1"/>
        <v>53.149575088787422</v>
      </c>
      <c r="G29" s="132">
        <f t="shared" si="4"/>
        <v>0</v>
      </c>
      <c r="H29" s="132">
        <f t="shared" si="4"/>
        <v>0</v>
      </c>
      <c r="I29" s="134">
        <f t="shared" si="2"/>
        <v>53.149575088787422</v>
      </c>
      <c r="J29" s="134">
        <f t="shared" si="3"/>
        <v>134.09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107.13</v>
      </c>
      <c r="E30" s="132">
        <f t="shared" si="4"/>
        <v>29.91</v>
      </c>
      <c r="F30" s="134">
        <f t="shared" si="1"/>
        <v>54.318873668188736</v>
      </c>
      <c r="G30" s="132">
        <f t="shared" si="4"/>
        <v>0</v>
      </c>
      <c r="H30" s="132">
        <f t="shared" si="4"/>
        <v>0</v>
      </c>
      <c r="I30" s="134">
        <f t="shared" si="2"/>
        <v>54.318873668188736</v>
      </c>
      <c r="J30" s="134">
        <f t="shared" si="3"/>
        <v>137.04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109.49</v>
      </c>
      <c r="E31" s="132">
        <f t="shared" si="4"/>
        <v>30.57</v>
      </c>
      <c r="F31" s="134">
        <f t="shared" si="1"/>
        <v>55.515918315575853</v>
      </c>
      <c r="G31" s="132">
        <f t="shared" si="4"/>
        <v>0</v>
      </c>
      <c r="H31" s="132">
        <f t="shared" si="4"/>
        <v>0</v>
      </c>
      <c r="I31" s="134">
        <f t="shared" si="2"/>
        <v>55.515918315575853</v>
      </c>
      <c r="J31" s="134">
        <f t="shared" si="3"/>
        <v>140.06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111.9</v>
      </c>
      <c r="E32" s="132">
        <f t="shared" si="4"/>
        <v>31.24</v>
      </c>
      <c r="F32" s="134">
        <f t="shared" si="1"/>
        <v>56.736745306950795</v>
      </c>
      <c r="G32" s="132">
        <f t="shared" si="4"/>
        <v>0</v>
      </c>
      <c r="H32" s="132">
        <f t="shared" si="4"/>
        <v>0</v>
      </c>
      <c r="I32" s="134">
        <f t="shared" si="2"/>
        <v>56.736745306950795</v>
      </c>
      <c r="J32" s="134">
        <f t="shared" si="3"/>
        <v>143.13999999999999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114.36</v>
      </c>
      <c r="E33" s="132">
        <f t="shared" si="4"/>
        <v>31.93</v>
      </c>
      <c r="F33" s="134">
        <f t="shared" si="1"/>
        <v>57.985318366311517</v>
      </c>
      <c r="G33" s="132">
        <f t="shared" si="4"/>
        <v>0</v>
      </c>
      <c r="H33" s="132">
        <f t="shared" si="4"/>
        <v>0</v>
      </c>
      <c r="I33" s="134">
        <f t="shared" si="2"/>
        <v>57.985318366311517</v>
      </c>
      <c r="J33" s="134">
        <f t="shared" si="3"/>
        <v>146.29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116.88</v>
      </c>
      <c r="E34" s="132">
        <f t="shared" si="4"/>
        <v>32.630000000000003</v>
      </c>
      <c r="F34" s="134">
        <f t="shared" si="1"/>
        <v>59.261637493658043</v>
      </c>
      <c r="G34" s="132">
        <f t="shared" si="4"/>
        <v>0</v>
      </c>
      <c r="H34" s="132">
        <f t="shared" si="4"/>
        <v>0</v>
      </c>
      <c r="I34" s="134">
        <f t="shared" si="2"/>
        <v>59.261637493658043</v>
      </c>
      <c r="J34" s="134">
        <f t="shared" si="3"/>
        <v>149.51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119.45</v>
      </c>
      <c r="E35" s="132">
        <f t="shared" si="4"/>
        <v>33.35</v>
      </c>
      <c r="F35" s="134">
        <f t="shared" si="1"/>
        <v>60.56570268899037</v>
      </c>
      <c r="G35" s="132">
        <f t="shared" si="4"/>
        <v>0</v>
      </c>
      <c r="H35" s="132">
        <f t="shared" si="4"/>
        <v>0</v>
      </c>
      <c r="I35" s="134">
        <f t="shared" si="2"/>
        <v>60.56570268899037</v>
      </c>
      <c r="J35" s="134">
        <f t="shared" si="3"/>
        <v>152.80000000000001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122.2</v>
      </c>
      <c r="E36" s="132">
        <f t="shared" si="4"/>
        <v>34.119999999999997</v>
      </c>
      <c r="F36" s="134">
        <f t="shared" si="1"/>
        <v>61.960933536276002</v>
      </c>
      <c r="G36" s="132">
        <f t="shared" si="4"/>
        <v>0</v>
      </c>
      <c r="H36" s="132">
        <f t="shared" si="4"/>
        <v>0</v>
      </c>
      <c r="I36" s="134">
        <f t="shared" si="2"/>
        <v>61.960933536276002</v>
      </c>
      <c r="J36" s="134">
        <f t="shared" si="3"/>
        <v>156.32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YK Solar 2033'!D44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Resource-2030 - 29%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185">
        <v>1215.4108609806308</v>
      </c>
      <c r="D55" s="121" t="s">
        <v>73</v>
      </c>
      <c r="H55" s="121" t="s">
        <v>9</v>
      </c>
    </row>
    <row r="56" spans="2:24">
      <c r="B56" s="85" t="s">
        <v>110</v>
      </c>
      <c r="C56" s="154">
        <v>19.720289118454605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4">
        <f t="shared" si="1"/>
        <v>8.145452815829529</v>
      </c>
      <c r="G13" s="132">
        <f t="shared" si="4"/>
        <v>0</v>
      </c>
      <c r="H13" s="132">
        <f t="shared" si="4"/>
        <v>0</v>
      </c>
      <c r="I13" s="134">
        <f t="shared" si="2"/>
        <v>8.145452815829529</v>
      </c>
      <c r="J13" s="134">
        <f t="shared" si="3"/>
        <v>20.55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</v>
      </c>
      <c r="F14" s="134">
        <f t="shared" si="1"/>
        <v>8.3238203957382044</v>
      </c>
      <c r="G14" s="132">
        <f t="shared" si="4"/>
        <v>0</v>
      </c>
      <c r="H14" s="132">
        <f t="shared" si="4"/>
        <v>0</v>
      </c>
      <c r="I14" s="134">
        <f t="shared" si="2"/>
        <v>8.3238203957382044</v>
      </c>
      <c r="J14" s="134">
        <f t="shared" si="3"/>
        <v>21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21.46</v>
      </c>
      <c r="F15" s="134">
        <f t="shared" si="1"/>
        <v>8.5061516996448514</v>
      </c>
      <c r="G15" s="132">
        <f t="shared" si="4"/>
        <v>0</v>
      </c>
      <c r="H15" s="132">
        <f t="shared" si="4"/>
        <v>0</v>
      </c>
      <c r="I15" s="134">
        <f t="shared" si="2"/>
        <v>8.5061516996448514</v>
      </c>
      <c r="J15" s="134">
        <f t="shared" si="3"/>
        <v>21.46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21.95</v>
      </c>
      <c r="F16" s="134">
        <f t="shared" si="1"/>
        <v>8.7003741755454094</v>
      </c>
      <c r="G16" s="132">
        <f t="shared" si="4"/>
        <v>0</v>
      </c>
      <c r="H16" s="132">
        <f t="shared" si="4"/>
        <v>0</v>
      </c>
      <c r="I16" s="134">
        <f t="shared" si="2"/>
        <v>8.7003741755454094</v>
      </c>
      <c r="J16" s="134">
        <f t="shared" si="3"/>
        <v>21.95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22.43</v>
      </c>
      <c r="F17" s="134">
        <f t="shared" si="1"/>
        <v>8.8906329274479958</v>
      </c>
      <c r="G17" s="132">
        <f t="shared" si="4"/>
        <v>0</v>
      </c>
      <c r="H17" s="132">
        <f t="shared" si="4"/>
        <v>0</v>
      </c>
      <c r="I17" s="134">
        <f t="shared" si="2"/>
        <v>8.8906329274479958</v>
      </c>
      <c r="J17" s="134">
        <f t="shared" si="3"/>
        <v>22.43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22.92</v>
      </c>
      <c r="F18" s="134">
        <f t="shared" si="1"/>
        <v>9.0848554033485556</v>
      </c>
      <c r="G18" s="132">
        <f t="shared" si="4"/>
        <v>0</v>
      </c>
      <c r="H18" s="132">
        <f t="shared" si="4"/>
        <v>0</v>
      </c>
      <c r="I18" s="134">
        <f t="shared" si="2"/>
        <v>9.0848554033485556</v>
      </c>
      <c r="J18" s="134">
        <f t="shared" si="3"/>
        <v>22.92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23.42</v>
      </c>
      <c r="F19" s="134">
        <f t="shared" si="1"/>
        <v>9.2830416032470833</v>
      </c>
      <c r="G19" s="132">
        <f t="shared" si="4"/>
        <v>0</v>
      </c>
      <c r="H19" s="132">
        <f t="shared" si="4"/>
        <v>0</v>
      </c>
      <c r="I19" s="134">
        <f t="shared" si="2"/>
        <v>9.2830416032470833</v>
      </c>
      <c r="J19" s="134">
        <f t="shared" si="3"/>
        <v>23.42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23.94</v>
      </c>
      <c r="F20" s="134">
        <f t="shared" si="1"/>
        <v>9.489155251141554</v>
      </c>
      <c r="G20" s="132">
        <f t="shared" si="4"/>
        <v>0</v>
      </c>
      <c r="H20" s="132">
        <f t="shared" si="4"/>
        <v>0</v>
      </c>
      <c r="I20" s="134">
        <f t="shared" si="2"/>
        <v>9.489155251141554</v>
      </c>
      <c r="J20" s="134">
        <f t="shared" si="3"/>
        <v>23.94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24.47</v>
      </c>
      <c r="F21" s="134">
        <f t="shared" si="1"/>
        <v>9.6992326230339927</v>
      </c>
      <c r="G21" s="132">
        <f t="shared" si="4"/>
        <v>0</v>
      </c>
      <c r="H21" s="132">
        <f t="shared" si="4"/>
        <v>0</v>
      </c>
      <c r="I21" s="134">
        <f t="shared" si="2"/>
        <v>9.6992326230339927</v>
      </c>
      <c r="J21" s="134">
        <f t="shared" si="3"/>
        <v>24.47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25.03</v>
      </c>
      <c r="F22" s="134">
        <f t="shared" si="1"/>
        <v>9.9212011669203459</v>
      </c>
      <c r="G22" s="132">
        <f t="shared" si="4"/>
        <v>0</v>
      </c>
      <c r="H22" s="132">
        <f t="shared" si="4"/>
        <v>0</v>
      </c>
      <c r="I22" s="134">
        <f t="shared" si="2"/>
        <v>9.9212011669203459</v>
      </c>
      <c r="J22" s="134">
        <f t="shared" si="3"/>
        <v>25.03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25.61</v>
      </c>
      <c r="F23" s="134">
        <f t="shared" si="1"/>
        <v>10.151097158802639</v>
      </c>
      <c r="G23" s="132">
        <f t="shared" si="4"/>
        <v>0</v>
      </c>
      <c r="H23" s="132">
        <f t="shared" si="4"/>
        <v>0</v>
      </c>
      <c r="I23" s="134">
        <f t="shared" si="2"/>
        <v>10.151097158802639</v>
      </c>
      <c r="J23" s="134">
        <f t="shared" si="3"/>
        <v>25.61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26.2</v>
      </c>
      <c r="F24" s="134">
        <f t="shared" si="1"/>
        <v>10.384956874682903</v>
      </c>
      <c r="G24" s="132">
        <f t="shared" si="4"/>
        <v>0</v>
      </c>
      <c r="H24" s="132">
        <f t="shared" si="4"/>
        <v>0</v>
      </c>
      <c r="I24" s="134">
        <f t="shared" si="2"/>
        <v>10.384956874682903</v>
      </c>
      <c r="J24" s="134">
        <f t="shared" si="3"/>
        <v>26.2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31">
        <f>$C$55</f>
        <v>1208.4830190730411</v>
      </c>
      <c r="D25" s="132">
        <f>C25*$C$62</f>
        <v>93.290783139102373</v>
      </c>
      <c r="E25" s="132">
        <f t="shared" si="4"/>
        <v>26.8</v>
      </c>
      <c r="F25" s="134">
        <f t="shared" si="1"/>
        <v>47.600671906354002</v>
      </c>
      <c r="G25" s="132">
        <f t="shared" si="4"/>
        <v>0</v>
      </c>
      <c r="H25" s="132">
        <f t="shared" si="4"/>
        <v>0</v>
      </c>
      <c r="I25" s="134">
        <f t="shared" si="2"/>
        <v>47.600671906354002</v>
      </c>
      <c r="J25" s="134">
        <f t="shared" si="3"/>
        <v>120.09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95.44</v>
      </c>
      <c r="E26" s="132">
        <f t="shared" si="4"/>
        <v>27.42</v>
      </c>
      <c r="F26" s="134">
        <f t="shared" si="1"/>
        <v>48.69831303906647</v>
      </c>
      <c r="G26" s="132">
        <f t="shared" si="4"/>
        <v>0</v>
      </c>
      <c r="H26" s="132">
        <f t="shared" si="4"/>
        <v>0</v>
      </c>
      <c r="I26" s="134">
        <f t="shared" si="2"/>
        <v>48.69831303906647</v>
      </c>
      <c r="J26" s="134">
        <f t="shared" si="3"/>
        <v>122.86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97.54</v>
      </c>
      <c r="E27" s="132">
        <f t="shared" si="4"/>
        <v>28.02</v>
      </c>
      <c r="F27" s="134">
        <f t="shared" si="1"/>
        <v>49.768518518518526</v>
      </c>
      <c r="G27" s="132">
        <f t="shared" si="4"/>
        <v>0</v>
      </c>
      <c r="H27" s="132">
        <f t="shared" si="4"/>
        <v>0</v>
      </c>
      <c r="I27" s="134">
        <f t="shared" si="2"/>
        <v>49.768518518518526</v>
      </c>
      <c r="J27" s="134">
        <f t="shared" si="3"/>
        <v>125.56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99.69</v>
      </c>
      <c r="E28" s="132">
        <f t="shared" si="4"/>
        <v>28.64</v>
      </c>
      <c r="F28" s="134">
        <f t="shared" si="1"/>
        <v>50.866470065956364</v>
      </c>
      <c r="G28" s="132">
        <f t="shared" si="4"/>
        <v>0</v>
      </c>
      <c r="H28" s="132">
        <f t="shared" si="4"/>
        <v>0</v>
      </c>
      <c r="I28" s="134">
        <f t="shared" si="2"/>
        <v>50.866470065956364</v>
      </c>
      <c r="J28" s="134">
        <f t="shared" si="3"/>
        <v>128.33000000000001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101.88</v>
      </c>
      <c r="E29" s="132">
        <f t="shared" si="4"/>
        <v>29.27</v>
      </c>
      <c r="F29" s="134">
        <f t="shared" si="1"/>
        <v>51.984240233384078</v>
      </c>
      <c r="G29" s="132">
        <f t="shared" si="4"/>
        <v>0</v>
      </c>
      <c r="H29" s="132">
        <f t="shared" si="4"/>
        <v>0</v>
      </c>
      <c r="I29" s="134">
        <f t="shared" si="2"/>
        <v>51.984240233384078</v>
      </c>
      <c r="J29" s="134">
        <f t="shared" si="3"/>
        <v>131.15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104.12</v>
      </c>
      <c r="E30" s="132">
        <f t="shared" si="4"/>
        <v>29.91</v>
      </c>
      <c r="F30" s="134">
        <f t="shared" si="1"/>
        <v>53.125792744799597</v>
      </c>
      <c r="G30" s="132">
        <f t="shared" si="4"/>
        <v>0</v>
      </c>
      <c r="H30" s="132">
        <f t="shared" si="4"/>
        <v>0</v>
      </c>
      <c r="I30" s="134">
        <f t="shared" si="2"/>
        <v>53.125792744799597</v>
      </c>
      <c r="J30" s="134">
        <f t="shared" si="3"/>
        <v>134.03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106.41</v>
      </c>
      <c r="E31" s="132">
        <f t="shared" si="4"/>
        <v>30.57</v>
      </c>
      <c r="F31" s="134">
        <f t="shared" si="1"/>
        <v>54.295091324200911</v>
      </c>
      <c r="G31" s="132">
        <f t="shared" si="4"/>
        <v>0</v>
      </c>
      <c r="H31" s="132">
        <f t="shared" si="4"/>
        <v>0</v>
      </c>
      <c r="I31" s="134">
        <f t="shared" si="2"/>
        <v>54.295091324200911</v>
      </c>
      <c r="J31" s="134">
        <f t="shared" si="3"/>
        <v>136.97999999999999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108.75</v>
      </c>
      <c r="E32" s="132">
        <f t="shared" si="4"/>
        <v>31.24</v>
      </c>
      <c r="F32" s="134">
        <f t="shared" si="1"/>
        <v>55.488172247590065</v>
      </c>
      <c r="G32" s="132">
        <f t="shared" si="4"/>
        <v>0</v>
      </c>
      <c r="H32" s="132">
        <f t="shared" si="4"/>
        <v>0</v>
      </c>
      <c r="I32" s="134">
        <f t="shared" si="2"/>
        <v>55.488172247590065</v>
      </c>
      <c r="J32" s="134">
        <f t="shared" si="3"/>
        <v>139.99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111.14</v>
      </c>
      <c r="E33" s="132">
        <f t="shared" si="4"/>
        <v>31.93</v>
      </c>
      <c r="F33" s="134">
        <f t="shared" si="1"/>
        <v>56.708999238964992</v>
      </c>
      <c r="G33" s="132">
        <f t="shared" si="4"/>
        <v>0</v>
      </c>
      <c r="H33" s="132">
        <f t="shared" si="4"/>
        <v>0</v>
      </c>
      <c r="I33" s="134">
        <f t="shared" si="2"/>
        <v>56.708999238964992</v>
      </c>
      <c r="J33" s="134">
        <f t="shared" si="3"/>
        <v>143.07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113.59</v>
      </c>
      <c r="E34" s="132">
        <f t="shared" si="4"/>
        <v>32.630000000000003</v>
      </c>
      <c r="F34" s="134">
        <f t="shared" si="1"/>
        <v>57.957572298325729</v>
      </c>
      <c r="G34" s="132">
        <f t="shared" si="4"/>
        <v>0</v>
      </c>
      <c r="H34" s="132">
        <f t="shared" si="4"/>
        <v>0</v>
      </c>
      <c r="I34" s="134">
        <f t="shared" si="2"/>
        <v>57.957572298325729</v>
      </c>
      <c r="J34" s="134">
        <f t="shared" si="3"/>
        <v>146.22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116.09</v>
      </c>
      <c r="E35" s="132">
        <f t="shared" si="4"/>
        <v>33.35</v>
      </c>
      <c r="F35" s="134">
        <f t="shared" si="1"/>
        <v>59.233891425672255</v>
      </c>
      <c r="G35" s="132">
        <f t="shared" si="4"/>
        <v>0</v>
      </c>
      <c r="H35" s="132">
        <f t="shared" si="4"/>
        <v>0</v>
      </c>
      <c r="I35" s="134">
        <f t="shared" si="2"/>
        <v>59.233891425672255</v>
      </c>
      <c r="J35" s="134">
        <f t="shared" si="3"/>
        <v>149.44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118.76</v>
      </c>
      <c r="E36" s="132">
        <f t="shared" si="4"/>
        <v>34.119999999999997</v>
      </c>
      <c r="F36" s="134">
        <f t="shared" si="1"/>
        <v>60.597412480974128</v>
      </c>
      <c r="G36" s="132">
        <f t="shared" si="4"/>
        <v>0</v>
      </c>
      <c r="H36" s="132">
        <f t="shared" si="4"/>
        <v>0</v>
      </c>
      <c r="I36" s="134">
        <f t="shared" si="2"/>
        <v>60.597412480974128</v>
      </c>
      <c r="J36" s="134">
        <f t="shared" si="3"/>
        <v>152.88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OR Solar 2030'!D44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132</v>
      </c>
      <c r="C55" s="185">
        <v>1208.4830190730411</v>
      </c>
      <c r="D55" s="121" t="s">
        <v>73</v>
      </c>
      <c r="H55" s="121" t="s">
        <v>9</v>
      </c>
    </row>
    <row r="56" spans="2:24">
      <c r="B56" s="85" t="s">
        <v>110</v>
      </c>
      <c r="C56" s="154">
        <v>19.720289118454605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Oregon Update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4">
        <f t="shared" si="1"/>
        <v>8.145452815829529</v>
      </c>
      <c r="G13" s="132">
        <f t="shared" si="4"/>
        <v>0</v>
      </c>
      <c r="H13" s="132">
        <f t="shared" si="4"/>
        <v>0</v>
      </c>
      <c r="I13" s="134">
        <f t="shared" si="2"/>
        <v>8.145452815829529</v>
      </c>
      <c r="J13" s="134">
        <f t="shared" si="3"/>
        <v>20.55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</v>
      </c>
      <c r="F14" s="134">
        <f t="shared" si="1"/>
        <v>8.3238203957382044</v>
      </c>
      <c r="G14" s="132">
        <f t="shared" si="4"/>
        <v>0</v>
      </c>
      <c r="H14" s="132">
        <f t="shared" si="4"/>
        <v>0</v>
      </c>
      <c r="I14" s="134">
        <f t="shared" si="2"/>
        <v>8.3238203957382044</v>
      </c>
      <c r="J14" s="134">
        <f t="shared" si="3"/>
        <v>21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21.46</v>
      </c>
      <c r="F15" s="134">
        <f t="shared" si="1"/>
        <v>8.5061516996448514</v>
      </c>
      <c r="G15" s="132">
        <f t="shared" si="4"/>
        <v>0</v>
      </c>
      <c r="H15" s="132">
        <f t="shared" si="4"/>
        <v>0</v>
      </c>
      <c r="I15" s="134">
        <f t="shared" si="2"/>
        <v>8.5061516996448514</v>
      </c>
      <c r="J15" s="134">
        <f t="shared" si="3"/>
        <v>21.46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21.95</v>
      </c>
      <c r="F16" s="134">
        <f t="shared" si="1"/>
        <v>8.7003741755454094</v>
      </c>
      <c r="G16" s="132">
        <f t="shared" si="4"/>
        <v>0</v>
      </c>
      <c r="H16" s="132">
        <f t="shared" si="4"/>
        <v>0</v>
      </c>
      <c r="I16" s="134">
        <f t="shared" si="2"/>
        <v>8.7003741755454094</v>
      </c>
      <c r="J16" s="134">
        <f t="shared" si="3"/>
        <v>21.95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22.43</v>
      </c>
      <c r="F17" s="134">
        <f t="shared" si="1"/>
        <v>8.8906329274479958</v>
      </c>
      <c r="G17" s="132">
        <f t="shared" si="4"/>
        <v>0</v>
      </c>
      <c r="H17" s="132">
        <f t="shared" si="4"/>
        <v>0</v>
      </c>
      <c r="I17" s="134">
        <f t="shared" si="2"/>
        <v>8.8906329274479958</v>
      </c>
      <c r="J17" s="134">
        <f t="shared" si="3"/>
        <v>22.43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22.92</v>
      </c>
      <c r="F18" s="134">
        <f t="shared" si="1"/>
        <v>9.0848554033485556</v>
      </c>
      <c r="G18" s="132">
        <f t="shared" si="4"/>
        <v>0</v>
      </c>
      <c r="H18" s="132">
        <f t="shared" si="4"/>
        <v>0</v>
      </c>
      <c r="I18" s="134">
        <f t="shared" si="2"/>
        <v>9.0848554033485556</v>
      </c>
      <c r="J18" s="134">
        <f t="shared" si="3"/>
        <v>22.92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23.42</v>
      </c>
      <c r="F19" s="134">
        <f t="shared" si="1"/>
        <v>9.2830416032470833</v>
      </c>
      <c r="G19" s="132">
        <f t="shared" si="4"/>
        <v>0</v>
      </c>
      <c r="H19" s="132">
        <f t="shared" si="4"/>
        <v>0</v>
      </c>
      <c r="I19" s="134">
        <f t="shared" si="2"/>
        <v>9.2830416032470833</v>
      </c>
      <c r="J19" s="134">
        <f t="shared" si="3"/>
        <v>23.42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23.94</v>
      </c>
      <c r="F20" s="134">
        <f t="shared" si="1"/>
        <v>9.489155251141554</v>
      </c>
      <c r="G20" s="132">
        <f t="shared" si="4"/>
        <v>0</v>
      </c>
      <c r="H20" s="132">
        <f t="shared" si="4"/>
        <v>0</v>
      </c>
      <c r="I20" s="134">
        <f t="shared" si="2"/>
        <v>9.489155251141554</v>
      </c>
      <c r="J20" s="134">
        <f t="shared" si="3"/>
        <v>23.94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24.47</v>
      </c>
      <c r="F21" s="134">
        <f t="shared" si="1"/>
        <v>9.6992326230339927</v>
      </c>
      <c r="G21" s="132">
        <f t="shared" si="4"/>
        <v>0</v>
      </c>
      <c r="H21" s="132">
        <f t="shared" si="4"/>
        <v>0</v>
      </c>
      <c r="I21" s="134">
        <f t="shared" si="2"/>
        <v>9.6992326230339927</v>
      </c>
      <c r="J21" s="134">
        <f t="shared" si="3"/>
        <v>24.47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25.03</v>
      </c>
      <c r="F22" s="134">
        <f t="shared" si="1"/>
        <v>9.9212011669203459</v>
      </c>
      <c r="G22" s="132">
        <f t="shared" si="4"/>
        <v>0</v>
      </c>
      <c r="H22" s="132">
        <f t="shared" si="4"/>
        <v>0</v>
      </c>
      <c r="I22" s="134">
        <f t="shared" si="2"/>
        <v>9.9212011669203459</v>
      </c>
      <c r="J22" s="134">
        <f t="shared" si="3"/>
        <v>25.03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25.61</v>
      </c>
      <c r="F23" s="134">
        <f t="shared" si="1"/>
        <v>10.151097158802639</v>
      </c>
      <c r="G23" s="132">
        <f t="shared" si="4"/>
        <v>0</v>
      </c>
      <c r="H23" s="132">
        <f t="shared" si="4"/>
        <v>0</v>
      </c>
      <c r="I23" s="134">
        <f t="shared" si="2"/>
        <v>10.151097158802639</v>
      </c>
      <c r="J23" s="134">
        <f t="shared" si="3"/>
        <v>25.61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26.2</v>
      </c>
      <c r="F24" s="134">
        <f t="shared" si="1"/>
        <v>10.384956874682903</v>
      </c>
      <c r="G24" s="132">
        <f t="shared" si="4"/>
        <v>0</v>
      </c>
      <c r="H24" s="132">
        <f t="shared" si="4"/>
        <v>0</v>
      </c>
      <c r="I24" s="134">
        <f t="shared" si="2"/>
        <v>10.384956874682903</v>
      </c>
      <c r="J24" s="134">
        <f t="shared" si="3"/>
        <v>26.2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26.8</v>
      </c>
      <c r="F25" s="134">
        <f t="shared" si="1"/>
        <v>10.622780314561137</v>
      </c>
      <c r="G25" s="132">
        <f t="shared" si="4"/>
        <v>0</v>
      </c>
      <c r="H25" s="132">
        <f t="shared" si="4"/>
        <v>0</v>
      </c>
      <c r="I25" s="134">
        <f t="shared" si="2"/>
        <v>10.622780314561137</v>
      </c>
      <c r="J25" s="134">
        <f t="shared" si="3"/>
        <v>26.8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31">
        <f>$C$55</f>
        <v>1201.5946658643247</v>
      </c>
      <c r="D26" s="132">
        <f>C26*$C$62</f>
        <v>92.759025675209486</v>
      </c>
      <c r="E26" s="132">
        <f t="shared" si="4"/>
        <v>27.42</v>
      </c>
      <c r="F26" s="134">
        <f t="shared" si="1"/>
        <v>47.635648812154955</v>
      </c>
      <c r="G26" s="132">
        <f t="shared" si="4"/>
        <v>0</v>
      </c>
      <c r="H26" s="132">
        <f t="shared" si="4"/>
        <v>0</v>
      </c>
      <c r="I26" s="134">
        <f t="shared" si="2"/>
        <v>47.635648812154955</v>
      </c>
      <c r="J26" s="134">
        <f t="shared" si="3"/>
        <v>120.18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94.8</v>
      </c>
      <c r="E27" s="132">
        <f t="shared" si="4"/>
        <v>28.02</v>
      </c>
      <c r="F27" s="134">
        <f t="shared" si="1"/>
        <v>48.682458143074584</v>
      </c>
      <c r="G27" s="132">
        <f t="shared" si="4"/>
        <v>0</v>
      </c>
      <c r="H27" s="132">
        <f t="shared" si="4"/>
        <v>0</v>
      </c>
      <c r="I27" s="134">
        <f t="shared" si="2"/>
        <v>48.682458143074584</v>
      </c>
      <c r="J27" s="134">
        <f t="shared" si="3"/>
        <v>122.82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96.89</v>
      </c>
      <c r="E28" s="132">
        <f t="shared" si="4"/>
        <v>28.64</v>
      </c>
      <c r="F28" s="134">
        <f t="shared" si="1"/>
        <v>49.75662734652461</v>
      </c>
      <c r="G28" s="132">
        <f t="shared" si="4"/>
        <v>0</v>
      </c>
      <c r="H28" s="132">
        <f t="shared" si="4"/>
        <v>0</v>
      </c>
      <c r="I28" s="134">
        <f t="shared" si="2"/>
        <v>49.75662734652461</v>
      </c>
      <c r="J28" s="134">
        <f t="shared" si="3"/>
        <v>125.53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99.02</v>
      </c>
      <c r="E29" s="132">
        <f t="shared" si="4"/>
        <v>29.27</v>
      </c>
      <c r="F29" s="134">
        <f t="shared" si="1"/>
        <v>50.850615169964485</v>
      </c>
      <c r="G29" s="132">
        <f t="shared" si="4"/>
        <v>0</v>
      </c>
      <c r="H29" s="132">
        <f t="shared" si="4"/>
        <v>0</v>
      </c>
      <c r="I29" s="134">
        <f t="shared" si="2"/>
        <v>50.850615169964485</v>
      </c>
      <c r="J29" s="134">
        <f t="shared" si="3"/>
        <v>128.29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101.2</v>
      </c>
      <c r="E30" s="132">
        <f t="shared" si="4"/>
        <v>29.91</v>
      </c>
      <c r="F30" s="134">
        <f t="shared" si="1"/>
        <v>51.968385337392199</v>
      </c>
      <c r="G30" s="132">
        <f t="shared" si="4"/>
        <v>0</v>
      </c>
      <c r="H30" s="132">
        <f t="shared" si="4"/>
        <v>0</v>
      </c>
      <c r="I30" s="134">
        <f t="shared" si="2"/>
        <v>51.968385337392199</v>
      </c>
      <c r="J30" s="134">
        <f t="shared" si="3"/>
        <v>131.11000000000001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103.43</v>
      </c>
      <c r="E31" s="132">
        <f t="shared" si="4"/>
        <v>30.57</v>
      </c>
      <c r="F31" s="134">
        <f t="shared" si="1"/>
        <v>53.113901572805688</v>
      </c>
      <c r="G31" s="132">
        <f t="shared" si="4"/>
        <v>0</v>
      </c>
      <c r="H31" s="132">
        <f t="shared" si="4"/>
        <v>0</v>
      </c>
      <c r="I31" s="134">
        <f t="shared" si="2"/>
        <v>53.113901572805688</v>
      </c>
      <c r="J31" s="134">
        <f t="shared" si="3"/>
        <v>134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105.71</v>
      </c>
      <c r="E32" s="132">
        <f t="shared" si="4"/>
        <v>31.24</v>
      </c>
      <c r="F32" s="134">
        <f t="shared" si="1"/>
        <v>54.283200152207002</v>
      </c>
      <c r="G32" s="132">
        <f t="shared" si="4"/>
        <v>0</v>
      </c>
      <c r="H32" s="132">
        <f t="shared" si="4"/>
        <v>0</v>
      </c>
      <c r="I32" s="134">
        <f t="shared" si="2"/>
        <v>54.283200152207002</v>
      </c>
      <c r="J32" s="134">
        <f t="shared" si="3"/>
        <v>136.94999999999999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108.04</v>
      </c>
      <c r="E33" s="132">
        <f t="shared" si="4"/>
        <v>31.93</v>
      </c>
      <c r="F33" s="134">
        <f t="shared" si="1"/>
        <v>55.480244799594118</v>
      </c>
      <c r="G33" s="132">
        <f t="shared" si="4"/>
        <v>0</v>
      </c>
      <c r="H33" s="132">
        <f t="shared" si="4"/>
        <v>0</v>
      </c>
      <c r="I33" s="134">
        <f t="shared" si="2"/>
        <v>55.480244799594118</v>
      </c>
      <c r="J33" s="134">
        <f t="shared" si="3"/>
        <v>139.97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110.42</v>
      </c>
      <c r="E34" s="132">
        <f t="shared" si="4"/>
        <v>32.630000000000003</v>
      </c>
      <c r="F34" s="134">
        <f t="shared" si="1"/>
        <v>56.70107179096906</v>
      </c>
      <c r="G34" s="132">
        <f t="shared" si="4"/>
        <v>0</v>
      </c>
      <c r="H34" s="132">
        <f t="shared" si="4"/>
        <v>0</v>
      </c>
      <c r="I34" s="134">
        <f t="shared" si="2"/>
        <v>56.70107179096906</v>
      </c>
      <c r="J34" s="134">
        <f t="shared" si="3"/>
        <v>143.05000000000001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112.85</v>
      </c>
      <c r="E35" s="132">
        <f t="shared" si="4"/>
        <v>33.35</v>
      </c>
      <c r="F35" s="134">
        <f t="shared" si="1"/>
        <v>57.949644850329783</v>
      </c>
      <c r="G35" s="132">
        <f t="shared" si="4"/>
        <v>0</v>
      </c>
      <c r="H35" s="132">
        <f t="shared" si="4"/>
        <v>0</v>
      </c>
      <c r="I35" s="134">
        <f t="shared" si="2"/>
        <v>57.949644850329783</v>
      </c>
      <c r="J35" s="134">
        <f t="shared" si="3"/>
        <v>146.19999999999999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115.45</v>
      </c>
      <c r="E36" s="132">
        <f t="shared" si="4"/>
        <v>34.119999999999997</v>
      </c>
      <c r="F36" s="134">
        <f t="shared" si="1"/>
        <v>59.285419837645868</v>
      </c>
      <c r="G36" s="132">
        <f t="shared" si="4"/>
        <v>0</v>
      </c>
      <c r="H36" s="132">
        <f t="shared" si="4"/>
        <v>0</v>
      </c>
      <c r="I36" s="134">
        <f t="shared" si="2"/>
        <v>59.285419837645868</v>
      </c>
      <c r="J36" s="134">
        <f t="shared" si="3"/>
        <v>149.57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OR Solar 2031'!D44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Oregon Update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129</v>
      </c>
      <c r="C55" s="185">
        <v>1201.5946658643247</v>
      </c>
      <c r="D55" s="121" t="s">
        <v>73</v>
      </c>
      <c r="H55" s="121" t="s">
        <v>9</v>
      </c>
    </row>
    <row r="56" spans="2:24">
      <c r="B56" s="85" t="s">
        <v>110</v>
      </c>
      <c r="C56" s="154">
        <v>19.720289118454605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82</v>
      </c>
      <c r="J5" s="17" t="s">
        <v>54</v>
      </c>
      <c r="K5" s="125" t="s">
        <v>70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20.55</v>
      </c>
      <c r="F13" s="134">
        <f t="shared" si="1"/>
        <v>8.145452815829529</v>
      </c>
      <c r="G13" s="132">
        <f t="shared" si="4"/>
        <v>0</v>
      </c>
      <c r="H13" s="132">
        <f t="shared" si="4"/>
        <v>0</v>
      </c>
      <c r="I13" s="134">
        <f t="shared" si="2"/>
        <v>8.145452815829529</v>
      </c>
      <c r="J13" s="134">
        <f t="shared" si="3"/>
        <v>20.55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</v>
      </c>
      <c r="F14" s="134">
        <f t="shared" si="1"/>
        <v>8.3238203957382044</v>
      </c>
      <c r="G14" s="132">
        <f t="shared" si="4"/>
        <v>0</v>
      </c>
      <c r="H14" s="132">
        <f t="shared" si="4"/>
        <v>0</v>
      </c>
      <c r="I14" s="134">
        <f t="shared" si="2"/>
        <v>8.3238203957382044</v>
      </c>
      <c r="J14" s="134">
        <f t="shared" si="3"/>
        <v>21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21.46</v>
      </c>
      <c r="F15" s="134">
        <f t="shared" si="1"/>
        <v>8.5061516996448514</v>
      </c>
      <c r="G15" s="132">
        <f t="shared" si="4"/>
        <v>0</v>
      </c>
      <c r="H15" s="132">
        <f t="shared" si="4"/>
        <v>0</v>
      </c>
      <c r="I15" s="134">
        <f t="shared" si="2"/>
        <v>8.5061516996448514</v>
      </c>
      <c r="J15" s="134">
        <f t="shared" si="3"/>
        <v>21.46</v>
      </c>
      <c r="K15" s="132">
        <f t="shared" si="5"/>
        <v>0.66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21.95</v>
      </c>
      <c r="F16" s="134">
        <f t="shared" si="1"/>
        <v>8.7003741755454094</v>
      </c>
      <c r="G16" s="132">
        <f t="shared" si="4"/>
        <v>0</v>
      </c>
      <c r="H16" s="132">
        <f t="shared" si="4"/>
        <v>0</v>
      </c>
      <c r="I16" s="134">
        <f t="shared" si="2"/>
        <v>8.7003741755454094</v>
      </c>
      <c r="J16" s="134">
        <f t="shared" si="3"/>
        <v>21.95</v>
      </c>
      <c r="K16" s="132">
        <f t="shared" si="5"/>
        <v>0.68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22.43</v>
      </c>
      <c r="F17" s="134">
        <f t="shared" si="1"/>
        <v>8.8906329274479958</v>
      </c>
      <c r="G17" s="132">
        <f t="shared" si="4"/>
        <v>0</v>
      </c>
      <c r="H17" s="132">
        <f t="shared" si="4"/>
        <v>0</v>
      </c>
      <c r="I17" s="134">
        <f t="shared" si="2"/>
        <v>8.8906329274479958</v>
      </c>
      <c r="J17" s="134">
        <f t="shared" si="3"/>
        <v>22.43</v>
      </c>
      <c r="K17" s="132">
        <f t="shared" si="5"/>
        <v>0.69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22.92</v>
      </c>
      <c r="F18" s="134">
        <f t="shared" si="1"/>
        <v>9.0848554033485556</v>
      </c>
      <c r="G18" s="132">
        <f t="shared" si="4"/>
        <v>0</v>
      </c>
      <c r="H18" s="132">
        <f t="shared" si="4"/>
        <v>0</v>
      </c>
      <c r="I18" s="134">
        <f t="shared" si="2"/>
        <v>9.0848554033485556</v>
      </c>
      <c r="J18" s="134">
        <f t="shared" si="3"/>
        <v>22.92</v>
      </c>
      <c r="K18" s="132">
        <f t="shared" si="5"/>
        <v>0.71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23.42</v>
      </c>
      <c r="F19" s="134">
        <f t="shared" si="1"/>
        <v>9.2830416032470833</v>
      </c>
      <c r="G19" s="132">
        <f t="shared" si="4"/>
        <v>0</v>
      </c>
      <c r="H19" s="132">
        <f t="shared" si="4"/>
        <v>0</v>
      </c>
      <c r="I19" s="134">
        <f t="shared" si="2"/>
        <v>9.2830416032470833</v>
      </c>
      <c r="J19" s="134">
        <f t="shared" si="3"/>
        <v>23.42</v>
      </c>
      <c r="K19" s="132">
        <f t="shared" si="5"/>
        <v>0.73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23.94</v>
      </c>
      <c r="F20" s="134">
        <f t="shared" si="1"/>
        <v>9.489155251141554</v>
      </c>
      <c r="G20" s="132">
        <f t="shared" si="4"/>
        <v>0</v>
      </c>
      <c r="H20" s="132">
        <f t="shared" si="4"/>
        <v>0</v>
      </c>
      <c r="I20" s="134">
        <f t="shared" si="2"/>
        <v>9.489155251141554</v>
      </c>
      <c r="J20" s="134">
        <f t="shared" si="3"/>
        <v>23.94</v>
      </c>
      <c r="K20" s="132">
        <f t="shared" si="5"/>
        <v>0.75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24.47</v>
      </c>
      <c r="F21" s="134">
        <f t="shared" si="1"/>
        <v>9.6992326230339927</v>
      </c>
      <c r="G21" s="132">
        <f t="shared" si="4"/>
        <v>0</v>
      </c>
      <c r="H21" s="132">
        <f t="shared" si="4"/>
        <v>0</v>
      </c>
      <c r="I21" s="134">
        <f t="shared" si="2"/>
        <v>9.6992326230339927</v>
      </c>
      <c r="J21" s="134">
        <f t="shared" si="3"/>
        <v>24.47</v>
      </c>
      <c r="K21" s="132">
        <f t="shared" si="5"/>
        <v>0.77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25.03</v>
      </c>
      <c r="F22" s="134">
        <f t="shared" si="1"/>
        <v>9.9212011669203459</v>
      </c>
      <c r="G22" s="132">
        <f t="shared" si="4"/>
        <v>0</v>
      </c>
      <c r="H22" s="132">
        <f t="shared" si="4"/>
        <v>0</v>
      </c>
      <c r="I22" s="134">
        <f t="shared" si="2"/>
        <v>9.9212011669203459</v>
      </c>
      <c r="J22" s="134">
        <f t="shared" si="3"/>
        <v>25.03</v>
      </c>
      <c r="K22" s="132">
        <f t="shared" si="5"/>
        <v>0.79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25.61</v>
      </c>
      <c r="F23" s="134">
        <f t="shared" si="1"/>
        <v>10.151097158802639</v>
      </c>
      <c r="G23" s="132">
        <f t="shared" si="4"/>
        <v>0</v>
      </c>
      <c r="H23" s="132">
        <f t="shared" si="4"/>
        <v>0</v>
      </c>
      <c r="I23" s="134">
        <f t="shared" si="2"/>
        <v>10.151097158802639</v>
      </c>
      <c r="J23" s="134">
        <f t="shared" si="3"/>
        <v>25.61</v>
      </c>
      <c r="K23" s="132">
        <f t="shared" si="5"/>
        <v>0.81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26.2</v>
      </c>
      <c r="F24" s="134">
        <f t="shared" si="1"/>
        <v>10.384956874682903</v>
      </c>
      <c r="G24" s="132">
        <f t="shared" si="4"/>
        <v>0</v>
      </c>
      <c r="H24" s="132">
        <f t="shared" si="4"/>
        <v>0</v>
      </c>
      <c r="I24" s="134">
        <f t="shared" si="2"/>
        <v>10.384956874682903</v>
      </c>
      <c r="J24" s="134">
        <f t="shared" si="3"/>
        <v>26.2</v>
      </c>
      <c r="K24" s="132">
        <f t="shared" si="5"/>
        <v>0.83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26.8</v>
      </c>
      <c r="F25" s="134">
        <f t="shared" si="1"/>
        <v>10.622780314561137</v>
      </c>
      <c r="G25" s="132">
        <f t="shared" si="4"/>
        <v>0</v>
      </c>
      <c r="H25" s="132">
        <f t="shared" si="4"/>
        <v>0</v>
      </c>
      <c r="I25" s="134">
        <f t="shared" si="2"/>
        <v>10.622780314561137</v>
      </c>
      <c r="J25" s="134">
        <f t="shared" si="3"/>
        <v>26.8</v>
      </c>
      <c r="K25" s="132">
        <f t="shared" si="5"/>
        <v>0.85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27.42</v>
      </c>
      <c r="F26" s="134">
        <f t="shared" si="1"/>
        <v>10.868531202435314</v>
      </c>
      <c r="G26" s="132">
        <f t="shared" si="4"/>
        <v>0</v>
      </c>
      <c r="H26" s="132">
        <f t="shared" si="4"/>
        <v>0</v>
      </c>
      <c r="I26" s="134">
        <f t="shared" si="2"/>
        <v>10.868531202435314</v>
      </c>
      <c r="J26" s="134">
        <f t="shared" si="3"/>
        <v>27.42</v>
      </c>
      <c r="K26" s="132">
        <f t="shared" si="5"/>
        <v>0.87</v>
      </c>
      <c r="L26" s="123"/>
      <c r="P26" s="169"/>
    </row>
    <row r="27" spans="2:17">
      <c r="B27" s="140">
        <f t="shared" si="0"/>
        <v>2033</v>
      </c>
      <c r="C27" s="131">
        <f>$C$55</f>
        <v>1194.745576268898</v>
      </c>
      <c r="D27" s="132">
        <f>C27*$C$62</f>
        <v>92.230299228860787</v>
      </c>
      <c r="E27" s="132">
        <f t="shared" si="4"/>
        <v>28.02</v>
      </c>
      <c r="F27" s="134">
        <f t="shared" si="1"/>
        <v>47.663899681657782</v>
      </c>
      <c r="G27" s="132">
        <f t="shared" si="4"/>
        <v>0</v>
      </c>
      <c r="H27" s="132">
        <f t="shared" si="4"/>
        <v>0</v>
      </c>
      <c r="I27" s="134">
        <f t="shared" si="2"/>
        <v>47.663899681657782</v>
      </c>
      <c r="J27" s="134">
        <f t="shared" si="3"/>
        <v>120.25</v>
      </c>
      <c r="K27" s="132">
        <f t="shared" si="5"/>
        <v>0.89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94.26</v>
      </c>
      <c r="E28" s="132">
        <f t="shared" si="4"/>
        <v>28.64</v>
      </c>
      <c r="F28" s="134">
        <f t="shared" si="1"/>
        <v>48.714167935058356</v>
      </c>
      <c r="G28" s="132">
        <f t="shared" si="4"/>
        <v>0</v>
      </c>
      <c r="H28" s="132">
        <f t="shared" si="4"/>
        <v>0</v>
      </c>
      <c r="I28" s="134">
        <f t="shared" si="2"/>
        <v>48.714167935058356</v>
      </c>
      <c r="J28" s="134">
        <f t="shared" si="3"/>
        <v>122.9</v>
      </c>
      <c r="K28" s="132">
        <f t="shared" si="5"/>
        <v>0.91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96.33</v>
      </c>
      <c r="E29" s="132">
        <f t="shared" si="4"/>
        <v>29.27</v>
      </c>
      <c r="F29" s="134">
        <f t="shared" si="1"/>
        <v>49.784373414510405</v>
      </c>
      <c r="G29" s="132">
        <f t="shared" si="4"/>
        <v>0</v>
      </c>
      <c r="H29" s="132">
        <f t="shared" si="4"/>
        <v>0</v>
      </c>
      <c r="I29" s="134">
        <f t="shared" si="2"/>
        <v>49.784373414510405</v>
      </c>
      <c r="J29" s="134">
        <f t="shared" si="3"/>
        <v>125.6</v>
      </c>
      <c r="K29" s="132">
        <f t="shared" si="5"/>
        <v>0.93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98.45</v>
      </c>
      <c r="E30" s="132">
        <f t="shared" si="4"/>
        <v>29.91</v>
      </c>
      <c r="F30" s="134">
        <f t="shared" si="1"/>
        <v>50.878361237950287</v>
      </c>
      <c r="G30" s="132">
        <f t="shared" si="4"/>
        <v>0</v>
      </c>
      <c r="H30" s="132">
        <f t="shared" si="4"/>
        <v>0</v>
      </c>
      <c r="I30" s="134">
        <f t="shared" si="2"/>
        <v>50.878361237950287</v>
      </c>
      <c r="J30" s="134">
        <f t="shared" si="3"/>
        <v>128.36000000000001</v>
      </c>
      <c r="K30" s="132">
        <f t="shared" si="5"/>
        <v>0.95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100.62</v>
      </c>
      <c r="E31" s="132">
        <f t="shared" si="4"/>
        <v>30.57</v>
      </c>
      <c r="F31" s="134">
        <f t="shared" si="1"/>
        <v>52.000095129375957</v>
      </c>
      <c r="G31" s="132">
        <f t="shared" si="4"/>
        <v>0</v>
      </c>
      <c r="H31" s="132">
        <f t="shared" si="4"/>
        <v>0</v>
      </c>
      <c r="I31" s="134">
        <f t="shared" si="2"/>
        <v>52.000095129375957</v>
      </c>
      <c r="J31" s="134">
        <f t="shared" si="3"/>
        <v>131.19</v>
      </c>
      <c r="K31" s="132">
        <f t="shared" si="5"/>
        <v>0.97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102.83</v>
      </c>
      <c r="E32" s="132">
        <f t="shared" si="4"/>
        <v>31.24</v>
      </c>
      <c r="F32" s="134">
        <f t="shared" si="1"/>
        <v>53.141647640791476</v>
      </c>
      <c r="G32" s="132">
        <f t="shared" si="4"/>
        <v>0</v>
      </c>
      <c r="H32" s="132">
        <f t="shared" si="4"/>
        <v>0</v>
      </c>
      <c r="I32" s="134">
        <f t="shared" si="2"/>
        <v>53.141647640791476</v>
      </c>
      <c r="J32" s="134">
        <f t="shared" si="3"/>
        <v>134.07</v>
      </c>
      <c r="K32" s="132">
        <f t="shared" si="5"/>
        <v>0.99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105.09</v>
      </c>
      <c r="E33" s="132">
        <f t="shared" si="4"/>
        <v>31.93</v>
      </c>
      <c r="F33" s="134">
        <f t="shared" si="1"/>
        <v>54.310946220192804</v>
      </c>
      <c r="G33" s="132">
        <f t="shared" si="4"/>
        <v>0</v>
      </c>
      <c r="H33" s="132">
        <f t="shared" si="4"/>
        <v>0</v>
      </c>
      <c r="I33" s="134">
        <f t="shared" si="2"/>
        <v>54.310946220192804</v>
      </c>
      <c r="J33" s="134">
        <f t="shared" si="3"/>
        <v>137.02000000000001</v>
      </c>
      <c r="K33" s="132">
        <f t="shared" si="5"/>
        <v>1.01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107.4</v>
      </c>
      <c r="E34" s="132">
        <f t="shared" si="4"/>
        <v>32.630000000000003</v>
      </c>
      <c r="F34" s="134">
        <f t="shared" si="1"/>
        <v>55.504027143581943</v>
      </c>
      <c r="G34" s="132">
        <f t="shared" si="4"/>
        <v>0</v>
      </c>
      <c r="H34" s="132">
        <f t="shared" si="4"/>
        <v>0</v>
      </c>
      <c r="I34" s="134">
        <f t="shared" si="2"/>
        <v>55.504027143581943</v>
      </c>
      <c r="J34" s="134">
        <f t="shared" si="3"/>
        <v>140.03</v>
      </c>
      <c r="K34" s="132">
        <f t="shared" si="5"/>
        <v>1.03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109.76</v>
      </c>
      <c r="E35" s="132">
        <f t="shared" si="4"/>
        <v>33.35</v>
      </c>
      <c r="F35" s="134">
        <f t="shared" si="1"/>
        <v>56.724854134956885</v>
      </c>
      <c r="G35" s="132">
        <f t="shared" si="4"/>
        <v>0</v>
      </c>
      <c r="H35" s="132">
        <f t="shared" si="4"/>
        <v>0</v>
      </c>
      <c r="I35" s="134">
        <f t="shared" si="2"/>
        <v>56.724854134956885</v>
      </c>
      <c r="J35" s="134">
        <f t="shared" si="3"/>
        <v>143.11000000000001</v>
      </c>
      <c r="K35" s="132">
        <f t="shared" si="5"/>
        <v>1.05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112.28</v>
      </c>
      <c r="E36" s="132">
        <f t="shared" si="4"/>
        <v>34.119999999999997</v>
      </c>
      <c r="F36" s="134">
        <f t="shared" si="1"/>
        <v>58.028919330289199</v>
      </c>
      <c r="G36" s="132">
        <f t="shared" si="4"/>
        <v>0</v>
      </c>
      <c r="H36" s="132">
        <f t="shared" si="4"/>
        <v>0</v>
      </c>
      <c r="I36" s="134">
        <f t="shared" si="2"/>
        <v>58.028919330289199</v>
      </c>
      <c r="J36" s="134">
        <f t="shared" si="3"/>
        <v>146.4</v>
      </c>
      <c r="K36" s="132">
        <f t="shared" si="5"/>
        <v>1.07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OR Solar 2032'!D44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80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1194.745576268898</v>
      </c>
      <c r="D55" s="121" t="s">
        <v>73</v>
      </c>
      <c r="H55" s="121" t="s">
        <v>9</v>
      </c>
    </row>
    <row r="56" spans="2:24">
      <c r="B56" s="85" t="s">
        <v>110</v>
      </c>
      <c r="C56" s="154">
        <v>19.720289118454605</v>
      </c>
      <c r="D56" s="121" t="s">
        <v>76</v>
      </c>
      <c r="H56" s="121" t="s">
        <v>9</v>
      </c>
    </row>
    <row r="57" spans="2:24">
      <c r="B57" s="85" t="s">
        <v>110</v>
      </c>
      <c r="C57" s="159">
        <v>0.61668809999999996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37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38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85"/>
      <c r="I69" s="87">
        <f t="shared" si="8"/>
        <v>2038</v>
      </c>
      <c r="J69" s="41">
        <v>2.1999999999999999E-2</v>
      </c>
    </row>
    <row r="70" spans="3:11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2.1999999999999999E-2</v>
      </c>
    </row>
    <row r="71" spans="3:11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2.1999999999999999E-2</v>
      </c>
    </row>
    <row r="72" spans="3:11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2.1999999999999999E-2</v>
      </c>
    </row>
    <row r="73" spans="3:11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3" width="9.33203125" style="121"/>
    <col min="14" max="14" width="15.83203125" style="121" customWidth="1"/>
    <col min="15" max="15" width="14.83203125" style="172" customWidth="1"/>
    <col min="16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115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7" t="s">
        <v>119</v>
      </c>
      <c r="I5" s="125" t="s">
        <v>69</v>
      </c>
      <c r="J5" s="125" t="s">
        <v>87</v>
      </c>
      <c r="K5" s="17" t="s">
        <v>54</v>
      </c>
      <c r="L5" s="125" t="s">
        <v>70</v>
      </c>
      <c r="N5" s="246" t="s">
        <v>155</v>
      </c>
      <c r="O5" s="246" t="s">
        <v>156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8" t="s">
        <v>32</v>
      </c>
      <c r="I6" s="127" t="s">
        <v>32</v>
      </c>
      <c r="J6" s="127" t="s">
        <v>32</v>
      </c>
      <c r="K6" s="19" t="s">
        <v>9</v>
      </c>
      <c r="L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23</v>
      </c>
      <c r="K7" s="129" t="s">
        <v>24</v>
      </c>
      <c r="L7" s="129" t="s">
        <v>24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(F11+G11+H11)*N11/12+I11*O11/12</f>
        <v>10.713653357219195</v>
      </c>
      <c r="K11" s="134">
        <f t="shared" ref="K11:K36" si="2">ROUND(J11*$C$63*8.76,2)</f>
        <v>36.409999999999997</v>
      </c>
      <c r="L11" s="132">
        <f>$C$57</f>
        <v>0.58600709999999989</v>
      </c>
      <c r="N11" s="121">
        <v>12</v>
      </c>
      <c r="O11" s="121">
        <v>12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(F12+G12+H12)*N12/12+I12*O12/12</f>
        <v>10.965284562267735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N12" s="121">
        <v>12</v>
      </c>
      <c r="O12" s="121">
        <v>12</v>
      </c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27.41</v>
      </c>
      <c r="F13" s="134">
        <f t="shared" si="1"/>
        <v>8.0653512956044118</v>
      </c>
      <c r="G13" s="132">
        <f t="shared" si="4"/>
        <v>1.23</v>
      </c>
      <c r="H13" s="132">
        <f t="shared" si="4"/>
        <v>1.87</v>
      </c>
      <c r="I13" s="132"/>
      <c r="J13" s="134">
        <f t="shared" si="3"/>
        <v>11.165351295604415</v>
      </c>
      <c r="K13" s="134">
        <f t="shared" si="2"/>
        <v>37.950000000000003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N13" s="121">
        <v>12</v>
      </c>
      <c r="O13" s="121">
        <v>12</v>
      </c>
    </row>
    <row r="14" spans="2:18">
      <c r="B14" s="140">
        <f t="shared" si="0"/>
        <v>2020</v>
      </c>
      <c r="C14" s="141">
        <f>$C$55</f>
        <v>1293.6882754756971</v>
      </c>
      <c r="D14" s="132">
        <f>C14*$C$62</f>
        <v>68.357849825124617</v>
      </c>
      <c r="E14" s="132">
        <f t="shared" si="4"/>
        <v>28.01</v>
      </c>
      <c r="F14" s="134">
        <f t="shared" si="1"/>
        <v>28.356094944971915</v>
      </c>
      <c r="G14" s="132">
        <f t="shared" si="4"/>
        <v>1.26</v>
      </c>
      <c r="H14" s="132">
        <f t="shared" si="4"/>
        <v>1.91</v>
      </c>
      <c r="I14" s="132">
        <v>-33.15</v>
      </c>
      <c r="J14" s="134">
        <f t="shared" si="3"/>
        <v>-0.27065084250468008</v>
      </c>
      <c r="K14" s="134">
        <f t="shared" si="2"/>
        <v>-0.92</v>
      </c>
      <c r="L14" s="132">
        <f t="shared" si="5"/>
        <v>0.62</v>
      </c>
      <c r="M14" s="123"/>
      <c r="N14" s="121">
        <v>2</v>
      </c>
      <c r="O14" s="121">
        <v>2</v>
      </c>
      <c r="P14" s="137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69.86</v>
      </c>
      <c r="E15" s="132">
        <f t="shared" si="4"/>
        <v>28.63</v>
      </c>
      <c r="F15" s="134">
        <f t="shared" si="1"/>
        <v>28.980534443782503</v>
      </c>
      <c r="G15" s="132">
        <f t="shared" si="4"/>
        <v>1.29</v>
      </c>
      <c r="H15" s="132">
        <f t="shared" si="4"/>
        <v>1.95</v>
      </c>
      <c r="I15" s="132">
        <v>-34.479999999999997</v>
      </c>
      <c r="J15" s="134">
        <f t="shared" si="3"/>
        <v>-2.2594655562174921</v>
      </c>
      <c r="K15" s="134">
        <f t="shared" si="2"/>
        <v>-7.68</v>
      </c>
      <c r="L15" s="132">
        <f t="shared" si="5"/>
        <v>0.63</v>
      </c>
      <c r="M15" s="123"/>
      <c r="N15" s="121">
        <v>12</v>
      </c>
      <c r="O15" s="121">
        <v>12</v>
      </c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71.47</v>
      </c>
      <c r="E16" s="132">
        <f t="shared" si="4"/>
        <v>29.29</v>
      </c>
      <c r="F16" s="134">
        <f t="shared" si="1"/>
        <v>29.648478531379073</v>
      </c>
      <c r="G16" s="132">
        <f t="shared" si="4"/>
        <v>1.32</v>
      </c>
      <c r="H16" s="132">
        <f t="shared" si="4"/>
        <v>1.99</v>
      </c>
      <c r="I16" s="132">
        <v>-34.479999999999997</v>
      </c>
      <c r="J16" s="134">
        <f t="shared" si="3"/>
        <v>-1.5215214686209251</v>
      </c>
      <c r="K16" s="134">
        <f t="shared" si="2"/>
        <v>-5.17</v>
      </c>
      <c r="L16" s="132">
        <f t="shared" si="5"/>
        <v>0.64</v>
      </c>
      <c r="M16" s="123"/>
      <c r="N16" s="121">
        <v>12</v>
      </c>
      <c r="O16" s="121">
        <v>12</v>
      </c>
    </row>
    <row r="17" spans="2:17">
      <c r="B17" s="140">
        <f t="shared" si="0"/>
        <v>2023</v>
      </c>
      <c r="C17" s="141"/>
      <c r="D17" s="132">
        <f t="shared" si="4"/>
        <v>73.040000000000006</v>
      </c>
      <c r="E17" s="132">
        <f t="shared" si="4"/>
        <v>29.93</v>
      </c>
      <c r="F17" s="134">
        <f t="shared" si="1"/>
        <v>30.298767709171333</v>
      </c>
      <c r="G17" s="132">
        <f t="shared" si="4"/>
        <v>1.35</v>
      </c>
      <c r="H17" s="132">
        <f t="shared" si="4"/>
        <v>2.0299999999999998</v>
      </c>
      <c r="I17" s="132">
        <v>-35.799999999999997</v>
      </c>
      <c r="J17" s="134">
        <f t="shared" si="3"/>
        <v>-2.1212322908286652</v>
      </c>
      <c r="K17" s="134">
        <f t="shared" si="2"/>
        <v>-7.21</v>
      </c>
      <c r="L17" s="132">
        <f t="shared" si="5"/>
        <v>0.65</v>
      </c>
      <c r="M17" s="123"/>
      <c r="N17" s="121">
        <v>12</v>
      </c>
      <c r="O17" s="121">
        <v>12</v>
      </c>
      <c r="P17" s="137"/>
    </row>
    <row r="18" spans="2:17">
      <c r="B18" s="140">
        <f t="shared" si="0"/>
        <v>2024</v>
      </c>
      <c r="C18" s="141"/>
      <c r="D18" s="132">
        <f t="shared" si="4"/>
        <v>74.650000000000006</v>
      </c>
      <c r="E18" s="132">
        <f t="shared" si="4"/>
        <v>30.59</v>
      </c>
      <c r="F18" s="134">
        <f t="shared" si="1"/>
        <v>30.966711796767907</v>
      </c>
      <c r="G18" s="132">
        <f t="shared" si="4"/>
        <v>1.38</v>
      </c>
      <c r="H18" s="132">
        <f t="shared" si="4"/>
        <v>2.0699999999999998</v>
      </c>
      <c r="I18" s="132">
        <v>-35.799999999999997</v>
      </c>
      <c r="J18" s="134">
        <f t="shared" si="3"/>
        <v>-1.383288203232091</v>
      </c>
      <c r="K18" s="134">
        <f t="shared" si="2"/>
        <v>-4.7</v>
      </c>
      <c r="L18" s="132">
        <f t="shared" si="5"/>
        <v>0.66</v>
      </c>
      <c r="M18" s="123"/>
      <c r="N18" s="121">
        <v>12</v>
      </c>
      <c r="O18" s="121">
        <v>12</v>
      </c>
    </row>
    <row r="19" spans="2:17">
      <c r="B19" s="140">
        <f t="shared" si="0"/>
        <v>2025</v>
      </c>
      <c r="C19" s="141"/>
      <c r="D19" s="132">
        <f t="shared" si="4"/>
        <v>76.290000000000006</v>
      </c>
      <c r="E19" s="132">
        <f t="shared" si="4"/>
        <v>31.26</v>
      </c>
      <c r="F19" s="134">
        <f t="shared" si="1"/>
        <v>31.646425824234022</v>
      </c>
      <c r="G19" s="132">
        <f t="shared" si="4"/>
        <v>1.41</v>
      </c>
      <c r="H19" s="132">
        <f t="shared" si="4"/>
        <v>2.12</v>
      </c>
      <c r="I19" s="132">
        <v>-37.130000000000003</v>
      </c>
      <c r="J19" s="134">
        <f t="shared" si="3"/>
        <v>-1.9535741757659864</v>
      </c>
      <c r="K19" s="134">
        <f t="shared" si="2"/>
        <v>-6.64</v>
      </c>
      <c r="L19" s="132">
        <f t="shared" si="5"/>
        <v>0.67</v>
      </c>
      <c r="M19" s="123"/>
      <c r="N19" s="121">
        <v>12</v>
      </c>
      <c r="O19" s="121">
        <v>12</v>
      </c>
    </row>
    <row r="20" spans="2:17">
      <c r="B20" s="140">
        <f t="shared" si="0"/>
        <v>2026</v>
      </c>
      <c r="C20" s="141"/>
      <c r="D20" s="132">
        <f t="shared" si="4"/>
        <v>77.97</v>
      </c>
      <c r="E20" s="132">
        <f t="shared" si="4"/>
        <v>31.95</v>
      </c>
      <c r="F20" s="134">
        <f t="shared" si="1"/>
        <v>32.343794761504448</v>
      </c>
      <c r="G20" s="132">
        <f t="shared" si="4"/>
        <v>1.44</v>
      </c>
      <c r="H20" s="132">
        <f t="shared" si="4"/>
        <v>2.17</v>
      </c>
      <c r="I20" s="132">
        <v>-37.130000000000003</v>
      </c>
      <c r="J20" s="134">
        <f t="shared" si="3"/>
        <v>-1.1762052384955552</v>
      </c>
      <c r="K20" s="134">
        <f t="shared" si="2"/>
        <v>-4</v>
      </c>
      <c r="L20" s="132">
        <f t="shared" si="5"/>
        <v>0.68</v>
      </c>
      <c r="M20" s="123"/>
      <c r="N20" s="121">
        <v>12</v>
      </c>
      <c r="O20" s="121">
        <v>12</v>
      </c>
      <c r="Q20" s="170"/>
    </row>
    <row r="21" spans="2:17">
      <c r="B21" s="140">
        <f t="shared" si="0"/>
        <v>2027</v>
      </c>
      <c r="C21" s="141"/>
      <c r="D21" s="132">
        <f t="shared" si="4"/>
        <v>79.69</v>
      </c>
      <c r="E21" s="132">
        <f t="shared" si="4"/>
        <v>32.65</v>
      </c>
      <c r="F21" s="134">
        <f t="shared" si="1"/>
        <v>33.055876123611803</v>
      </c>
      <c r="G21" s="132">
        <f t="shared" si="4"/>
        <v>1.47</v>
      </c>
      <c r="H21" s="132">
        <f t="shared" si="4"/>
        <v>2.2200000000000002</v>
      </c>
      <c r="I21" s="132">
        <v>-38.450000000000003</v>
      </c>
      <c r="J21" s="134">
        <f t="shared" si="3"/>
        <v>-1.7041238763882021</v>
      </c>
      <c r="K21" s="134">
        <f t="shared" si="2"/>
        <v>-5.79</v>
      </c>
      <c r="L21" s="132">
        <f t="shared" si="5"/>
        <v>0.69</v>
      </c>
      <c r="M21" s="123"/>
      <c r="N21" s="121">
        <v>12</v>
      </c>
      <c r="O21" s="121">
        <v>12</v>
      </c>
    </row>
    <row r="22" spans="2:17">
      <c r="B22" s="140">
        <f t="shared" si="0"/>
        <v>2028</v>
      </c>
      <c r="C22" s="141"/>
      <c r="D22" s="132">
        <f t="shared" si="4"/>
        <v>81.52</v>
      </c>
      <c r="E22" s="132">
        <f t="shared" si="4"/>
        <v>33.4</v>
      </c>
      <c r="F22" s="134">
        <f t="shared" si="1"/>
        <v>33.815037245197331</v>
      </c>
      <c r="G22" s="132">
        <f t="shared" si="4"/>
        <v>1.5</v>
      </c>
      <c r="H22" s="132">
        <f t="shared" si="4"/>
        <v>2.27</v>
      </c>
      <c r="I22" s="132">
        <v>-38.450000000000003</v>
      </c>
      <c r="J22" s="134">
        <f t="shared" si="3"/>
        <v>-0.8649627548026686</v>
      </c>
      <c r="K22" s="134">
        <f t="shared" si="2"/>
        <v>-2.94</v>
      </c>
      <c r="L22" s="132">
        <f t="shared" si="5"/>
        <v>0.71</v>
      </c>
      <c r="M22" s="123"/>
      <c r="N22" s="121">
        <v>12</v>
      </c>
      <c r="O22" s="121">
        <v>12</v>
      </c>
    </row>
    <row r="23" spans="2:17">
      <c r="B23" s="140">
        <f t="shared" si="0"/>
        <v>2029</v>
      </c>
      <c r="C23" s="141"/>
      <c r="D23" s="132">
        <f t="shared" si="4"/>
        <v>83.39</v>
      </c>
      <c r="E23" s="132">
        <f t="shared" si="4"/>
        <v>34.17</v>
      </c>
      <c r="F23" s="134">
        <f t="shared" si="1"/>
        <v>34.59185327658718</v>
      </c>
      <c r="G23" s="132">
        <f t="shared" si="4"/>
        <v>1.53</v>
      </c>
      <c r="H23" s="132">
        <f t="shared" si="4"/>
        <v>2.3199999999999998</v>
      </c>
      <c r="I23" s="132">
        <v>-39.78</v>
      </c>
      <c r="J23" s="134">
        <f t="shared" si="3"/>
        <v>-1.3381467234128195</v>
      </c>
      <c r="K23" s="134">
        <f t="shared" si="2"/>
        <v>-4.55</v>
      </c>
      <c r="L23" s="132">
        <f t="shared" si="5"/>
        <v>0.73</v>
      </c>
      <c r="M23" s="123"/>
      <c r="N23" s="121">
        <v>12</v>
      </c>
      <c r="O23" s="121">
        <v>12</v>
      </c>
    </row>
    <row r="24" spans="2:17">
      <c r="B24" s="140">
        <f t="shared" si="0"/>
        <v>2030</v>
      </c>
      <c r="C24" s="141"/>
      <c r="D24" s="132">
        <f t="shared" si="4"/>
        <v>85.31</v>
      </c>
      <c r="E24" s="132">
        <f t="shared" si="4"/>
        <v>34.96</v>
      </c>
      <c r="F24" s="134">
        <f t="shared" si="1"/>
        <v>35.389266702748728</v>
      </c>
      <c r="G24" s="132">
        <f t="shared" si="4"/>
        <v>1.57</v>
      </c>
      <c r="H24" s="132">
        <f t="shared" si="4"/>
        <v>2.37</v>
      </c>
      <c r="I24" s="132">
        <v>-41.11</v>
      </c>
      <c r="J24" s="134">
        <f t="shared" si="3"/>
        <v>5.0709333694153926</v>
      </c>
      <c r="K24" s="134">
        <f t="shared" si="2"/>
        <v>17.23</v>
      </c>
      <c r="L24" s="132">
        <f t="shared" si="5"/>
        <v>0.75</v>
      </c>
      <c r="M24" s="123"/>
      <c r="N24" s="121">
        <v>12</v>
      </c>
      <c r="O24" s="121">
        <v>10</v>
      </c>
    </row>
    <row r="25" spans="2:17">
      <c r="B25" s="140">
        <f t="shared" si="0"/>
        <v>2031</v>
      </c>
      <c r="C25" s="141"/>
      <c r="D25" s="132">
        <f t="shared" si="4"/>
        <v>87.27</v>
      </c>
      <c r="E25" s="132">
        <f t="shared" si="4"/>
        <v>35.76</v>
      </c>
      <c r="F25" s="134">
        <f t="shared" si="1"/>
        <v>36.201392553747198</v>
      </c>
      <c r="G25" s="132">
        <f t="shared" si="4"/>
        <v>1.61</v>
      </c>
      <c r="H25" s="132">
        <f t="shared" si="4"/>
        <v>2.42</v>
      </c>
      <c r="I25" s="132"/>
      <c r="J25" s="134">
        <f t="shared" si="3"/>
        <v>40.231392553747199</v>
      </c>
      <c r="K25" s="134">
        <f t="shared" si="2"/>
        <v>136.72999999999999</v>
      </c>
      <c r="L25" s="132">
        <f t="shared" si="5"/>
        <v>0.77</v>
      </c>
      <c r="M25" s="123"/>
      <c r="N25" s="121">
        <v>12</v>
      </c>
      <c r="O25" s="121"/>
    </row>
    <row r="26" spans="2:17">
      <c r="B26" s="140">
        <f t="shared" si="0"/>
        <v>2032</v>
      </c>
      <c r="C26" s="141"/>
      <c r="D26" s="132">
        <f t="shared" si="4"/>
        <v>89.28</v>
      </c>
      <c r="E26" s="132">
        <f t="shared" si="4"/>
        <v>36.58</v>
      </c>
      <c r="F26" s="134">
        <f t="shared" si="1"/>
        <v>37.034115799517373</v>
      </c>
      <c r="G26" s="132">
        <f t="shared" si="4"/>
        <v>1.65</v>
      </c>
      <c r="H26" s="132">
        <f t="shared" si="4"/>
        <v>2.48</v>
      </c>
      <c r="I26" s="132"/>
      <c r="J26" s="134">
        <f t="shared" si="3"/>
        <v>41.164115799517369</v>
      </c>
      <c r="K26" s="134">
        <f t="shared" si="2"/>
        <v>139.9</v>
      </c>
      <c r="L26" s="132">
        <f t="shared" si="5"/>
        <v>0.79</v>
      </c>
      <c r="M26" s="123"/>
      <c r="N26" s="121">
        <v>12</v>
      </c>
      <c r="O26" s="121"/>
    </row>
    <row r="27" spans="2:17">
      <c r="B27" s="140">
        <f t="shared" si="0"/>
        <v>2033</v>
      </c>
      <c r="C27" s="141"/>
      <c r="D27" s="132">
        <f t="shared" si="4"/>
        <v>91.24</v>
      </c>
      <c r="E27" s="132">
        <f t="shared" si="4"/>
        <v>37.380000000000003</v>
      </c>
      <c r="F27" s="134">
        <f t="shared" si="1"/>
        <v>37.84624165051585</v>
      </c>
      <c r="G27" s="132">
        <f t="shared" si="4"/>
        <v>1.69</v>
      </c>
      <c r="H27" s="132">
        <f t="shared" si="4"/>
        <v>2.5299999999999998</v>
      </c>
      <c r="I27" s="132"/>
      <c r="J27" s="134">
        <f t="shared" si="3"/>
        <v>42.066241650515849</v>
      </c>
      <c r="K27" s="134">
        <f t="shared" si="2"/>
        <v>142.96</v>
      </c>
      <c r="L27" s="132">
        <f t="shared" si="5"/>
        <v>0.81</v>
      </c>
      <c r="M27" s="123"/>
      <c r="N27" s="121">
        <v>12</v>
      </c>
      <c r="O27" s="121"/>
    </row>
    <row r="28" spans="2:17">
      <c r="B28" s="140">
        <f t="shared" si="0"/>
        <v>2034</v>
      </c>
      <c r="C28" s="141"/>
      <c r="D28" s="132">
        <f t="shared" si="4"/>
        <v>93.25</v>
      </c>
      <c r="E28" s="132">
        <f t="shared" si="4"/>
        <v>38.200000000000003</v>
      </c>
      <c r="F28" s="134">
        <f t="shared" si="1"/>
        <v>38.678964896286018</v>
      </c>
      <c r="G28" s="132">
        <f t="shared" si="4"/>
        <v>1.73</v>
      </c>
      <c r="H28" s="132">
        <f t="shared" si="4"/>
        <v>2.59</v>
      </c>
      <c r="I28" s="132"/>
      <c r="J28" s="134">
        <f t="shared" si="3"/>
        <v>42.998964896286019</v>
      </c>
      <c r="K28" s="134">
        <f t="shared" si="2"/>
        <v>146.13</v>
      </c>
      <c r="L28" s="132">
        <f t="shared" si="5"/>
        <v>0.83</v>
      </c>
      <c r="M28" s="123"/>
      <c r="N28" s="121">
        <v>12</v>
      </c>
      <c r="O28" s="121"/>
    </row>
    <row r="29" spans="2:17">
      <c r="B29" s="140">
        <f t="shared" si="0"/>
        <v>2035</v>
      </c>
      <c r="C29" s="141"/>
      <c r="D29" s="132">
        <f t="shared" si="4"/>
        <v>95.3</v>
      </c>
      <c r="E29" s="132">
        <f t="shared" si="4"/>
        <v>39.04</v>
      </c>
      <c r="F29" s="134">
        <f t="shared" si="1"/>
        <v>39.529343051860508</v>
      </c>
      <c r="G29" s="132">
        <f t="shared" si="4"/>
        <v>1.77</v>
      </c>
      <c r="H29" s="132">
        <f t="shared" si="4"/>
        <v>2.65</v>
      </c>
      <c r="I29" s="132"/>
      <c r="J29" s="134">
        <f t="shared" si="3"/>
        <v>43.949343051860502</v>
      </c>
      <c r="K29" s="134">
        <f t="shared" si="2"/>
        <v>149.36000000000001</v>
      </c>
      <c r="L29" s="132">
        <f t="shared" si="5"/>
        <v>0.85</v>
      </c>
      <c r="M29" s="123"/>
      <c r="N29" s="121">
        <v>12</v>
      </c>
      <c r="O29" s="121"/>
    </row>
    <row r="30" spans="2:17">
      <c r="B30" s="140">
        <f t="shared" si="0"/>
        <v>2036</v>
      </c>
      <c r="C30" s="141"/>
      <c r="D30" s="132">
        <f t="shared" si="4"/>
        <v>97.4</v>
      </c>
      <c r="E30" s="132">
        <f t="shared" si="4"/>
        <v>39.9</v>
      </c>
      <c r="F30" s="134">
        <f t="shared" si="1"/>
        <v>40.400318602206703</v>
      </c>
      <c r="G30" s="132">
        <f t="shared" si="4"/>
        <v>1.81</v>
      </c>
      <c r="H30" s="132">
        <f t="shared" si="4"/>
        <v>2.71</v>
      </c>
      <c r="I30" s="132"/>
      <c r="J30" s="134">
        <f t="shared" si="3"/>
        <v>44.920318602206713</v>
      </c>
      <c r="K30" s="134">
        <f t="shared" si="2"/>
        <v>152.66</v>
      </c>
      <c r="L30" s="132">
        <f t="shared" si="5"/>
        <v>0.87</v>
      </c>
      <c r="M30" s="123"/>
      <c r="N30" s="121">
        <v>12</v>
      </c>
      <c r="O30" s="121"/>
    </row>
    <row r="31" spans="2:17">
      <c r="B31" s="140">
        <f t="shared" si="0"/>
        <v>2037</v>
      </c>
      <c r="C31" s="141"/>
      <c r="D31" s="132">
        <f t="shared" si="4"/>
        <v>99.54</v>
      </c>
      <c r="E31" s="132">
        <f t="shared" si="4"/>
        <v>40.78</v>
      </c>
      <c r="F31" s="134">
        <f t="shared" si="1"/>
        <v>41.288949062357204</v>
      </c>
      <c r="G31" s="132">
        <f t="shared" si="4"/>
        <v>1.85</v>
      </c>
      <c r="H31" s="132">
        <f t="shared" si="4"/>
        <v>2.77</v>
      </c>
      <c r="I31" s="132"/>
      <c r="J31" s="134">
        <f t="shared" si="3"/>
        <v>45.908949062357209</v>
      </c>
      <c r="K31" s="134">
        <f t="shared" si="2"/>
        <v>156.02000000000001</v>
      </c>
      <c r="L31" s="132">
        <f t="shared" si="5"/>
        <v>0.89</v>
      </c>
      <c r="M31" s="123"/>
      <c r="N31" s="121">
        <v>12</v>
      </c>
      <c r="O31" s="121"/>
    </row>
    <row r="32" spans="2:17">
      <c r="B32" s="140">
        <f t="shared" si="0"/>
        <v>2038</v>
      </c>
      <c r="C32" s="141"/>
      <c r="D32" s="132">
        <f t="shared" si="4"/>
        <v>101.73</v>
      </c>
      <c r="E32" s="132">
        <f t="shared" si="4"/>
        <v>41.68</v>
      </c>
      <c r="F32" s="134">
        <f t="shared" si="1"/>
        <v>42.198176917279405</v>
      </c>
      <c r="G32" s="132">
        <f t="shared" si="4"/>
        <v>1.89</v>
      </c>
      <c r="H32" s="132">
        <f t="shared" si="4"/>
        <v>2.83</v>
      </c>
      <c r="I32" s="132"/>
      <c r="J32" s="134">
        <f t="shared" si="3"/>
        <v>46.918176917279403</v>
      </c>
      <c r="K32" s="134">
        <f t="shared" si="2"/>
        <v>159.44999999999999</v>
      </c>
      <c r="L32" s="132">
        <f t="shared" si="5"/>
        <v>0.91</v>
      </c>
      <c r="M32" s="123"/>
      <c r="N32" s="121">
        <v>12</v>
      </c>
      <c r="O32" s="121"/>
    </row>
    <row r="33" spans="2:15">
      <c r="B33" s="140">
        <f t="shared" si="0"/>
        <v>2039</v>
      </c>
      <c r="C33" s="141"/>
      <c r="D33" s="132">
        <f t="shared" si="4"/>
        <v>103.97</v>
      </c>
      <c r="E33" s="132">
        <f t="shared" si="4"/>
        <v>42.6</v>
      </c>
      <c r="F33" s="134">
        <f t="shared" si="1"/>
        <v>43.12800216697331</v>
      </c>
      <c r="G33" s="132">
        <f t="shared" si="4"/>
        <v>1.93</v>
      </c>
      <c r="H33" s="132">
        <f t="shared" si="4"/>
        <v>2.89</v>
      </c>
      <c r="I33" s="132"/>
      <c r="J33" s="134">
        <f t="shared" si="3"/>
        <v>47.948002166973311</v>
      </c>
      <c r="K33" s="134">
        <f t="shared" si="2"/>
        <v>162.94999999999999</v>
      </c>
      <c r="L33" s="132">
        <f t="shared" si="5"/>
        <v>0.93</v>
      </c>
      <c r="M33" s="123"/>
      <c r="N33" s="121">
        <v>12</v>
      </c>
      <c r="O33" s="121"/>
    </row>
    <row r="34" spans="2:15">
      <c r="B34" s="140">
        <f t="shared" si="0"/>
        <v>2040</v>
      </c>
      <c r="C34" s="141"/>
      <c r="D34" s="132">
        <f t="shared" si="4"/>
        <v>106.26</v>
      </c>
      <c r="E34" s="132">
        <f t="shared" si="4"/>
        <v>43.54</v>
      </c>
      <c r="F34" s="134">
        <f t="shared" si="1"/>
        <v>44.078424811438921</v>
      </c>
      <c r="G34" s="132">
        <f t="shared" si="4"/>
        <v>1.97</v>
      </c>
      <c r="H34" s="132">
        <f t="shared" si="4"/>
        <v>2.95</v>
      </c>
      <c r="I34" s="132"/>
      <c r="J34" s="134">
        <f t="shared" si="3"/>
        <v>48.998424811438923</v>
      </c>
      <c r="K34" s="134">
        <f t="shared" si="2"/>
        <v>166.52</v>
      </c>
      <c r="L34" s="132">
        <f t="shared" si="5"/>
        <v>0.95</v>
      </c>
      <c r="M34" s="123"/>
      <c r="N34" s="121">
        <v>12</v>
      </c>
      <c r="O34" s="121"/>
    </row>
    <row r="35" spans="2:15">
      <c r="B35" s="140">
        <f t="shared" si="0"/>
        <v>2041</v>
      </c>
      <c r="C35" s="141"/>
      <c r="D35" s="132">
        <f t="shared" si="4"/>
        <v>108.6</v>
      </c>
      <c r="E35" s="132">
        <f t="shared" si="4"/>
        <v>44.5</v>
      </c>
      <c r="F35" s="134">
        <f t="shared" si="1"/>
        <v>45.049444850676224</v>
      </c>
      <c r="G35" s="132">
        <f t="shared" si="4"/>
        <v>2.0099999999999998</v>
      </c>
      <c r="H35" s="132">
        <f t="shared" si="4"/>
        <v>3.01</v>
      </c>
      <c r="I35" s="132"/>
      <c r="J35" s="134">
        <f t="shared" si="3"/>
        <v>50.069444850676213</v>
      </c>
      <c r="K35" s="134">
        <f t="shared" si="2"/>
        <v>170.16</v>
      </c>
      <c r="L35" s="132">
        <f t="shared" si="5"/>
        <v>0.97</v>
      </c>
      <c r="M35" s="123"/>
      <c r="N35" s="121">
        <v>12</v>
      </c>
      <c r="O35" s="121"/>
    </row>
    <row r="36" spans="2:15">
      <c r="B36" s="140">
        <f t="shared" si="0"/>
        <v>2042</v>
      </c>
      <c r="C36" s="141"/>
      <c r="D36" s="132">
        <f t="shared" si="4"/>
        <v>111.1</v>
      </c>
      <c r="E36" s="132">
        <f t="shared" si="4"/>
        <v>45.52</v>
      </c>
      <c r="F36" s="134">
        <f t="shared" si="1"/>
        <v>46.08519955919602</v>
      </c>
      <c r="G36" s="132">
        <f t="shared" si="4"/>
        <v>2.06</v>
      </c>
      <c r="H36" s="132">
        <f t="shared" si="4"/>
        <v>3.08</v>
      </c>
      <c r="I36" s="132"/>
      <c r="J36" s="134">
        <f t="shared" si="3"/>
        <v>51.225199559196021</v>
      </c>
      <c r="K36" s="134">
        <f t="shared" si="2"/>
        <v>174.09</v>
      </c>
      <c r="L36" s="132">
        <f t="shared" si="5"/>
        <v>0.99</v>
      </c>
      <c r="M36" s="123"/>
      <c r="N36" s="121">
        <v>12</v>
      </c>
      <c r="O36" s="121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26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71</v>
      </c>
      <c r="C44" s="146" t="s">
        <v>72</v>
      </c>
      <c r="D44" s="147" t="s">
        <v>116</v>
      </c>
    </row>
    <row r="45" spans="2:15">
      <c r="C45" s="146" t="str">
        <f>C7</f>
        <v>(a)</v>
      </c>
      <c r="D45" s="121" t="s">
        <v>73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111</v>
      </c>
      <c r="C55" s="185">
        <v>1293.6882754756971</v>
      </c>
      <c r="D55" s="121" t="s">
        <v>73</v>
      </c>
      <c r="I55" s="121" t="s">
        <v>9</v>
      </c>
    </row>
    <row r="56" spans="2:24">
      <c r="B56" s="85" t="s">
        <v>110</v>
      </c>
      <c r="C56" s="154">
        <v>26.293898611068769</v>
      </c>
      <c r="D56" s="121" t="s">
        <v>76</v>
      </c>
      <c r="I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I57" s="121" t="s">
        <v>78</v>
      </c>
    </row>
    <row r="58" spans="2:24">
      <c r="B58" s="85" t="s">
        <v>110</v>
      </c>
      <c r="C58" s="154">
        <v>1.1816399331260157</v>
      </c>
      <c r="D58" s="121" t="s">
        <v>77</v>
      </c>
      <c r="I58" s="121" t="s">
        <v>78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>
        <v>-12.501261943267853</v>
      </c>
      <c r="D59" s="121" t="s">
        <v>79</v>
      </c>
      <c r="I59" s="121" t="s">
        <v>78</v>
      </c>
      <c r="J59" s="220" t="s">
        <v>114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110</v>
      </c>
      <c r="C60" s="159">
        <v>1.7950732843896238</v>
      </c>
      <c r="D60" s="121" t="s">
        <v>113</v>
      </c>
      <c r="I60" s="121" t="s">
        <v>78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37</v>
      </c>
      <c r="L62" s="163"/>
      <c r="M62" s="164"/>
      <c r="N62" s="164"/>
      <c r="P62" s="165"/>
    </row>
    <row r="63" spans="2:24">
      <c r="C63" s="237">
        <v>0.38795525688946075</v>
      </c>
      <c r="D63" s="121" t="s">
        <v>38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2.1999999999999999E-2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2.1999999999999999E-2</v>
      </c>
    </row>
    <row r="68" spans="3:15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41"/>
      <c r="I68" s="87">
        <f t="shared" si="8"/>
        <v>2037</v>
      </c>
      <c r="J68" s="41">
        <v>2.1999999999999999E-2</v>
      </c>
    </row>
    <row r="69" spans="3:15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41"/>
      <c r="I69" s="87">
        <f t="shared" si="8"/>
        <v>2038</v>
      </c>
      <c r="J69" s="41">
        <v>2.1999999999999999E-2</v>
      </c>
    </row>
    <row r="70" spans="3:15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2.1999999999999999E-2</v>
      </c>
    </row>
    <row r="71" spans="3:15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2.1999999999999999E-2</v>
      </c>
    </row>
    <row r="72" spans="3:15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O72" s="175"/>
    </row>
    <row r="73" spans="3:15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2.3E-2</v>
      </c>
      <c r="O73" s="175"/>
    </row>
    <row r="74" spans="3:15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41"/>
      <c r="I74" s="87">
        <f t="shared" si="8"/>
        <v>2043</v>
      </c>
      <c r="J74" s="41">
        <v>2.3E-2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4" width="9.33203125" style="121"/>
    <col min="15" max="15" width="9.33203125" style="172"/>
    <col min="16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115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7" t="s">
        <v>119</v>
      </c>
      <c r="I5" s="125" t="s">
        <v>69</v>
      </c>
      <c r="J5" s="125" t="s">
        <v>87</v>
      </c>
      <c r="K5" s="17" t="s">
        <v>54</v>
      </c>
      <c r="L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8" t="s">
        <v>32</v>
      </c>
      <c r="I6" s="127" t="s">
        <v>32</v>
      </c>
      <c r="J6" s="127" t="s">
        <v>32</v>
      </c>
      <c r="K6" s="19" t="s">
        <v>9</v>
      </c>
      <c r="L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23</v>
      </c>
      <c r="K7" s="129" t="s">
        <v>24</v>
      </c>
      <c r="L7" s="129" t="s">
        <v>24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F11+I11+G11+H11</f>
        <v>10.713653357219197</v>
      </c>
      <c r="K11" s="134">
        <f t="shared" ref="K11:K36" si="2">ROUND(J11*$C$63*8.76,2)</f>
        <v>36.409999999999997</v>
      </c>
      <c r="L11" s="132">
        <f>$C$57</f>
        <v>0.58600709999999989</v>
      </c>
      <c r="O11" s="173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F12+I12+G12+H12</f>
        <v>10.965284562267737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O12" s="173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27.41</v>
      </c>
      <c r="F13" s="134">
        <f t="shared" si="1"/>
        <v>8.0653512956044118</v>
      </c>
      <c r="G13" s="132">
        <f t="shared" si="4"/>
        <v>1.23</v>
      </c>
      <c r="H13" s="132">
        <f t="shared" si="4"/>
        <v>1.87</v>
      </c>
      <c r="I13" s="132"/>
      <c r="J13" s="134">
        <f t="shared" si="3"/>
        <v>11.165351295604413</v>
      </c>
      <c r="K13" s="134">
        <f t="shared" si="2"/>
        <v>37.950000000000003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O13" s="173"/>
    </row>
    <row r="14" spans="2:18">
      <c r="B14" s="140">
        <f t="shared" si="0"/>
        <v>2020</v>
      </c>
      <c r="C14" s="141"/>
      <c r="D14" s="132"/>
      <c r="E14" s="132">
        <f t="shared" si="4"/>
        <v>28.01</v>
      </c>
      <c r="F14" s="134">
        <f t="shared" si="1"/>
        <v>8.2419003936475583</v>
      </c>
      <c r="G14" s="132">
        <f t="shared" si="4"/>
        <v>1.26</v>
      </c>
      <c r="H14" s="132">
        <f t="shared" si="4"/>
        <v>1.91</v>
      </c>
      <c r="I14" s="132"/>
      <c r="J14" s="134">
        <f t="shared" si="3"/>
        <v>11.411900393647558</v>
      </c>
      <c r="K14" s="134">
        <f t="shared" si="2"/>
        <v>38.78</v>
      </c>
      <c r="L14" s="132">
        <f t="shared" si="5"/>
        <v>0.62</v>
      </c>
      <c r="M14" s="123"/>
      <c r="O14" s="173"/>
      <c r="P14" s="137"/>
      <c r="Q14" s="138"/>
      <c r="R14" s="139"/>
    </row>
    <row r="15" spans="2:18">
      <c r="B15" s="140">
        <f t="shared" si="0"/>
        <v>2021</v>
      </c>
      <c r="C15" s="141">
        <f>$C$55</f>
        <v>1288.7722600288894</v>
      </c>
      <c r="D15" s="132">
        <f>C15*$C$62</f>
        <v>68.098089995789152</v>
      </c>
      <c r="E15" s="132">
        <f t="shared" si="4"/>
        <v>28.63</v>
      </c>
      <c r="F15" s="134">
        <f t="shared" si="1"/>
        <v>28.462095073654801</v>
      </c>
      <c r="G15" s="132">
        <f t="shared" si="4"/>
        <v>1.29</v>
      </c>
      <c r="H15" s="132">
        <f t="shared" si="4"/>
        <v>1.95</v>
      </c>
      <c r="I15" s="132">
        <v>-34.479999999999997</v>
      </c>
      <c r="J15" s="134">
        <f t="shared" si="3"/>
        <v>-2.7779049263451956</v>
      </c>
      <c r="K15" s="134">
        <f t="shared" si="2"/>
        <v>-9.44</v>
      </c>
      <c r="L15" s="132">
        <f t="shared" si="5"/>
        <v>0.63</v>
      </c>
      <c r="M15" s="123"/>
      <c r="O15" s="173"/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69.66</v>
      </c>
      <c r="E16" s="132">
        <f t="shared" si="4"/>
        <v>29.29</v>
      </c>
      <c r="F16" s="134">
        <f t="shared" si="1"/>
        <v>29.115888752282245</v>
      </c>
      <c r="G16" s="132">
        <f t="shared" si="4"/>
        <v>1.32</v>
      </c>
      <c r="H16" s="132">
        <f t="shared" si="4"/>
        <v>1.99</v>
      </c>
      <c r="I16" s="132">
        <v>-34.479999999999997</v>
      </c>
      <c r="J16" s="134">
        <f t="shared" si="3"/>
        <v>-2.054111247717751</v>
      </c>
      <c r="K16" s="134">
        <f t="shared" si="2"/>
        <v>-6.98</v>
      </c>
      <c r="L16" s="132">
        <f t="shared" si="5"/>
        <v>0.64</v>
      </c>
      <c r="M16" s="123"/>
      <c r="O16" s="173"/>
    </row>
    <row r="17" spans="2:17">
      <c r="B17" s="140">
        <f t="shared" si="0"/>
        <v>2023</v>
      </c>
      <c r="C17" s="141"/>
      <c r="D17" s="132">
        <f t="shared" si="4"/>
        <v>71.19</v>
      </c>
      <c r="E17" s="132">
        <f t="shared" si="4"/>
        <v>29.93</v>
      </c>
      <c r="F17" s="134">
        <f t="shared" si="1"/>
        <v>29.754407990204964</v>
      </c>
      <c r="G17" s="132">
        <f t="shared" si="4"/>
        <v>1.35</v>
      </c>
      <c r="H17" s="132">
        <f t="shared" si="4"/>
        <v>2.0299999999999998</v>
      </c>
      <c r="I17" s="132">
        <v>-35.799999999999997</v>
      </c>
      <c r="J17" s="134">
        <f t="shared" si="3"/>
        <v>-2.6655920097950339</v>
      </c>
      <c r="K17" s="134">
        <f t="shared" si="2"/>
        <v>-9.06</v>
      </c>
      <c r="L17" s="132">
        <f t="shared" si="5"/>
        <v>0.65</v>
      </c>
      <c r="M17" s="123"/>
      <c r="O17" s="173"/>
      <c r="P17" s="137"/>
    </row>
    <row r="18" spans="2:17">
      <c r="B18" s="140">
        <f t="shared" si="0"/>
        <v>2024</v>
      </c>
      <c r="C18" s="141"/>
      <c r="D18" s="132">
        <f t="shared" si="4"/>
        <v>72.760000000000005</v>
      </c>
      <c r="E18" s="132">
        <f t="shared" si="4"/>
        <v>30.59</v>
      </c>
      <c r="F18" s="134">
        <f t="shared" si="1"/>
        <v>30.410582137931993</v>
      </c>
      <c r="G18" s="132">
        <f t="shared" si="4"/>
        <v>1.38</v>
      </c>
      <c r="H18" s="132">
        <f t="shared" si="4"/>
        <v>2.0699999999999998</v>
      </c>
      <c r="I18" s="132">
        <v>-35.799999999999997</v>
      </c>
      <c r="J18" s="134">
        <f t="shared" si="3"/>
        <v>-1.9394178620680047</v>
      </c>
      <c r="K18" s="134">
        <f t="shared" si="2"/>
        <v>-6.59</v>
      </c>
      <c r="L18" s="132">
        <f t="shared" si="5"/>
        <v>0.66</v>
      </c>
      <c r="M18" s="123"/>
      <c r="O18" s="173"/>
    </row>
    <row r="19" spans="2:17">
      <c r="B19" s="140">
        <f t="shared" si="0"/>
        <v>2025</v>
      </c>
      <c r="C19" s="141"/>
      <c r="D19" s="132">
        <f t="shared" si="4"/>
        <v>74.36</v>
      </c>
      <c r="E19" s="132">
        <f t="shared" si="4"/>
        <v>31.26</v>
      </c>
      <c r="F19" s="134">
        <f t="shared" si="1"/>
        <v>31.078526225528563</v>
      </c>
      <c r="G19" s="132">
        <f t="shared" si="4"/>
        <v>1.41</v>
      </c>
      <c r="H19" s="132">
        <f t="shared" si="4"/>
        <v>2.12</v>
      </c>
      <c r="I19" s="132">
        <v>-37.130000000000003</v>
      </c>
      <c r="J19" s="134">
        <f t="shared" si="3"/>
        <v>-2.5214737744714393</v>
      </c>
      <c r="K19" s="134">
        <f t="shared" si="2"/>
        <v>-8.57</v>
      </c>
      <c r="L19" s="132">
        <f t="shared" si="5"/>
        <v>0.67</v>
      </c>
      <c r="M19" s="123"/>
      <c r="O19" s="173"/>
    </row>
    <row r="20" spans="2:17">
      <c r="B20" s="140">
        <f t="shared" si="0"/>
        <v>2026</v>
      </c>
      <c r="C20" s="141"/>
      <c r="D20" s="132">
        <f t="shared" si="4"/>
        <v>76</v>
      </c>
      <c r="E20" s="132">
        <f t="shared" si="4"/>
        <v>31.95</v>
      </c>
      <c r="F20" s="134">
        <f t="shared" si="1"/>
        <v>31.764125222929451</v>
      </c>
      <c r="G20" s="132">
        <f t="shared" si="4"/>
        <v>1.44</v>
      </c>
      <c r="H20" s="132">
        <f t="shared" si="4"/>
        <v>2.17</v>
      </c>
      <c r="I20" s="132">
        <v>-37.130000000000003</v>
      </c>
      <c r="J20" s="134">
        <f t="shared" si="3"/>
        <v>-1.7558747770705518</v>
      </c>
      <c r="K20" s="134">
        <f t="shared" si="2"/>
        <v>-5.97</v>
      </c>
      <c r="L20" s="132">
        <f t="shared" si="5"/>
        <v>0.68</v>
      </c>
      <c r="M20" s="123"/>
      <c r="O20" s="173"/>
      <c r="Q20" s="170"/>
    </row>
    <row r="21" spans="2:17">
      <c r="B21" s="140">
        <f t="shared" si="0"/>
        <v>2027</v>
      </c>
      <c r="C21" s="141"/>
      <c r="D21" s="132">
        <f t="shared" si="4"/>
        <v>77.67</v>
      </c>
      <c r="E21" s="132">
        <f t="shared" si="4"/>
        <v>32.65</v>
      </c>
      <c r="F21" s="134">
        <f t="shared" si="1"/>
        <v>32.461494160199877</v>
      </c>
      <c r="G21" s="132">
        <f t="shared" si="4"/>
        <v>1.47</v>
      </c>
      <c r="H21" s="132">
        <f t="shared" si="4"/>
        <v>2.2200000000000002</v>
      </c>
      <c r="I21" s="132">
        <v>-38.450000000000003</v>
      </c>
      <c r="J21" s="134">
        <f t="shared" si="3"/>
        <v>-2.2985058398001263</v>
      </c>
      <c r="K21" s="134">
        <f t="shared" si="2"/>
        <v>-7.81</v>
      </c>
      <c r="L21" s="132">
        <f t="shared" si="5"/>
        <v>0.69</v>
      </c>
      <c r="M21" s="123"/>
      <c r="O21" s="173"/>
    </row>
    <row r="22" spans="2:17">
      <c r="B22" s="140">
        <f t="shared" si="0"/>
        <v>2028</v>
      </c>
      <c r="C22" s="141"/>
      <c r="D22" s="132">
        <f t="shared" si="4"/>
        <v>79.459999999999994</v>
      </c>
      <c r="E22" s="132">
        <f t="shared" si="4"/>
        <v>33.4</v>
      </c>
      <c r="F22" s="134">
        <f t="shared" si="1"/>
        <v>33.20888534191586</v>
      </c>
      <c r="G22" s="132">
        <f t="shared" si="4"/>
        <v>1.5</v>
      </c>
      <c r="H22" s="132">
        <f t="shared" si="4"/>
        <v>2.27</v>
      </c>
      <c r="I22" s="132">
        <v>-38.450000000000003</v>
      </c>
      <c r="J22" s="134">
        <f t="shared" si="3"/>
        <v>-1.4711146580841432</v>
      </c>
      <c r="K22" s="134">
        <f t="shared" si="2"/>
        <v>-5</v>
      </c>
      <c r="L22" s="132">
        <f t="shared" si="5"/>
        <v>0.71</v>
      </c>
      <c r="M22" s="123"/>
      <c r="O22" s="173"/>
    </row>
    <row r="23" spans="2:17">
      <c r="B23" s="140">
        <f t="shared" si="0"/>
        <v>2029</v>
      </c>
      <c r="C23" s="141"/>
      <c r="D23" s="132">
        <f t="shared" si="4"/>
        <v>81.290000000000006</v>
      </c>
      <c r="E23" s="132">
        <f t="shared" si="4"/>
        <v>34.17</v>
      </c>
      <c r="F23" s="134">
        <f t="shared" si="1"/>
        <v>33.973931433436171</v>
      </c>
      <c r="G23" s="132">
        <f t="shared" si="4"/>
        <v>1.53</v>
      </c>
      <c r="H23" s="132">
        <f t="shared" si="4"/>
        <v>2.3199999999999998</v>
      </c>
      <c r="I23" s="132">
        <v>-39.78</v>
      </c>
      <c r="J23" s="134">
        <f t="shared" si="3"/>
        <v>-1.9560685665638302</v>
      </c>
      <c r="K23" s="134">
        <f t="shared" si="2"/>
        <v>-6.65</v>
      </c>
      <c r="L23" s="132">
        <f t="shared" si="5"/>
        <v>0.73</v>
      </c>
      <c r="M23" s="123"/>
      <c r="O23" s="173"/>
    </row>
    <row r="24" spans="2:17">
      <c r="B24" s="140">
        <f t="shared" si="0"/>
        <v>2030</v>
      </c>
      <c r="C24" s="141"/>
      <c r="D24" s="132">
        <f t="shared" si="4"/>
        <v>83.16</v>
      </c>
      <c r="E24" s="132">
        <f t="shared" si="4"/>
        <v>34.96</v>
      </c>
      <c r="F24" s="134">
        <f t="shared" si="1"/>
        <v>34.756632434760782</v>
      </c>
      <c r="G24" s="132">
        <f t="shared" si="4"/>
        <v>1.57</v>
      </c>
      <c r="H24" s="132">
        <f t="shared" si="4"/>
        <v>2.37</v>
      </c>
      <c r="I24" s="132">
        <v>-41.11</v>
      </c>
      <c r="J24" s="134">
        <f t="shared" si="3"/>
        <v>-2.4133675652392172</v>
      </c>
      <c r="K24" s="134">
        <f t="shared" si="2"/>
        <v>-8.1999999999999993</v>
      </c>
      <c r="L24" s="132">
        <f t="shared" si="5"/>
        <v>0.75</v>
      </c>
      <c r="M24" s="123"/>
      <c r="O24" s="173"/>
    </row>
    <row r="25" spans="2:17">
      <c r="B25" s="140">
        <f t="shared" si="0"/>
        <v>2031</v>
      </c>
      <c r="C25" s="141"/>
      <c r="D25" s="132">
        <f t="shared" si="4"/>
        <v>85.07</v>
      </c>
      <c r="E25" s="132">
        <f t="shared" si="4"/>
        <v>35.76</v>
      </c>
      <c r="F25" s="134">
        <f t="shared" si="1"/>
        <v>35.554045860922322</v>
      </c>
      <c r="G25" s="132">
        <f t="shared" si="4"/>
        <v>1.61</v>
      </c>
      <c r="H25" s="132">
        <f t="shared" si="4"/>
        <v>2.42</v>
      </c>
      <c r="I25" s="132"/>
      <c r="J25" s="134">
        <f t="shared" si="3"/>
        <v>39.584045860922323</v>
      </c>
      <c r="K25" s="134">
        <f t="shared" si="2"/>
        <v>134.53</v>
      </c>
      <c r="L25" s="132">
        <f t="shared" si="5"/>
        <v>0.77</v>
      </c>
      <c r="M25" s="123"/>
      <c r="O25" s="173"/>
    </row>
    <row r="26" spans="2:17">
      <c r="B26" s="140">
        <f t="shared" si="0"/>
        <v>2032</v>
      </c>
      <c r="C26" s="141"/>
      <c r="D26" s="132">
        <f t="shared" si="4"/>
        <v>87.03</v>
      </c>
      <c r="E26" s="132">
        <f t="shared" si="4"/>
        <v>36.58</v>
      </c>
      <c r="F26" s="134">
        <f t="shared" si="1"/>
        <v>36.372056681855575</v>
      </c>
      <c r="G26" s="132">
        <f t="shared" si="4"/>
        <v>1.65</v>
      </c>
      <c r="H26" s="132">
        <f t="shared" si="4"/>
        <v>2.48</v>
      </c>
      <c r="I26" s="132"/>
      <c r="J26" s="134">
        <f t="shared" si="3"/>
        <v>40.502056681855571</v>
      </c>
      <c r="K26" s="134">
        <f t="shared" si="2"/>
        <v>137.65</v>
      </c>
      <c r="L26" s="132">
        <f t="shared" si="5"/>
        <v>0.79</v>
      </c>
      <c r="M26" s="123"/>
      <c r="O26" s="173"/>
    </row>
    <row r="27" spans="2:17">
      <c r="B27" s="140">
        <f t="shared" si="0"/>
        <v>2033</v>
      </c>
      <c r="C27" s="141"/>
      <c r="D27" s="132">
        <f t="shared" si="4"/>
        <v>88.94</v>
      </c>
      <c r="E27" s="132">
        <f t="shared" si="4"/>
        <v>37.380000000000003</v>
      </c>
      <c r="F27" s="134">
        <f t="shared" si="1"/>
        <v>37.169470108017116</v>
      </c>
      <c r="G27" s="132">
        <f t="shared" si="4"/>
        <v>1.69</v>
      </c>
      <c r="H27" s="132">
        <f t="shared" si="4"/>
        <v>2.5299999999999998</v>
      </c>
      <c r="I27" s="132"/>
      <c r="J27" s="134">
        <f t="shared" si="3"/>
        <v>41.389470108017115</v>
      </c>
      <c r="K27" s="134">
        <f t="shared" si="2"/>
        <v>140.66</v>
      </c>
      <c r="L27" s="132">
        <f t="shared" si="5"/>
        <v>0.81</v>
      </c>
      <c r="M27" s="123"/>
      <c r="O27" s="173"/>
    </row>
    <row r="28" spans="2:17">
      <c r="B28" s="140">
        <f t="shared" si="0"/>
        <v>2034</v>
      </c>
      <c r="C28" s="141"/>
      <c r="D28" s="132">
        <f t="shared" si="4"/>
        <v>90.9</v>
      </c>
      <c r="E28" s="132">
        <f t="shared" si="4"/>
        <v>38.200000000000003</v>
      </c>
      <c r="F28" s="134">
        <f t="shared" si="1"/>
        <v>37.987480928950369</v>
      </c>
      <c r="G28" s="132">
        <f t="shared" si="4"/>
        <v>1.73</v>
      </c>
      <c r="H28" s="132">
        <f t="shared" si="4"/>
        <v>2.59</v>
      </c>
      <c r="I28" s="132"/>
      <c r="J28" s="134">
        <f t="shared" si="3"/>
        <v>42.307480928950369</v>
      </c>
      <c r="K28" s="134">
        <f t="shared" si="2"/>
        <v>143.78</v>
      </c>
      <c r="L28" s="132">
        <f t="shared" si="5"/>
        <v>0.83</v>
      </c>
      <c r="M28" s="123"/>
      <c r="O28" s="173"/>
    </row>
    <row r="29" spans="2:17">
      <c r="B29" s="140">
        <f t="shared" si="0"/>
        <v>2035</v>
      </c>
      <c r="C29" s="141"/>
      <c r="D29" s="132">
        <f t="shared" si="4"/>
        <v>92.9</v>
      </c>
      <c r="E29" s="132">
        <f t="shared" si="4"/>
        <v>39.04</v>
      </c>
      <c r="F29" s="134">
        <f t="shared" si="1"/>
        <v>38.823146659687922</v>
      </c>
      <c r="G29" s="132">
        <f t="shared" si="4"/>
        <v>1.77</v>
      </c>
      <c r="H29" s="132">
        <f t="shared" si="4"/>
        <v>2.65</v>
      </c>
      <c r="I29" s="132"/>
      <c r="J29" s="134">
        <f t="shared" si="3"/>
        <v>43.243146659687923</v>
      </c>
      <c r="K29" s="134">
        <f t="shared" si="2"/>
        <v>146.96</v>
      </c>
      <c r="L29" s="132">
        <f t="shared" si="5"/>
        <v>0.85</v>
      </c>
      <c r="M29" s="123"/>
      <c r="O29" s="173"/>
    </row>
    <row r="30" spans="2:17">
      <c r="B30" s="140">
        <f t="shared" si="0"/>
        <v>2036</v>
      </c>
      <c r="C30" s="141"/>
      <c r="D30" s="132">
        <f t="shared" si="4"/>
        <v>94.94</v>
      </c>
      <c r="E30" s="132">
        <f t="shared" si="4"/>
        <v>39.9</v>
      </c>
      <c r="F30" s="134">
        <f t="shared" si="1"/>
        <v>39.676467300229803</v>
      </c>
      <c r="G30" s="132">
        <f t="shared" si="4"/>
        <v>1.81</v>
      </c>
      <c r="H30" s="132">
        <f t="shared" si="4"/>
        <v>2.71</v>
      </c>
      <c r="I30" s="132"/>
      <c r="J30" s="134">
        <f t="shared" si="3"/>
        <v>44.196467300229806</v>
      </c>
      <c r="K30" s="134">
        <f t="shared" si="2"/>
        <v>150.19999999999999</v>
      </c>
      <c r="L30" s="132">
        <f t="shared" si="5"/>
        <v>0.87</v>
      </c>
      <c r="M30" s="123"/>
      <c r="O30" s="173"/>
    </row>
    <row r="31" spans="2:17">
      <c r="B31" s="140">
        <f t="shared" si="0"/>
        <v>2037</v>
      </c>
      <c r="C31" s="141"/>
      <c r="D31" s="132">
        <f t="shared" si="4"/>
        <v>97.03</v>
      </c>
      <c r="E31" s="132">
        <f t="shared" si="4"/>
        <v>40.78</v>
      </c>
      <c r="F31" s="134">
        <f t="shared" si="1"/>
        <v>40.550385335543375</v>
      </c>
      <c r="G31" s="132">
        <f t="shared" si="4"/>
        <v>1.85</v>
      </c>
      <c r="H31" s="132">
        <f t="shared" si="4"/>
        <v>2.77</v>
      </c>
      <c r="I31" s="132"/>
      <c r="J31" s="134">
        <f t="shared" si="3"/>
        <v>45.170385335543379</v>
      </c>
      <c r="K31" s="134">
        <f t="shared" si="2"/>
        <v>153.51</v>
      </c>
      <c r="L31" s="132">
        <f t="shared" si="5"/>
        <v>0.89</v>
      </c>
      <c r="M31" s="123"/>
      <c r="O31" s="173"/>
    </row>
    <row r="32" spans="2:17">
      <c r="B32" s="140">
        <f t="shared" si="0"/>
        <v>2038</v>
      </c>
      <c r="C32" s="141"/>
      <c r="D32" s="132">
        <f t="shared" si="4"/>
        <v>99.16</v>
      </c>
      <c r="E32" s="132">
        <f t="shared" si="4"/>
        <v>41.68</v>
      </c>
      <c r="F32" s="134">
        <f t="shared" si="1"/>
        <v>41.441958280661268</v>
      </c>
      <c r="G32" s="132">
        <f t="shared" si="4"/>
        <v>1.89</v>
      </c>
      <c r="H32" s="132">
        <f t="shared" si="4"/>
        <v>2.83</v>
      </c>
      <c r="I32" s="132"/>
      <c r="J32" s="134">
        <f t="shared" si="3"/>
        <v>46.161958280661267</v>
      </c>
      <c r="K32" s="134">
        <f t="shared" si="2"/>
        <v>156.88</v>
      </c>
      <c r="L32" s="132">
        <f t="shared" si="5"/>
        <v>0.91</v>
      </c>
      <c r="M32" s="123"/>
      <c r="O32" s="173"/>
    </row>
    <row r="33" spans="2:15">
      <c r="B33" s="140">
        <f t="shared" si="0"/>
        <v>2039</v>
      </c>
      <c r="C33" s="141"/>
      <c r="D33" s="132">
        <f t="shared" si="4"/>
        <v>101.34</v>
      </c>
      <c r="E33" s="132">
        <f t="shared" si="4"/>
        <v>42.6</v>
      </c>
      <c r="F33" s="134">
        <f t="shared" si="1"/>
        <v>42.354128620550853</v>
      </c>
      <c r="G33" s="132">
        <f t="shared" si="4"/>
        <v>1.93</v>
      </c>
      <c r="H33" s="132">
        <f t="shared" si="4"/>
        <v>2.89</v>
      </c>
      <c r="I33" s="132"/>
      <c r="J33" s="134">
        <f t="shared" si="3"/>
        <v>47.174128620550853</v>
      </c>
      <c r="K33" s="134">
        <f t="shared" si="2"/>
        <v>160.32</v>
      </c>
      <c r="L33" s="132">
        <f t="shared" si="5"/>
        <v>0.93</v>
      </c>
      <c r="M33" s="123"/>
      <c r="O33" s="173"/>
    </row>
    <row r="34" spans="2:15">
      <c r="B34" s="140">
        <f t="shared" si="0"/>
        <v>2040</v>
      </c>
      <c r="C34" s="141"/>
      <c r="D34" s="132">
        <f t="shared" si="4"/>
        <v>103.57</v>
      </c>
      <c r="E34" s="132">
        <f t="shared" si="4"/>
        <v>43.54</v>
      </c>
      <c r="F34" s="134">
        <f t="shared" si="1"/>
        <v>43.286896355212143</v>
      </c>
      <c r="G34" s="132">
        <f t="shared" si="4"/>
        <v>1.97</v>
      </c>
      <c r="H34" s="132">
        <f t="shared" si="4"/>
        <v>2.95</v>
      </c>
      <c r="I34" s="132"/>
      <c r="J34" s="134">
        <f t="shared" si="3"/>
        <v>48.206896355212145</v>
      </c>
      <c r="K34" s="134">
        <f t="shared" si="2"/>
        <v>163.83000000000001</v>
      </c>
      <c r="L34" s="132">
        <f t="shared" si="5"/>
        <v>0.95</v>
      </c>
      <c r="M34" s="123"/>
      <c r="O34" s="173"/>
    </row>
    <row r="35" spans="2:15">
      <c r="B35" s="140">
        <f t="shared" si="0"/>
        <v>2041</v>
      </c>
      <c r="C35" s="141"/>
      <c r="D35" s="132">
        <f t="shared" si="4"/>
        <v>105.85</v>
      </c>
      <c r="E35" s="132">
        <f t="shared" si="4"/>
        <v>44.5</v>
      </c>
      <c r="F35" s="134">
        <f t="shared" si="1"/>
        <v>44.240261484645139</v>
      </c>
      <c r="G35" s="132">
        <f t="shared" si="4"/>
        <v>2.0099999999999998</v>
      </c>
      <c r="H35" s="132">
        <f t="shared" si="4"/>
        <v>3.01</v>
      </c>
      <c r="I35" s="132"/>
      <c r="J35" s="134">
        <f t="shared" si="3"/>
        <v>49.260261484645135</v>
      </c>
      <c r="K35" s="134">
        <f t="shared" si="2"/>
        <v>167.41</v>
      </c>
      <c r="L35" s="132">
        <f t="shared" si="5"/>
        <v>0.97</v>
      </c>
      <c r="M35" s="123"/>
      <c r="O35" s="173"/>
    </row>
    <row r="36" spans="2:15">
      <c r="B36" s="140">
        <f t="shared" si="0"/>
        <v>2042</v>
      </c>
      <c r="C36" s="141"/>
      <c r="D36" s="132">
        <f t="shared" si="4"/>
        <v>108.28</v>
      </c>
      <c r="E36" s="132">
        <f t="shared" si="4"/>
        <v>45.52</v>
      </c>
      <c r="F36" s="134">
        <f t="shared" si="1"/>
        <v>45.255418798393229</v>
      </c>
      <c r="G36" s="132">
        <f t="shared" si="4"/>
        <v>2.06</v>
      </c>
      <c r="H36" s="132">
        <f t="shared" si="4"/>
        <v>3.08</v>
      </c>
      <c r="I36" s="132"/>
      <c r="J36" s="134">
        <f t="shared" si="3"/>
        <v>50.39541879839323</v>
      </c>
      <c r="K36" s="134">
        <f t="shared" si="2"/>
        <v>171.27</v>
      </c>
      <c r="L36" s="132">
        <f t="shared" si="5"/>
        <v>0.99</v>
      </c>
      <c r="M36" s="123"/>
      <c r="O36" s="173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26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5">
      <c r="C45" s="146" t="str">
        <f>C7</f>
        <v>(a)</v>
      </c>
      <c r="D45" s="121" t="s">
        <v>73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117</v>
      </c>
      <c r="C55" s="185">
        <v>1288.7722600288894</v>
      </c>
      <c r="D55" s="121" t="s">
        <v>73</v>
      </c>
      <c r="I55" s="121" t="s">
        <v>9</v>
      </c>
    </row>
    <row r="56" spans="2:24">
      <c r="B56" s="85" t="s">
        <v>110</v>
      </c>
      <c r="C56" s="154">
        <v>26.293898611068769</v>
      </c>
      <c r="D56" s="121" t="s">
        <v>76</v>
      </c>
      <c r="I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I57" s="121" t="s">
        <v>78</v>
      </c>
    </row>
    <row r="58" spans="2:24">
      <c r="B58" s="85" t="s">
        <v>110</v>
      </c>
      <c r="C58" s="154">
        <v>1.1816399331260157</v>
      </c>
      <c r="D58" s="121" t="s">
        <v>77</v>
      </c>
      <c r="I58" s="121" t="s">
        <v>78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>
        <v>-12.501261943267853</v>
      </c>
      <c r="D59" s="121" t="s">
        <v>79</v>
      </c>
      <c r="I59" s="121" t="s">
        <v>78</v>
      </c>
      <c r="J59" s="220" t="s">
        <v>114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110</v>
      </c>
      <c r="C60" s="159">
        <v>1.7950732843896238</v>
      </c>
      <c r="D60" s="121" t="s">
        <v>113</v>
      </c>
      <c r="I60" s="121" t="s">
        <v>78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37</v>
      </c>
      <c r="L62" s="163"/>
      <c r="M62" s="164"/>
      <c r="N62" s="164"/>
      <c r="P62" s="165"/>
    </row>
    <row r="63" spans="2:24">
      <c r="C63" s="186">
        <v>0.38795525688946075</v>
      </c>
      <c r="D63" s="121" t="s">
        <v>38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2.1999999999999999E-2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 t="shared" ref="I67:I74" si="8">I66+1</f>
        <v>2036</v>
      </c>
      <c r="J67" s="41">
        <v>2.1999999999999999E-2</v>
      </c>
    </row>
    <row r="68" spans="3:15">
      <c r="C68" s="87">
        <f t="shared" si="6"/>
        <v>2019</v>
      </c>
      <c r="D68" s="41">
        <v>1.9E-2</v>
      </c>
      <c r="E68" s="85"/>
      <c r="F68" s="87">
        <f t="shared" si="7"/>
        <v>2028</v>
      </c>
      <c r="G68" s="41">
        <v>2.3E-2</v>
      </c>
      <c r="H68" s="41"/>
      <c r="I68" s="87">
        <f t="shared" si="8"/>
        <v>2037</v>
      </c>
      <c r="J68" s="41">
        <v>2.1999999999999999E-2</v>
      </c>
    </row>
    <row r="69" spans="3:15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2.3E-2</v>
      </c>
      <c r="H69" s="41"/>
      <c r="I69" s="87">
        <f t="shared" si="8"/>
        <v>2038</v>
      </c>
      <c r="J69" s="41">
        <v>2.1999999999999999E-2</v>
      </c>
    </row>
    <row r="70" spans="3:15">
      <c r="C70" s="87">
        <f t="shared" si="6"/>
        <v>2021</v>
      </c>
      <c r="D70" s="41">
        <v>2.1999999999999999E-2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2.1999999999999999E-2</v>
      </c>
    </row>
    <row r="71" spans="3:15">
      <c r="C71" s="87">
        <f t="shared" si="6"/>
        <v>2022</v>
      </c>
      <c r="D71" s="41">
        <v>2.3E-2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2.1999999999999999E-2</v>
      </c>
    </row>
    <row r="72" spans="3:15" s="123" customFormat="1">
      <c r="C72" s="87">
        <f t="shared" si="6"/>
        <v>2023</v>
      </c>
      <c r="D72" s="41">
        <v>2.1999999999999999E-2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O72" s="175"/>
    </row>
    <row r="73" spans="3:15" s="123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2.3E-2</v>
      </c>
      <c r="O73" s="175"/>
    </row>
    <row r="74" spans="3:15" s="123" customFormat="1">
      <c r="C74" s="87">
        <f t="shared" si="6"/>
        <v>2025</v>
      </c>
      <c r="D74" s="41">
        <v>2.1999999999999999E-2</v>
      </c>
      <c r="E74" s="86"/>
      <c r="F74" s="87">
        <f t="shared" si="7"/>
        <v>2034</v>
      </c>
      <c r="G74" s="41">
        <v>2.1999999999999999E-2</v>
      </c>
      <c r="H74" s="41"/>
      <c r="I74" s="87">
        <f t="shared" si="8"/>
        <v>2043</v>
      </c>
      <c r="J74" s="41">
        <v>2.3E-2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57" customFormat="1" ht="15.75" hidden="1">
      <c r="B1" s="1" t="s">
        <v>36</v>
      </c>
      <c r="C1" s="1"/>
      <c r="D1" s="1"/>
      <c r="E1" s="1"/>
      <c r="F1" s="1"/>
      <c r="G1" s="254"/>
      <c r="H1" s="1"/>
      <c r="I1" s="1"/>
      <c r="J1" s="1"/>
      <c r="K1" s="1"/>
      <c r="L1" s="255"/>
      <c r="M1" s="256"/>
      <c r="N1" s="256"/>
      <c r="O1" s="256"/>
      <c r="P1" s="256"/>
    </row>
    <row r="2" spans="2:16" s="257" customFormat="1" ht="5.25" customHeight="1">
      <c r="B2" s="1"/>
      <c r="C2" s="1"/>
      <c r="D2" s="1"/>
      <c r="E2" s="1"/>
      <c r="F2" s="1"/>
      <c r="G2" s="254"/>
      <c r="H2" s="1"/>
      <c r="I2" s="1"/>
      <c r="J2" s="1"/>
      <c r="K2" s="1"/>
      <c r="L2" s="255"/>
      <c r="M2" s="256"/>
      <c r="N2" s="256"/>
      <c r="O2" s="256"/>
      <c r="P2" s="256"/>
    </row>
    <row r="3" spans="2:16" s="257" customFormat="1" ht="15.75">
      <c r="B3" s="1" t="s">
        <v>163</v>
      </c>
      <c r="C3" s="1"/>
      <c r="D3" s="1"/>
      <c r="E3" s="1"/>
      <c r="F3" s="1"/>
      <c r="G3" s="254"/>
      <c r="H3" s="1"/>
      <c r="I3" s="1"/>
      <c r="J3" s="1"/>
      <c r="K3" s="1"/>
      <c r="L3" s="255"/>
      <c r="M3" s="256"/>
      <c r="N3" s="256"/>
      <c r="O3" s="256"/>
      <c r="P3" s="256"/>
    </row>
    <row r="4" spans="2:16" s="259" customFormat="1" ht="15">
      <c r="B4" s="4" t="s">
        <v>164</v>
      </c>
      <c r="C4" s="4"/>
      <c r="D4" s="4"/>
      <c r="E4" s="4"/>
      <c r="F4" s="4"/>
      <c r="G4" s="4"/>
      <c r="H4" s="4"/>
      <c r="I4" s="4"/>
      <c r="J4" s="4"/>
      <c r="K4" s="4"/>
      <c r="L4" s="4"/>
      <c r="M4" s="258"/>
      <c r="N4" s="258"/>
      <c r="O4" s="258"/>
      <c r="P4" s="258"/>
    </row>
    <row r="5" spans="2:16" s="259" customFormat="1" ht="15">
      <c r="B5" s="4" t="str">
        <f ca="1">'Table 1'!B5</f>
        <v>Utah 2019.Q2 - 100.0 MW and 100.0%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59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58"/>
      <c r="N6" s="258"/>
      <c r="O6" s="258"/>
      <c r="P6" s="258"/>
    </row>
    <row r="7" spans="2:16">
      <c r="D7" s="260"/>
      <c r="E7" s="260"/>
      <c r="F7" s="260"/>
      <c r="G7" s="261"/>
      <c r="H7" s="261"/>
      <c r="I7" s="261"/>
      <c r="J7" s="261"/>
      <c r="K7" s="261"/>
      <c r="L7" s="261"/>
      <c r="M7" s="262"/>
    </row>
    <row r="8" spans="2:16">
      <c r="B8" s="263"/>
      <c r="C8" s="263"/>
      <c r="D8" s="264" t="s">
        <v>165</v>
      </c>
      <c r="E8" s="265"/>
      <c r="F8" s="265"/>
      <c r="G8" s="264"/>
      <c r="H8" s="264"/>
      <c r="I8" s="266" t="s">
        <v>166</v>
      </c>
      <c r="J8" s="267"/>
      <c r="K8" s="267"/>
      <c r="L8" s="268"/>
      <c r="M8" s="269" t="s">
        <v>165</v>
      </c>
      <c r="N8" s="270"/>
      <c r="O8" s="271"/>
    </row>
    <row r="9" spans="2:16">
      <c r="B9" s="272" t="s">
        <v>0</v>
      </c>
      <c r="C9" s="272" t="s">
        <v>191</v>
      </c>
      <c r="D9" s="273" t="s">
        <v>192</v>
      </c>
      <c r="E9" s="274" t="s">
        <v>193</v>
      </c>
      <c r="F9" s="274" t="s">
        <v>194</v>
      </c>
      <c r="G9" s="274" t="s">
        <v>195</v>
      </c>
      <c r="H9" s="275" t="s">
        <v>196</v>
      </c>
      <c r="I9" s="188" t="s">
        <v>197</v>
      </c>
      <c r="J9" s="188" t="s">
        <v>198</v>
      </c>
      <c r="K9" s="188" t="s">
        <v>199</v>
      </c>
      <c r="L9" s="188" t="s">
        <v>200</v>
      </c>
      <c r="M9" s="273" t="s">
        <v>201</v>
      </c>
      <c r="N9" s="274" t="s">
        <v>202</v>
      </c>
      <c r="O9" s="275" t="s">
        <v>203</v>
      </c>
    </row>
    <row r="10" spans="2:16" ht="12.75" customHeight="1">
      <c r="B10" s="253"/>
      <c r="C10" s="253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5"/>
    </row>
    <row r="11" spans="2:16" ht="12.75" customHeight="1">
      <c r="B11" s="277" t="s">
        <v>167</v>
      </c>
      <c r="C11" s="277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5"/>
    </row>
    <row r="12" spans="2:16" ht="12.75" hidden="1" customHeight="1">
      <c r="B12" s="278"/>
      <c r="C12" s="279"/>
      <c r="D12" s="8"/>
      <c r="E12" s="8"/>
      <c r="F12" s="8"/>
      <c r="G12" s="8"/>
      <c r="H12" s="13"/>
      <c r="I12" s="280"/>
      <c r="J12" s="281"/>
      <c r="K12" s="281"/>
      <c r="L12" s="282"/>
      <c r="M12" s="280"/>
      <c r="N12" s="281"/>
      <c r="O12" s="282"/>
    </row>
    <row r="13" spans="2:16" ht="12.75" customHeight="1">
      <c r="B13" s="283">
        <v>2019</v>
      </c>
      <c r="C13" s="284">
        <v>21.562641256729762</v>
      </c>
      <c r="D13" s="285">
        <v>22.152959557990595</v>
      </c>
      <c r="E13" s="285">
        <v>42.277222489174896</v>
      </c>
      <c r="F13" s="285">
        <v>23.293120114537736</v>
      </c>
      <c r="G13" s="285">
        <v>16.887340802107833</v>
      </c>
      <c r="H13" s="286">
        <v>13.104149648282798</v>
      </c>
      <c r="I13" s="287">
        <v>14.512730318208122</v>
      </c>
      <c r="J13" s="285">
        <v>40.057788737872514</v>
      </c>
      <c r="K13" s="285">
        <v>29.425532243509767</v>
      </c>
      <c r="L13" s="286">
        <v>15.602872391604922</v>
      </c>
      <c r="M13" s="287">
        <v>12.533851801732215</v>
      </c>
      <c r="N13" s="285">
        <v>13.00752409756163</v>
      </c>
      <c r="O13" s="286">
        <v>17.054785016235165</v>
      </c>
    </row>
    <row r="14" spans="2:16" ht="12.75" customHeight="1">
      <c r="B14" s="300">
        <v>2020</v>
      </c>
      <c r="C14" s="288">
        <v>18.297131969359295</v>
      </c>
      <c r="D14" s="289">
        <v>18.749275674228706</v>
      </c>
      <c r="E14" s="289">
        <v>15.894613578398337</v>
      </c>
      <c r="F14" s="289">
        <v>14.05401891735853</v>
      </c>
      <c r="G14" s="289">
        <v>12.793664644395932</v>
      </c>
      <c r="H14" s="290">
        <v>14.16951179538583</v>
      </c>
      <c r="I14" s="291">
        <v>14.345666172179497</v>
      </c>
      <c r="J14" s="289">
        <v>43.630533013198004</v>
      </c>
      <c r="K14" s="289">
        <v>28.914184537848399</v>
      </c>
      <c r="L14" s="290">
        <v>14.550132270467364</v>
      </c>
      <c r="M14" s="291">
        <v>12.540284312639425</v>
      </c>
      <c r="N14" s="289">
        <v>12.809983945664847</v>
      </c>
      <c r="O14" s="290">
        <v>16.355840008395415</v>
      </c>
    </row>
    <row r="15" spans="2:16" ht="12.75" customHeight="1">
      <c r="B15" s="300">
        <v>2021</v>
      </c>
      <c r="C15" s="288">
        <v>17.224357312183947</v>
      </c>
      <c r="D15" s="289">
        <v>19.488335320853018</v>
      </c>
      <c r="E15" s="289">
        <v>14.980618387671809</v>
      </c>
      <c r="F15" s="289">
        <v>15.557848222496849</v>
      </c>
      <c r="G15" s="289">
        <v>15.936465208062074</v>
      </c>
      <c r="H15" s="290">
        <v>15.050805006372311</v>
      </c>
      <c r="I15" s="291">
        <v>15.928673320287011</v>
      </c>
      <c r="J15" s="289">
        <v>28.935794552636324</v>
      </c>
      <c r="K15" s="289">
        <v>22.419423008465799</v>
      </c>
      <c r="L15" s="290">
        <v>15.593843786679001</v>
      </c>
      <c r="M15" s="291">
        <v>13.954307596770425</v>
      </c>
      <c r="N15" s="289">
        <v>14.04209275344904</v>
      </c>
      <c r="O15" s="290">
        <v>14.348352487180582</v>
      </c>
    </row>
    <row r="16" spans="2:16" ht="12.75" customHeight="1">
      <c r="B16" s="300">
        <v>2022</v>
      </c>
      <c r="C16" s="288">
        <v>18.66095232636825</v>
      </c>
      <c r="D16" s="289">
        <v>18.234077006051699</v>
      </c>
      <c r="E16" s="289">
        <v>19.391256949636155</v>
      </c>
      <c r="F16" s="289">
        <v>17.971055646567375</v>
      </c>
      <c r="G16" s="289">
        <v>17.082259287893152</v>
      </c>
      <c r="H16" s="290">
        <v>15.195501204276237</v>
      </c>
      <c r="I16" s="291">
        <v>14.406199970478813</v>
      </c>
      <c r="J16" s="289">
        <v>31.417689555776054</v>
      </c>
      <c r="K16" s="289">
        <v>27.553577891828152</v>
      </c>
      <c r="L16" s="290">
        <v>16.106579152123174</v>
      </c>
      <c r="M16" s="291">
        <v>14.719025693819006</v>
      </c>
      <c r="N16" s="289">
        <v>15.518941565980928</v>
      </c>
      <c r="O16" s="290">
        <v>16.034008654592338</v>
      </c>
    </row>
    <row r="17" spans="2:15" ht="12.75" customHeight="1">
      <c r="B17" s="300">
        <v>2023</v>
      </c>
      <c r="C17" s="288">
        <v>19.451485025597218</v>
      </c>
      <c r="D17" s="289">
        <v>18.343217338737983</v>
      </c>
      <c r="E17" s="289">
        <v>16.666936953501732</v>
      </c>
      <c r="F17" s="289">
        <v>18.917649522044204</v>
      </c>
      <c r="G17" s="289">
        <v>18.330609523634738</v>
      </c>
      <c r="H17" s="290">
        <v>16.554660003044674</v>
      </c>
      <c r="I17" s="291">
        <v>17.884572888023325</v>
      </c>
      <c r="J17" s="289">
        <v>31.729324050875761</v>
      </c>
      <c r="K17" s="289">
        <v>27.955106111305856</v>
      </c>
      <c r="L17" s="290">
        <v>15.425390523430375</v>
      </c>
      <c r="M17" s="291">
        <v>16.933706816330112</v>
      </c>
      <c r="N17" s="289">
        <v>17.088893151955681</v>
      </c>
      <c r="O17" s="290">
        <v>17.025491545838253</v>
      </c>
    </row>
    <row r="18" spans="2:15" ht="12.75" customHeight="1">
      <c r="B18" s="300">
        <v>2024</v>
      </c>
      <c r="C18" s="288">
        <v>21.528149241182973</v>
      </c>
      <c r="D18" s="289">
        <v>17.990133800300498</v>
      </c>
      <c r="E18" s="289">
        <v>18.570908271749342</v>
      </c>
      <c r="F18" s="289">
        <v>21.019560480465692</v>
      </c>
      <c r="G18" s="289">
        <v>18.076263671925911</v>
      </c>
      <c r="H18" s="290">
        <v>18.318197926552266</v>
      </c>
      <c r="I18" s="291">
        <v>19.627414517535932</v>
      </c>
      <c r="J18" s="289">
        <v>35.934600901301266</v>
      </c>
      <c r="K18" s="289">
        <v>32.21235553887022</v>
      </c>
      <c r="L18" s="290">
        <v>20.174169842802815</v>
      </c>
      <c r="M18" s="291">
        <v>17.720575407577016</v>
      </c>
      <c r="N18" s="289">
        <v>19.258488166574182</v>
      </c>
      <c r="O18" s="290">
        <v>18.9547758296771</v>
      </c>
    </row>
    <row r="19" spans="2:15" ht="12.75" customHeight="1">
      <c r="B19" s="300">
        <v>2025</v>
      </c>
      <c r="C19" s="288">
        <v>24.162167902656613</v>
      </c>
      <c r="D19" s="289">
        <v>20.057474175498129</v>
      </c>
      <c r="E19" s="289">
        <v>21.730122145262015</v>
      </c>
      <c r="F19" s="289">
        <v>22.798900973753785</v>
      </c>
      <c r="G19" s="289">
        <v>21.447392606972407</v>
      </c>
      <c r="H19" s="290">
        <v>19.745214708777524</v>
      </c>
      <c r="I19" s="291">
        <v>21.429093973104944</v>
      </c>
      <c r="J19" s="289">
        <v>37.842435104889816</v>
      </c>
      <c r="K19" s="289">
        <v>38.394434122667519</v>
      </c>
      <c r="L19" s="290">
        <v>22.328175597312757</v>
      </c>
      <c r="M19" s="291">
        <v>22.79299163062386</v>
      </c>
      <c r="N19" s="289">
        <v>20.603388434791938</v>
      </c>
      <c r="O19" s="290">
        <v>20.191334639821722</v>
      </c>
    </row>
    <row r="20" spans="2:15" ht="12.75" customHeight="1">
      <c r="B20" s="300">
        <v>2026</v>
      </c>
      <c r="C20" s="288">
        <v>28.64749221238317</v>
      </c>
      <c r="D20" s="289">
        <v>26.707434375065187</v>
      </c>
      <c r="E20" s="289">
        <v>26.769029213795218</v>
      </c>
      <c r="F20" s="289">
        <v>23.387390616639486</v>
      </c>
      <c r="G20" s="289">
        <v>23.762666251699958</v>
      </c>
      <c r="H20" s="290">
        <v>23.195354923693042</v>
      </c>
      <c r="I20" s="291">
        <v>26.58059060408382</v>
      </c>
      <c r="J20" s="289">
        <v>45.964895849255143</v>
      </c>
      <c r="K20" s="289">
        <v>41.902558135115889</v>
      </c>
      <c r="L20" s="290">
        <v>26.472000952566869</v>
      </c>
      <c r="M20" s="291">
        <v>25.56562396033657</v>
      </c>
      <c r="N20" s="289">
        <v>26.068032693938456</v>
      </c>
      <c r="O20" s="290">
        <v>26.834907445212206</v>
      </c>
    </row>
    <row r="21" spans="2:15" ht="12.75" customHeight="1">
      <c r="B21" s="300">
        <v>2027</v>
      </c>
      <c r="C21" s="288">
        <v>30.057642263035525</v>
      </c>
      <c r="D21" s="289">
        <v>27.993704480970859</v>
      </c>
      <c r="E21" s="289">
        <v>28.235365107106045</v>
      </c>
      <c r="F21" s="289">
        <v>26.976739295708835</v>
      </c>
      <c r="G21" s="289">
        <v>26.254166414583516</v>
      </c>
      <c r="H21" s="290">
        <v>23.614397663510736</v>
      </c>
      <c r="I21" s="291">
        <v>28.748222961499874</v>
      </c>
      <c r="J21" s="289">
        <v>46.301646548142273</v>
      </c>
      <c r="K21" s="289">
        <v>42.631375212363736</v>
      </c>
      <c r="L21" s="290">
        <v>27.652489114539282</v>
      </c>
      <c r="M21" s="291">
        <v>27.06248533014168</v>
      </c>
      <c r="N21" s="289">
        <v>27.040953404539369</v>
      </c>
      <c r="O21" s="290">
        <v>27.663981990261224</v>
      </c>
    </row>
    <row r="22" spans="2:15" ht="12.75" customHeight="1">
      <c r="B22" s="300">
        <v>2028</v>
      </c>
      <c r="C22" s="288">
        <v>33.323236315899102</v>
      </c>
      <c r="D22" s="289">
        <v>27.413706661541696</v>
      </c>
      <c r="E22" s="289">
        <v>27.1811707819022</v>
      </c>
      <c r="F22" s="289">
        <v>28.263073732659663</v>
      </c>
      <c r="G22" s="289">
        <v>27.764864357664145</v>
      </c>
      <c r="H22" s="290">
        <v>25.219526477365164</v>
      </c>
      <c r="I22" s="291">
        <v>29.894676188802968</v>
      </c>
      <c r="J22" s="289">
        <v>60.921348130749841</v>
      </c>
      <c r="K22" s="289">
        <v>53.510983243982395</v>
      </c>
      <c r="L22" s="290">
        <v>30.458435287122512</v>
      </c>
      <c r="M22" s="291">
        <v>27.647500296728584</v>
      </c>
      <c r="N22" s="289">
        <v>28.897094202660647</v>
      </c>
      <c r="O22" s="290">
        <v>31.785101387828028</v>
      </c>
    </row>
    <row r="23" spans="2:15" ht="12.75" customHeight="1">
      <c r="B23" s="300">
        <v>2029</v>
      </c>
      <c r="C23" s="288">
        <v>37.24387874212956</v>
      </c>
      <c r="D23" s="289">
        <v>29.737018421903173</v>
      </c>
      <c r="E23" s="289">
        <v>29.678561644474311</v>
      </c>
      <c r="F23" s="289">
        <v>29.916715513806668</v>
      </c>
      <c r="G23" s="289">
        <v>28.415962131452645</v>
      </c>
      <c r="H23" s="290">
        <v>26.583867749917893</v>
      </c>
      <c r="I23" s="291">
        <v>31.918750285533566</v>
      </c>
      <c r="J23" s="289">
        <v>66.63356446035607</v>
      </c>
      <c r="K23" s="289">
        <v>75.149779764437866</v>
      </c>
      <c r="L23" s="290">
        <v>34.823833877910758</v>
      </c>
      <c r="M23" s="291">
        <v>28.383539777506062</v>
      </c>
      <c r="N23" s="289">
        <v>30.198047141664144</v>
      </c>
      <c r="O23" s="290">
        <v>33.992875980953933</v>
      </c>
    </row>
    <row r="24" spans="2:15" ht="12.75" customHeight="1">
      <c r="B24" s="300">
        <v>2030</v>
      </c>
      <c r="C24" s="288">
        <v>41.885506092875517</v>
      </c>
      <c r="D24" s="289">
        <v>34.247647979488214</v>
      </c>
      <c r="E24" s="289">
        <v>32.351674071995632</v>
      </c>
      <c r="F24" s="289">
        <v>30.506988821762103</v>
      </c>
      <c r="G24" s="289">
        <v>29.13813787523657</v>
      </c>
      <c r="H24" s="290">
        <v>28.448620635763973</v>
      </c>
      <c r="I24" s="291">
        <v>35.894082729259715</v>
      </c>
      <c r="J24" s="289">
        <v>81.590190533322669</v>
      </c>
      <c r="K24" s="289">
        <v>82.768085627683632</v>
      </c>
      <c r="L24" s="290">
        <v>40.016028009177496</v>
      </c>
      <c r="M24" s="291">
        <v>33.126812206295632</v>
      </c>
      <c r="N24" s="289">
        <v>34.361597352590621</v>
      </c>
      <c r="O24" s="290">
        <v>38.346088740712695</v>
      </c>
    </row>
    <row r="25" spans="2:15" ht="12.75" customHeight="1">
      <c r="B25" s="300">
        <v>2031</v>
      </c>
      <c r="C25" s="288">
        <v>45.707744440370497</v>
      </c>
      <c r="D25" s="289">
        <v>37.655225364351942</v>
      </c>
      <c r="E25" s="289">
        <v>35.923687957297744</v>
      </c>
      <c r="F25" s="289">
        <v>34.559904315961546</v>
      </c>
      <c r="G25" s="289">
        <v>32.269720244668214</v>
      </c>
      <c r="H25" s="290">
        <v>33.170652706712602</v>
      </c>
      <c r="I25" s="291">
        <v>40.690802180964084</v>
      </c>
      <c r="J25" s="289">
        <v>87.679594072505665</v>
      </c>
      <c r="K25" s="289">
        <v>87.620462647119282</v>
      </c>
      <c r="L25" s="290">
        <v>43.343069555876156</v>
      </c>
      <c r="M25" s="291">
        <v>36.977130904407588</v>
      </c>
      <c r="N25" s="289">
        <v>36.511361950897509</v>
      </c>
      <c r="O25" s="290">
        <v>40.176218374709606</v>
      </c>
    </row>
    <row r="26" spans="2:15" ht="12.75" customHeight="1">
      <c r="B26" s="300">
        <v>2032</v>
      </c>
      <c r="C26" s="288">
        <v>47.916717495068447</v>
      </c>
      <c r="D26" s="289">
        <v>37.733079613836139</v>
      </c>
      <c r="E26" s="289">
        <v>36.934876480506972</v>
      </c>
      <c r="F26" s="289">
        <v>36.115975304275992</v>
      </c>
      <c r="G26" s="289">
        <v>36.710753388164356</v>
      </c>
      <c r="H26" s="290">
        <v>33.676720512089346</v>
      </c>
      <c r="I26" s="291">
        <v>46.392464436347289</v>
      </c>
      <c r="J26" s="289">
        <v>90.624711026254118</v>
      </c>
      <c r="K26" s="289">
        <v>90.581254971961101</v>
      </c>
      <c r="L26" s="290">
        <v>45.021386686580875</v>
      </c>
      <c r="M26" s="291">
        <v>38.113223783257666</v>
      </c>
      <c r="N26" s="289">
        <v>38.256590373384043</v>
      </c>
      <c r="O26" s="290">
        <v>43.315400553679353</v>
      </c>
    </row>
    <row r="27" spans="2:15" ht="12.75" customHeight="1">
      <c r="B27" s="300">
        <v>2033</v>
      </c>
      <c r="C27" s="288">
        <v>53.466261066889651</v>
      </c>
      <c r="D27" s="289">
        <v>41.307609914882931</v>
      </c>
      <c r="E27" s="289">
        <v>42.789883065059158</v>
      </c>
      <c r="F27" s="289">
        <v>38.475273902573655</v>
      </c>
      <c r="G27" s="289">
        <v>36.307183693575361</v>
      </c>
      <c r="H27" s="290">
        <v>33.568995899676437</v>
      </c>
      <c r="I27" s="291">
        <v>52.870831728266346</v>
      </c>
      <c r="J27" s="289">
        <v>112.36520490357472</v>
      </c>
      <c r="K27" s="289">
        <v>101.36431926679548</v>
      </c>
      <c r="L27" s="290">
        <v>49.325040710731514</v>
      </c>
      <c r="M27" s="291">
        <v>42.418834980060495</v>
      </c>
      <c r="N27" s="289">
        <v>42.215996083522008</v>
      </c>
      <c r="O27" s="290">
        <v>46.483535232769064</v>
      </c>
    </row>
    <row r="28" spans="2:15" ht="12.75" customHeight="1">
      <c r="B28" s="300">
        <v>2034</v>
      </c>
      <c r="C28" s="288">
        <v>56.08169196018536</v>
      </c>
      <c r="D28" s="289">
        <v>43.606522664750216</v>
      </c>
      <c r="E28" s="289">
        <v>45.459299195505061</v>
      </c>
      <c r="F28" s="289">
        <v>41.01082974290776</v>
      </c>
      <c r="G28" s="289">
        <v>38.625566554473714</v>
      </c>
      <c r="H28" s="290">
        <v>33.58123736160497</v>
      </c>
      <c r="I28" s="291">
        <v>56.243920944157573</v>
      </c>
      <c r="J28" s="289">
        <v>118.57009436971958</v>
      </c>
      <c r="K28" s="289">
        <v>108.19790707859701</v>
      </c>
      <c r="L28" s="290">
        <v>50.435078655626214</v>
      </c>
      <c r="M28" s="291">
        <v>43.11170086897549</v>
      </c>
      <c r="N28" s="289">
        <v>44.011754021652457</v>
      </c>
      <c r="O28" s="290">
        <v>47.969049291385197</v>
      </c>
    </row>
    <row r="29" spans="2:15" ht="12.75" customHeight="1">
      <c r="B29" s="300">
        <v>2035</v>
      </c>
      <c r="C29" s="288">
        <v>59.898845224870392</v>
      </c>
      <c r="D29" s="289">
        <v>45.913908368824949</v>
      </c>
      <c r="E29" s="289">
        <v>46.092029807812402</v>
      </c>
      <c r="F29" s="289">
        <v>43.874298160979421</v>
      </c>
      <c r="G29" s="289">
        <v>42.41595735469626</v>
      </c>
      <c r="H29" s="290">
        <v>34.218877712687053</v>
      </c>
      <c r="I29" s="291">
        <v>53.398770479492015</v>
      </c>
      <c r="J29" s="289">
        <v>122.4838343108846</v>
      </c>
      <c r="K29" s="289">
        <v>131.85034583462502</v>
      </c>
      <c r="L29" s="290">
        <v>53.52556660444165</v>
      </c>
      <c r="M29" s="291">
        <v>44.653086585503431</v>
      </c>
      <c r="N29" s="289">
        <v>44.587018174000086</v>
      </c>
      <c r="O29" s="290">
        <v>52.963142383919767</v>
      </c>
    </row>
    <row r="30" spans="2:15" ht="12.75" customHeight="1">
      <c r="B30" s="301">
        <v>2036</v>
      </c>
      <c r="C30" s="293">
        <v>61.907776267988865</v>
      </c>
      <c r="D30" s="294">
        <v>46.483972012929378</v>
      </c>
      <c r="E30" s="294">
        <v>47.359019581109031</v>
      </c>
      <c r="F30" s="294">
        <v>41.962864290659304</v>
      </c>
      <c r="G30" s="294">
        <v>40.218537835908016</v>
      </c>
      <c r="H30" s="295">
        <v>35.857980018360642</v>
      </c>
      <c r="I30" s="296">
        <v>57.591300466930285</v>
      </c>
      <c r="J30" s="294">
        <v>136.68113698582414</v>
      </c>
      <c r="K30" s="294">
        <v>123.67651884954863</v>
      </c>
      <c r="L30" s="295">
        <v>58.562492659838249</v>
      </c>
      <c r="M30" s="296">
        <v>49.10565398160368</v>
      </c>
      <c r="N30" s="294">
        <v>46.436443211970641</v>
      </c>
      <c r="O30" s="295">
        <v>56.572884215658874</v>
      </c>
    </row>
    <row r="31" spans="2:15" ht="12.75" hidden="1" customHeight="1">
      <c r="B31" s="15"/>
      <c r="C31" s="288"/>
      <c r="D31" s="289"/>
      <c r="E31" s="289"/>
      <c r="F31" s="289"/>
      <c r="G31" s="289"/>
      <c r="H31" s="290"/>
      <c r="I31" s="291"/>
      <c r="J31" s="289"/>
      <c r="K31" s="289"/>
      <c r="L31" s="290"/>
      <c r="M31" s="291"/>
      <c r="N31" s="289"/>
      <c r="O31" s="290"/>
    </row>
    <row r="32" spans="2:15" ht="12.75" hidden="1" customHeight="1">
      <c r="B32" s="292"/>
      <c r="C32" s="293"/>
      <c r="D32" s="294"/>
      <c r="E32" s="294"/>
      <c r="F32" s="294"/>
      <c r="G32" s="294"/>
      <c r="H32" s="295"/>
      <c r="I32" s="296"/>
      <c r="J32" s="294"/>
      <c r="K32" s="294"/>
      <c r="L32" s="295"/>
      <c r="M32" s="296"/>
      <c r="N32" s="294"/>
      <c r="O32" s="295"/>
    </row>
    <row r="33" spans="2:16" ht="12.75" customHeight="1">
      <c r="D33" s="10"/>
      <c r="E33" s="10"/>
      <c r="F33" s="10"/>
      <c r="M33" s="297"/>
    </row>
    <row r="34" spans="2:16">
      <c r="B34" s="29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</row>
    <row r="38" spans="2:16" hidden="1">
      <c r="C38" s="299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99"/>
    </row>
    <row r="40" spans="2:16">
      <c r="C40" s="299"/>
    </row>
    <row r="41" spans="2:16">
      <c r="C41" s="299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topLeftCell="A2" zoomScale="60" zoomScaleNormal="100" workbookViewId="0">
      <selection activeCell="F26" sqref="F26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0" style="3" hidden="1" customWidth="1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4" hidden="1" customWidth="1"/>
    <col min="12" max="12" width="10.33203125" style="94" hidden="1" customWidth="1"/>
    <col min="13" max="13" width="13.83203125" style="94" hidden="1" customWidth="1"/>
    <col min="14" max="14" width="12.83203125" style="3" hidden="1" customWidth="1"/>
    <col min="15" max="15" width="13.33203125" style="3" hidden="1" customWidth="1"/>
    <col min="16" max="16" width="9.33203125" style="3" customWidth="1"/>
    <col min="17" max="16384" width="9.33203125" style="3"/>
  </cols>
  <sheetData>
    <row r="1" spans="2:15" ht="15.75" hidden="1">
      <c r="B1" s="1" t="s">
        <v>36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57</v>
      </c>
      <c r="C3" s="1"/>
      <c r="G3" s="29"/>
    </row>
    <row r="4" spans="2:15" ht="15.75">
      <c r="B4" s="1" t="s">
        <v>31</v>
      </c>
      <c r="C4" s="1"/>
      <c r="G4" s="95" t="s">
        <v>30</v>
      </c>
    </row>
    <row r="5" spans="2:15" ht="15.75">
      <c r="B5" s="1" t="str">
        <f ca="1">'Table 1'!$B$5</f>
        <v>Utah 2019.Q2 - 100.0 MW and 100.0% CF</v>
      </c>
      <c r="C5" s="1"/>
      <c r="G5" s="96">
        <v>43644</v>
      </c>
    </row>
    <row r="6" spans="2:15">
      <c r="B6" s="11"/>
      <c r="C6" s="11"/>
      <c r="G6" s="29"/>
    </row>
    <row r="7" spans="2:15" ht="14.25">
      <c r="B7" s="21"/>
      <c r="C7" s="28" t="s">
        <v>27</v>
      </c>
      <c r="G7" s="29"/>
    </row>
    <row r="8" spans="2:15">
      <c r="B8" s="22"/>
      <c r="C8" s="16" t="s">
        <v>28</v>
      </c>
      <c r="D8" s="16" t="s">
        <v>28</v>
      </c>
      <c r="E8" s="16" t="s">
        <v>28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22</v>
      </c>
      <c r="D10" s="24" t="s">
        <v>22</v>
      </c>
      <c r="E10" s="24" t="s">
        <v>22</v>
      </c>
      <c r="G10" s="97"/>
      <c r="H10" s="98"/>
    </row>
    <row r="11" spans="2:15" hidden="1">
      <c r="C11" s="12"/>
      <c r="G11" s="97"/>
      <c r="H11" s="98"/>
    </row>
    <row r="12" spans="2:15" hidden="1">
      <c r="C12" s="25"/>
      <c r="G12" s="97"/>
      <c r="H12" s="98"/>
    </row>
    <row r="13" spans="2:15" ht="6" customHeight="1">
      <c r="G13" s="99"/>
      <c r="H13" s="100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1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2.65</v>
      </c>
      <c r="D15" s="27">
        <f t="shared" ref="D15:D40" si="2">ROUND(SUMIF($K$17:$K$340,$B15,$I$17:$I$340)/COUNTIF($K$17:$K$340,$B15),2)</f>
        <v>3.31</v>
      </c>
      <c r="E15" s="27">
        <f t="shared" ref="E15:E40" si="3">ROUND(SUMIF($K$17:$K$340,$B15,$J$17:$J$340)/COUNTIF($K$17:$K$340,$B15),2)</f>
        <v>2.66</v>
      </c>
      <c r="G15" s="30"/>
      <c r="H15" s="34" t="s">
        <v>65</v>
      </c>
      <c r="I15" s="3" t="s">
        <v>66</v>
      </c>
      <c r="J15" s="3" t="s">
        <v>67</v>
      </c>
      <c r="N15" s="3" t="s">
        <v>66</v>
      </c>
    </row>
    <row r="16" spans="2:15" ht="13.5" thickBot="1">
      <c r="B16" s="26">
        <f t="shared" si="0"/>
        <v>2018</v>
      </c>
      <c r="C16" s="27">
        <f t="shared" si="1"/>
        <v>2.59</v>
      </c>
      <c r="D16" s="27">
        <f t="shared" si="2"/>
        <v>3.23</v>
      </c>
      <c r="E16" s="27">
        <f t="shared" si="3"/>
        <v>2.6</v>
      </c>
      <c r="G16" s="30" t="s">
        <v>29</v>
      </c>
      <c r="H16" s="34" t="s">
        <v>28</v>
      </c>
      <c r="I16" s="34" t="s">
        <v>28</v>
      </c>
      <c r="J16" s="34" t="s">
        <v>28</v>
      </c>
      <c r="K16" s="102" t="s">
        <v>0</v>
      </c>
      <c r="M16" s="103" t="str">
        <f>IF(_30_Geo_West&gt;0,"IRP - Wyo NE",IF(_436_CCCT_WestMain&gt;0,"West Side","IRP - Utah Greenfield"))</f>
        <v>IRP - Utah Greenfield</v>
      </c>
      <c r="N16" s="103" t="s">
        <v>112</v>
      </c>
      <c r="O16" s="103" t="s">
        <v>67</v>
      </c>
    </row>
    <row r="17" spans="2:15" ht="13.5" thickBot="1">
      <c r="B17" s="26">
        <f t="shared" si="0"/>
        <v>2019</v>
      </c>
      <c r="C17" s="27">
        <f t="shared" si="1"/>
        <v>2.38</v>
      </c>
      <c r="D17" s="27">
        <f t="shared" si="2"/>
        <v>4.07</v>
      </c>
      <c r="E17" s="27">
        <f t="shared" si="3"/>
        <v>2.11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4">
        <f t="shared" ref="K17:K64" si="4">YEAR(G17)</f>
        <v>2016</v>
      </c>
      <c r="M17" s="105">
        <v>47</v>
      </c>
      <c r="N17" s="105">
        <v>43</v>
      </c>
      <c r="O17" s="105">
        <v>46</v>
      </c>
    </row>
    <row r="18" spans="2:15">
      <c r="B18" s="26">
        <f t="shared" si="0"/>
        <v>2020</v>
      </c>
      <c r="C18" s="27">
        <f t="shared" si="1"/>
        <v>2.15</v>
      </c>
      <c r="D18" s="27">
        <f t="shared" si="2"/>
        <v>2.11</v>
      </c>
      <c r="E18" s="27">
        <f t="shared" si="3"/>
        <v>1.97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4">
        <f t="shared" si="4"/>
        <v>2016</v>
      </c>
    </row>
    <row r="19" spans="2:15">
      <c r="B19" s="26">
        <f t="shared" si="0"/>
        <v>2021</v>
      </c>
      <c r="C19" s="27">
        <f t="shared" si="1"/>
        <v>2.2000000000000002</v>
      </c>
      <c r="D19" s="27">
        <f t="shared" si="2"/>
        <v>2.11</v>
      </c>
      <c r="E19" s="27">
        <f t="shared" si="3"/>
        <v>2.0699999999999998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4">
        <f t="shared" si="4"/>
        <v>2016</v>
      </c>
    </row>
    <row r="20" spans="2:15">
      <c r="B20" s="26">
        <f t="shared" si="0"/>
        <v>2022</v>
      </c>
      <c r="C20" s="27">
        <f t="shared" si="1"/>
        <v>2.31</v>
      </c>
      <c r="D20" s="27">
        <f t="shared" si="2"/>
        <v>2.23</v>
      </c>
      <c r="E20" s="27">
        <f t="shared" si="3"/>
        <v>2.17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4">
        <f t="shared" si="4"/>
        <v>2016</v>
      </c>
    </row>
    <row r="21" spans="2:15">
      <c r="B21" s="26">
        <f t="shared" si="0"/>
        <v>2023</v>
      </c>
      <c r="C21" s="27">
        <f t="shared" si="1"/>
        <v>2.52</v>
      </c>
      <c r="D21" s="27">
        <f t="shared" si="2"/>
        <v>2.4700000000000002</v>
      </c>
      <c r="E21" s="27">
        <f t="shared" si="3"/>
        <v>2.38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4">
        <f t="shared" si="4"/>
        <v>2016</v>
      </c>
    </row>
    <row r="22" spans="2:15">
      <c r="B22" s="26">
        <f t="shared" si="0"/>
        <v>2024</v>
      </c>
      <c r="C22" s="27">
        <f t="shared" si="1"/>
        <v>2.8</v>
      </c>
      <c r="D22" s="27">
        <f t="shared" si="2"/>
        <v>2.81</v>
      </c>
      <c r="E22" s="27">
        <f t="shared" si="3"/>
        <v>2.66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4">
        <f t="shared" si="4"/>
        <v>2016</v>
      </c>
    </row>
    <row r="23" spans="2:15">
      <c r="B23" s="26">
        <f t="shared" si="0"/>
        <v>2025</v>
      </c>
      <c r="C23" s="27">
        <f t="shared" si="1"/>
        <v>3.16</v>
      </c>
      <c r="D23" s="27">
        <f t="shared" si="2"/>
        <v>3.15</v>
      </c>
      <c r="E23" s="27">
        <f t="shared" si="3"/>
        <v>3.01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4">
        <f t="shared" si="4"/>
        <v>2016</v>
      </c>
    </row>
    <row r="24" spans="2:15">
      <c r="B24" s="26">
        <f t="shared" si="0"/>
        <v>2026</v>
      </c>
      <c r="C24" s="27">
        <f t="shared" si="1"/>
        <v>3.38</v>
      </c>
      <c r="D24" s="27">
        <f t="shared" si="2"/>
        <v>3.4</v>
      </c>
      <c r="E24" s="27">
        <f t="shared" si="3"/>
        <v>3.23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4">
        <f t="shared" si="4"/>
        <v>2016</v>
      </c>
    </row>
    <row r="25" spans="2:15">
      <c r="B25" s="26">
        <f t="shared" si="0"/>
        <v>2027</v>
      </c>
      <c r="C25" s="27">
        <f t="shared" si="1"/>
        <v>3.52</v>
      </c>
      <c r="D25" s="27">
        <f t="shared" si="2"/>
        <v>3.56</v>
      </c>
      <c r="E25" s="27">
        <f t="shared" si="3"/>
        <v>3.37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4">
        <f t="shared" si="4"/>
        <v>2016</v>
      </c>
    </row>
    <row r="26" spans="2:15">
      <c r="B26" s="26">
        <f t="shared" si="0"/>
        <v>2028</v>
      </c>
      <c r="C26" s="27">
        <f t="shared" si="1"/>
        <v>3.75</v>
      </c>
      <c r="D26" s="27">
        <f t="shared" si="2"/>
        <v>3.81</v>
      </c>
      <c r="E26" s="27">
        <f t="shared" si="3"/>
        <v>3.6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4">
        <f t="shared" si="4"/>
        <v>2016</v>
      </c>
    </row>
    <row r="27" spans="2:15">
      <c r="B27" s="26">
        <f t="shared" si="0"/>
        <v>2029</v>
      </c>
      <c r="C27" s="27">
        <f t="shared" si="1"/>
        <v>3.89</v>
      </c>
      <c r="D27" s="27">
        <f t="shared" si="2"/>
        <v>3.97</v>
      </c>
      <c r="E27" s="27">
        <f t="shared" si="3"/>
        <v>3.73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4">
        <f t="shared" si="4"/>
        <v>2016</v>
      </c>
    </row>
    <row r="28" spans="2:15">
      <c r="B28" s="26">
        <f t="shared" si="0"/>
        <v>2030</v>
      </c>
      <c r="C28" s="27">
        <f t="shared" si="1"/>
        <v>4.04</v>
      </c>
      <c r="D28" s="27">
        <f t="shared" si="2"/>
        <v>4.1100000000000003</v>
      </c>
      <c r="E28" s="27">
        <f t="shared" si="3"/>
        <v>3.89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4">
        <f t="shared" si="4"/>
        <v>2016</v>
      </c>
    </row>
    <row r="29" spans="2:15">
      <c r="B29" s="26">
        <f t="shared" si="0"/>
        <v>2031</v>
      </c>
      <c r="C29" s="27">
        <f t="shared" si="1"/>
        <v>4.3499999999999996</v>
      </c>
      <c r="D29" s="27">
        <f t="shared" si="2"/>
        <v>4.3899999999999997</v>
      </c>
      <c r="E29" s="27">
        <f t="shared" si="3"/>
        <v>4.1900000000000004</v>
      </c>
      <c r="G29" s="31">
        <v>42736</v>
      </c>
      <c r="H29" s="35">
        <v>2.9365659189280224</v>
      </c>
      <c r="I29" s="35">
        <v>2.8135887402859616</v>
      </c>
      <c r="J29" s="35">
        <v>3.0826510126176525</v>
      </c>
      <c r="K29" s="104">
        <f t="shared" si="4"/>
        <v>2017</v>
      </c>
    </row>
    <row r="30" spans="2:15">
      <c r="B30" s="26">
        <f t="shared" si="0"/>
        <v>2032</v>
      </c>
      <c r="C30" s="27">
        <f t="shared" si="1"/>
        <v>4.59</v>
      </c>
      <c r="D30" s="27">
        <f t="shared" si="2"/>
        <v>4.62</v>
      </c>
      <c r="E30" s="27">
        <f t="shared" si="3"/>
        <v>4.43</v>
      </c>
      <c r="G30" s="31">
        <v>42767</v>
      </c>
      <c r="H30" s="35">
        <v>2.2424949344592338</v>
      </c>
      <c r="I30" s="35">
        <v>2.2559061081726517</v>
      </c>
      <c r="J30" s="35">
        <v>2.2490598127356938</v>
      </c>
      <c r="K30" s="104">
        <f t="shared" si="4"/>
        <v>2017</v>
      </c>
    </row>
    <row r="31" spans="2:15">
      <c r="B31" s="26">
        <f t="shared" si="0"/>
        <v>2033</v>
      </c>
      <c r="C31" s="27">
        <f t="shared" si="1"/>
        <v>4.97</v>
      </c>
      <c r="D31" s="27">
        <f t="shared" si="2"/>
        <v>4.96</v>
      </c>
      <c r="E31" s="27">
        <f t="shared" si="3"/>
        <v>4.8</v>
      </c>
      <c r="G31" s="31">
        <v>42795</v>
      </c>
      <c r="H31" s="35">
        <v>2.1136794713706815</v>
      </c>
      <c r="I31" s="35">
        <v>2.1843639754367272</v>
      </c>
      <c r="J31" s="35">
        <v>2.1613389321133352</v>
      </c>
      <c r="K31" s="104">
        <f t="shared" si="4"/>
        <v>2017</v>
      </c>
    </row>
    <row r="32" spans="2:15">
      <c r="B32" s="26">
        <f t="shared" si="0"/>
        <v>2034</v>
      </c>
      <c r="C32" s="27">
        <f t="shared" si="1"/>
        <v>5.1100000000000003</v>
      </c>
      <c r="D32" s="27">
        <f t="shared" si="2"/>
        <v>5.09</v>
      </c>
      <c r="E32" s="27">
        <f t="shared" si="3"/>
        <v>4.95</v>
      </c>
      <c r="G32" s="31">
        <v>42826</v>
      </c>
      <c r="H32" s="35">
        <v>1.9776764449626556</v>
      </c>
      <c r="I32" s="35">
        <v>2.02262576128114</v>
      </c>
      <c r="J32" s="35">
        <v>2.0694667469637662</v>
      </c>
      <c r="K32" s="104">
        <f t="shared" si="4"/>
        <v>2017</v>
      </c>
    </row>
    <row r="33" spans="2:11">
      <c r="B33" s="26">
        <f t="shared" si="0"/>
        <v>2035</v>
      </c>
      <c r="C33" s="27">
        <f t="shared" si="1"/>
        <v>5.27</v>
      </c>
      <c r="D33" s="27">
        <f t="shared" si="2"/>
        <v>5.19</v>
      </c>
      <c r="E33" s="27">
        <f t="shared" si="3"/>
        <v>5.0999999999999996</v>
      </c>
      <c r="G33" s="31">
        <v>42856</v>
      </c>
      <c r="H33" s="35">
        <v>1.7831839406645238</v>
      </c>
      <c r="I33" s="35">
        <v>1.5708405984016238</v>
      </c>
      <c r="J33" s="35">
        <v>1.8794896381126289</v>
      </c>
      <c r="K33" s="104">
        <f t="shared" si="4"/>
        <v>2017</v>
      </c>
    </row>
    <row r="34" spans="2:11">
      <c r="B34" s="26">
        <f t="shared" si="0"/>
        <v>2036</v>
      </c>
      <c r="C34" s="27">
        <f t="shared" si="1"/>
        <v>5.39</v>
      </c>
      <c r="D34" s="27">
        <f t="shared" si="2"/>
        <v>5.27</v>
      </c>
      <c r="E34" s="27">
        <f t="shared" si="3"/>
        <v>5.22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4">
        <f t="shared" si="4"/>
        <v>2017</v>
      </c>
    </row>
    <row r="35" spans="2:11">
      <c r="B35" s="26">
        <f t="shared" si="0"/>
        <v>2037</v>
      </c>
      <c r="C35" s="27">
        <f t="shared" si="1"/>
        <v>5.79</v>
      </c>
      <c r="D35" s="27">
        <f t="shared" si="2"/>
        <v>5.68</v>
      </c>
      <c r="E35" s="27">
        <f t="shared" si="3"/>
        <v>5.61</v>
      </c>
      <c r="G35" s="31">
        <v>42917</v>
      </c>
      <c r="H35" s="35">
        <v>2.421637499285668</v>
      </c>
      <c r="I35" s="35">
        <v>2.353571484540065</v>
      </c>
      <c r="J35" s="35">
        <v>2.4674716230698741</v>
      </c>
      <c r="K35" s="104">
        <f t="shared" si="4"/>
        <v>2017</v>
      </c>
    </row>
    <row r="36" spans="2:11">
      <c r="B36" s="26">
        <f t="shared" si="0"/>
        <v>2038</v>
      </c>
      <c r="C36" s="27">
        <f t="shared" si="1"/>
        <v>6.05</v>
      </c>
      <c r="D36" s="27">
        <f t="shared" si="2"/>
        <v>5.92</v>
      </c>
      <c r="E36" s="27">
        <f t="shared" si="3"/>
        <v>5.88</v>
      </c>
      <c r="G36" s="31">
        <v>42948</v>
      </c>
      <c r="H36" s="35">
        <v>2.4788435090089065</v>
      </c>
      <c r="I36" s="35">
        <v>2.5401507418632927</v>
      </c>
      <c r="J36" s="35">
        <v>2.4624530543656684</v>
      </c>
      <c r="K36" s="104">
        <f t="shared" si="4"/>
        <v>2017</v>
      </c>
    </row>
    <row r="37" spans="2:11">
      <c r="B37" s="26">
        <f t="shared" si="0"/>
        <v>2039</v>
      </c>
      <c r="C37" s="27">
        <f t="shared" si="1"/>
        <v>6.3</v>
      </c>
      <c r="D37" s="27">
        <f t="shared" si="2"/>
        <v>6.15</v>
      </c>
      <c r="E37" s="27">
        <f t="shared" si="3"/>
        <v>6.12</v>
      </c>
      <c r="G37" s="31">
        <v>42979</v>
      </c>
      <c r="H37" s="35">
        <v>2.2194892808138165</v>
      </c>
      <c r="I37" s="35">
        <v>2.3919118237202426</v>
      </c>
      <c r="J37" s="35">
        <v>2.224504673004402</v>
      </c>
      <c r="K37" s="104">
        <f t="shared" si="4"/>
        <v>2017</v>
      </c>
    </row>
    <row r="38" spans="2:11">
      <c r="B38" s="26">
        <f t="shared" si="0"/>
        <v>2040</v>
      </c>
      <c r="C38" s="27">
        <f t="shared" si="1"/>
        <v>6.51</v>
      </c>
      <c r="D38" s="27">
        <f t="shared" si="2"/>
        <v>6.38</v>
      </c>
      <c r="E38" s="27">
        <f t="shared" si="3"/>
        <v>6.33</v>
      </c>
      <c r="G38" s="31">
        <v>43009</v>
      </c>
      <c r="H38" s="35">
        <v>2.9128539684320356</v>
      </c>
      <c r="I38" s="35">
        <v>4.6218921162427922</v>
      </c>
      <c r="J38" s="35">
        <v>2.9275610507263972</v>
      </c>
      <c r="K38" s="104">
        <f t="shared" si="4"/>
        <v>2017</v>
      </c>
    </row>
    <row r="39" spans="2:11" hidden="1">
      <c r="B39" s="26">
        <f t="shared" si="0"/>
        <v>2041</v>
      </c>
      <c r="C39" s="27" t="e">
        <f t="shared" si="1"/>
        <v>#N/A</v>
      </c>
      <c r="D39" s="27" t="e">
        <f t="shared" si="2"/>
        <v>#N/A</v>
      </c>
      <c r="E39" s="27" t="e">
        <f t="shared" si="3"/>
        <v>#N/A</v>
      </c>
      <c r="G39" s="31">
        <v>43040</v>
      </c>
      <c r="H39" s="35">
        <v>3.9745333850417399</v>
      </c>
      <c r="I39" s="35">
        <v>8.6680488460990404</v>
      </c>
      <c r="J39" s="35">
        <v>3.8702964836561957</v>
      </c>
      <c r="K39" s="104">
        <f t="shared" si="4"/>
        <v>2017</v>
      </c>
    </row>
    <row r="40" spans="2:11" hidden="1">
      <c r="B40" s="26">
        <f t="shared" si="0"/>
        <v>2042</v>
      </c>
      <c r="C40" s="27" t="e">
        <f>ROUND(SUMIF($K$17:$K$340,$B40,$H$17:$H$340)/COUNTIF($K$17:$K$340,$B40),2)</f>
        <v>#N/A</v>
      </c>
      <c r="D40" s="27" t="e">
        <f t="shared" si="2"/>
        <v>#N/A</v>
      </c>
      <c r="E40" s="27" t="e">
        <f t="shared" si="3"/>
        <v>#N/A</v>
      </c>
      <c r="G40" s="31">
        <v>43070</v>
      </c>
      <c r="H40" s="35">
        <v>3.9079382357981771</v>
      </c>
      <c r="I40" s="35">
        <v>5.443905271233902</v>
      </c>
      <c r="J40" s="35">
        <v>3.5768990853253793</v>
      </c>
      <c r="K40" s="104">
        <f t="shared" si="4"/>
        <v>2017</v>
      </c>
    </row>
    <row r="41" spans="2:11">
      <c r="B41" s="26"/>
      <c r="C41" s="27"/>
      <c r="G41" s="31">
        <v>43101</v>
      </c>
      <c r="H41" s="35">
        <v>2.9365659189280224</v>
      </c>
      <c r="I41" s="35">
        <v>2.8135887402859616</v>
      </c>
      <c r="J41" s="35">
        <v>3.0826510126176525</v>
      </c>
      <c r="K41" s="104">
        <f t="shared" si="4"/>
        <v>2018</v>
      </c>
    </row>
    <row r="42" spans="2:11">
      <c r="B42" s="26"/>
      <c r="C42" s="27"/>
      <c r="G42" s="31">
        <v>43132</v>
      </c>
      <c r="H42" s="35">
        <v>2.2424949344592338</v>
      </c>
      <c r="I42" s="35">
        <v>2.2559061081726517</v>
      </c>
      <c r="J42" s="35">
        <v>2.2490598127356938</v>
      </c>
      <c r="K42" s="104">
        <f t="shared" si="4"/>
        <v>2018</v>
      </c>
    </row>
    <row r="43" spans="2:11">
      <c r="G43" s="31">
        <v>43160</v>
      </c>
      <c r="H43" s="35">
        <v>2.1136794713706815</v>
      </c>
      <c r="I43" s="35">
        <v>2.1843639754367272</v>
      </c>
      <c r="J43" s="35">
        <v>2.1613389321133352</v>
      </c>
      <c r="K43" s="104">
        <f t="shared" si="4"/>
        <v>2018</v>
      </c>
    </row>
    <row r="44" spans="2:11">
      <c r="B44" s="106" t="str">
        <f>"Official Forward Price Curve Forecast dated   "&amp;TEXT(G5,"MMM dd, YYYY")</f>
        <v>Official Forward Price Curve Forecast dated   Jun 28, 2019</v>
      </c>
      <c r="G44" s="31">
        <v>43191</v>
      </c>
      <c r="H44" s="35">
        <v>1.9776764449626556</v>
      </c>
      <c r="I44" s="35">
        <v>2.02262576128114</v>
      </c>
      <c r="J44" s="35">
        <v>2.0694667469637662</v>
      </c>
      <c r="K44" s="104">
        <f t="shared" si="4"/>
        <v>2018</v>
      </c>
    </row>
    <row r="45" spans="2:11">
      <c r="G45" s="31">
        <v>43221</v>
      </c>
      <c r="H45" s="35">
        <v>1.7831839406645238</v>
      </c>
      <c r="I45" s="35">
        <v>1.5708405984016238</v>
      </c>
      <c r="J45" s="35">
        <v>1.8794896381126289</v>
      </c>
      <c r="K45" s="104">
        <f t="shared" si="4"/>
        <v>2018</v>
      </c>
    </row>
    <row r="46" spans="2:11">
      <c r="G46" s="31">
        <v>43252</v>
      </c>
      <c r="H46" s="35">
        <v>2.1436406304949229</v>
      </c>
      <c r="I46" s="35">
        <v>1.8484832971560308</v>
      </c>
      <c r="J46" s="35">
        <v>2.2503948014550383</v>
      </c>
      <c r="K46" s="104">
        <f t="shared" si="4"/>
        <v>2018</v>
      </c>
    </row>
    <row r="47" spans="2:11">
      <c r="G47" s="31">
        <v>43282</v>
      </c>
      <c r="H47" s="35">
        <v>2.421637499285668</v>
      </c>
      <c r="I47" s="35">
        <v>2.353571484540065</v>
      </c>
      <c r="J47" s="35">
        <v>2.4674716230698741</v>
      </c>
      <c r="K47" s="104">
        <f t="shared" si="4"/>
        <v>2018</v>
      </c>
    </row>
    <row r="48" spans="2:11">
      <c r="G48" s="31">
        <v>43313</v>
      </c>
      <c r="H48" s="35">
        <v>2.4788435090089065</v>
      </c>
      <c r="I48" s="35">
        <v>2.5401507418632927</v>
      </c>
      <c r="J48" s="35">
        <v>2.4624530543656684</v>
      </c>
      <c r="K48" s="104">
        <f t="shared" si="4"/>
        <v>2018</v>
      </c>
    </row>
    <row r="49" spans="7:13">
      <c r="G49" s="31">
        <v>43344</v>
      </c>
      <c r="H49" s="35">
        <v>2.2194892808138165</v>
      </c>
      <c r="I49" s="35">
        <v>2.3919118237202426</v>
      </c>
      <c r="J49" s="35">
        <v>2.224504673004402</v>
      </c>
      <c r="K49" s="104">
        <f t="shared" si="4"/>
        <v>2018</v>
      </c>
      <c r="L49" s="3"/>
      <c r="M49" s="3"/>
    </row>
    <row r="50" spans="7:13">
      <c r="G50" s="31">
        <v>43374</v>
      </c>
      <c r="H50" s="35">
        <v>2.9128539684320356</v>
      </c>
      <c r="I50" s="35">
        <v>4.6218921162427922</v>
      </c>
      <c r="J50" s="35">
        <v>2.9275610507263972</v>
      </c>
      <c r="K50" s="104">
        <f t="shared" si="4"/>
        <v>2018</v>
      </c>
      <c r="L50" s="3"/>
      <c r="M50" s="3"/>
    </row>
    <row r="51" spans="7:13">
      <c r="G51" s="31">
        <v>43405</v>
      </c>
      <c r="H51" s="35">
        <v>3.9745333850417399</v>
      </c>
      <c r="I51" s="35">
        <v>8.6680488460990404</v>
      </c>
      <c r="J51" s="35">
        <v>3.8702964836561957</v>
      </c>
      <c r="K51" s="104">
        <f t="shared" si="4"/>
        <v>2018</v>
      </c>
      <c r="L51" s="3"/>
      <c r="M51" s="3"/>
    </row>
    <row r="52" spans="7:13">
      <c r="G52" s="31">
        <v>43435</v>
      </c>
      <c r="H52" s="35">
        <v>3.9079382357981771</v>
      </c>
      <c r="I52" s="35">
        <v>5.443905271233902</v>
      </c>
      <c r="J52" s="35">
        <v>3.5768990853253793</v>
      </c>
      <c r="K52" s="104">
        <f t="shared" si="4"/>
        <v>2018</v>
      </c>
      <c r="L52" s="3"/>
      <c r="M52" s="3"/>
    </row>
    <row r="53" spans="7:13">
      <c r="G53" s="31">
        <v>43466</v>
      </c>
      <c r="H53" s="35">
        <v>3.1877490634924275</v>
      </c>
      <c r="I53" s="35">
        <v>3.6245487172817223</v>
      </c>
      <c r="J53" s="35">
        <v>2.9303131690480573</v>
      </c>
      <c r="K53" s="104">
        <f t="shared" si="4"/>
        <v>2019</v>
      </c>
      <c r="L53" s="3"/>
      <c r="M53" s="3"/>
    </row>
    <row r="54" spans="7:13">
      <c r="G54" s="31">
        <v>43497</v>
      </c>
      <c r="H54" s="35">
        <v>4.6376436365125295</v>
      </c>
      <c r="I54" s="35">
        <v>13.248679181072774</v>
      </c>
      <c r="J54" s="35">
        <v>2.6293956266758434</v>
      </c>
      <c r="K54" s="104">
        <f t="shared" si="4"/>
        <v>2019</v>
      </c>
      <c r="L54" s="3"/>
      <c r="M54" s="3"/>
    </row>
    <row r="55" spans="7:13">
      <c r="G55" s="31">
        <v>43525</v>
      </c>
      <c r="H55" s="35">
        <v>2.8840796764808312</v>
      </c>
      <c r="I55" s="35">
        <v>13.147581543206581</v>
      </c>
      <c r="J55" s="35">
        <v>3.1561599255175179</v>
      </c>
      <c r="K55" s="104">
        <f t="shared" si="4"/>
        <v>2019</v>
      </c>
      <c r="L55" s="3"/>
      <c r="M55" s="3"/>
    </row>
    <row r="56" spans="7:13">
      <c r="G56" s="31">
        <v>43556</v>
      </c>
      <c r="H56" s="35">
        <v>1.8441808891817904</v>
      </c>
      <c r="I56" s="35">
        <v>2.0841590546952737</v>
      </c>
      <c r="J56" s="35">
        <v>1.8712332831476464</v>
      </c>
      <c r="K56" s="104">
        <f t="shared" si="4"/>
        <v>2019</v>
      </c>
      <c r="L56" s="3"/>
      <c r="M56" s="3"/>
    </row>
    <row r="57" spans="7:13">
      <c r="G57" s="31">
        <v>43586</v>
      </c>
      <c r="H57" s="35">
        <v>1.8428726436371847</v>
      </c>
      <c r="I57" s="35">
        <v>1.8681647506266397</v>
      </c>
      <c r="J57" s="35">
        <v>1.9058775961379686</v>
      </c>
      <c r="K57" s="104">
        <f t="shared" si="4"/>
        <v>2019</v>
      </c>
      <c r="L57" s="3"/>
      <c r="M57" s="3"/>
    </row>
    <row r="58" spans="7:13">
      <c r="G58" s="31">
        <v>43617</v>
      </c>
      <c r="H58" s="35">
        <v>1.5244433419272609</v>
      </c>
      <c r="I58" s="35">
        <v>1.6387854906922903</v>
      </c>
      <c r="J58" s="35">
        <v>1.5109717440243182</v>
      </c>
      <c r="K58" s="104">
        <f t="shared" si="4"/>
        <v>2019</v>
      </c>
      <c r="L58" s="3"/>
      <c r="M58" s="3"/>
    </row>
    <row r="59" spans="7:13">
      <c r="G59" s="31">
        <v>43647</v>
      </c>
      <c r="H59" s="35">
        <v>1.9911949822569199</v>
      </c>
      <c r="I59" s="35">
        <v>1.9257086666050207</v>
      </c>
      <c r="J59" s="35">
        <v>1.7006019472046572</v>
      </c>
      <c r="K59" s="104">
        <f t="shared" si="4"/>
        <v>2019</v>
      </c>
      <c r="L59" s="3"/>
      <c r="M59" s="3"/>
    </row>
    <row r="60" spans="7:13">
      <c r="G60" s="31">
        <v>43678</v>
      </c>
      <c r="H60" s="35">
        <v>2.0854867798844166</v>
      </c>
      <c r="I60" s="35">
        <v>2.0582684684060171</v>
      </c>
      <c r="J60" s="35">
        <v>1.8014751781591889</v>
      </c>
      <c r="K60" s="104">
        <f t="shared" si="4"/>
        <v>2019</v>
      </c>
      <c r="L60" s="3"/>
      <c r="M60" s="3"/>
    </row>
    <row r="61" spans="7:13">
      <c r="G61" s="31">
        <v>43709</v>
      </c>
      <c r="H61" s="35">
        <v>1.8259308638345333</v>
      </c>
      <c r="I61" s="35">
        <v>1.7348950456531966</v>
      </c>
      <c r="J61" s="35">
        <v>1.659951540700592</v>
      </c>
      <c r="K61" s="104">
        <f t="shared" si="4"/>
        <v>2019</v>
      </c>
      <c r="L61" s="3"/>
      <c r="M61" s="3"/>
    </row>
    <row r="62" spans="7:13">
      <c r="G62" s="31">
        <v>43739</v>
      </c>
      <c r="H62" s="35">
        <v>1.8502642309642099</v>
      </c>
      <c r="I62" s="35">
        <v>1.8892029399371686</v>
      </c>
      <c r="J62" s="35">
        <v>1.7543006323396566</v>
      </c>
      <c r="K62" s="104">
        <f t="shared" si="4"/>
        <v>2019</v>
      </c>
      <c r="L62" s="3"/>
      <c r="M62" s="3"/>
    </row>
    <row r="63" spans="7:13">
      <c r="G63" s="31">
        <v>43770</v>
      </c>
      <c r="H63" s="35">
        <v>2.1828202484031229</v>
      </c>
      <c r="I63" s="35">
        <v>2.4334230637373513</v>
      </c>
      <c r="J63" s="35">
        <v>1.9881659339556357</v>
      </c>
      <c r="K63" s="104">
        <f t="shared" si="4"/>
        <v>2019</v>
      </c>
      <c r="L63" s="3"/>
      <c r="M63" s="3"/>
    </row>
    <row r="64" spans="7:13">
      <c r="G64" s="31">
        <v>43800</v>
      </c>
      <c r="H64" s="35">
        <v>2.705987641691169</v>
      </c>
      <c r="I64" s="35">
        <v>3.1322099876843987</v>
      </c>
      <c r="J64" s="35">
        <v>2.395673712737127</v>
      </c>
      <c r="K64" s="104">
        <f t="shared" si="4"/>
        <v>2019</v>
      </c>
      <c r="L64" s="3"/>
      <c r="M64" s="3"/>
    </row>
    <row r="65" spans="7:13">
      <c r="G65" s="31">
        <v>43831</v>
      </c>
      <c r="H65" s="35">
        <v>2.7029459707999592</v>
      </c>
      <c r="I65" s="35">
        <v>3.1012966276550262</v>
      </c>
      <c r="J65" s="35">
        <v>2.4227739837398374</v>
      </c>
      <c r="K65" s="104">
        <f t="shared" ref="K65:K112" si="5">YEAR(G65)</f>
        <v>2020</v>
      </c>
      <c r="L65" s="3"/>
      <c r="M65" s="3"/>
    </row>
    <row r="66" spans="7:13">
      <c r="G66" s="31">
        <v>43862</v>
      </c>
      <c r="H66" s="35">
        <v>2.5863485866369262</v>
      </c>
      <c r="I66" s="35">
        <v>2.7815478869827017</v>
      </c>
      <c r="J66" s="35">
        <v>2.2596705008531566</v>
      </c>
      <c r="K66" s="104">
        <f t="shared" si="5"/>
        <v>2020</v>
      </c>
      <c r="L66" s="3"/>
      <c r="M66" s="3"/>
    </row>
    <row r="67" spans="7:13">
      <c r="G67" s="31">
        <v>43891</v>
      </c>
      <c r="H67" s="35">
        <v>2.0692645351312988</v>
      </c>
      <c r="I67" s="35">
        <v>2.2119549886190466</v>
      </c>
      <c r="J67" s="35">
        <v>1.8581850045167116</v>
      </c>
      <c r="K67" s="104">
        <f t="shared" si="5"/>
        <v>2020</v>
      </c>
      <c r="L67" s="3"/>
      <c r="M67" s="3"/>
    </row>
    <row r="68" spans="7:13">
      <c r="G68" s="31">
        <v>43922</v>
      </c>
      <c r="H68" s="35">
        <v>1.7950072097739025</v>
      </c>
      <c r="I68" s="35">
        <v>1.5880954213931091</v>
      </c>
      <c r="J68" s="35">
        <v>1.699598233463816</v>
      </c>
      <c r="K68" s="104">
        <f t="shared" si="5"/>
        <v>2020</v>
      </c>
      <c r="L68" s="3"/>
      <c r="M68" s="3"/>
    </row>
    <row r="69" spans="7:13">
      <c r="G69" s="31">
        <v>43952</v>
      </c>
      <c r="H69" s="35">
        <v>1.7772641295751803</v>
      </c>
      <c r="I69" s="35">
        <v>1.4890380382504116</v>
      </c>
      <c r="J69" s="35">
        <v>1.6569403994780689</v>
      </c>
      <c r="K69" s="104">
        <f t="shared" si="5"/>
        <v>2020</v>
      </c>
      <c r="L69" s="3"/>
      <c r="M69" s="3"/>
    </row>
    <row r="70" spans="7:13">
      <c r="G70" s="31">
        <v>43983</v>
      </c>
      <c r="H70" s="35">
        <v>1.8026113870019265</v>
      </c>
      <c r="I70" s="35">
        <v>1.5156017797831891</v>
      </c>
      <c r="J70" s="35">
        <v>1.6795239586469939</v>
      </c>
      <c r="K70" s="104">
        <f t="shared" si="5"/>
        <v>2020</v>
      </c>
      <c r="L70" s="3"/>
      <c r="M70" s="3"/>
    </row>
    <row r="71" spans="7:13">
      <c r="G71" s="31">
        <v>44013</v>
      </c>
      <c r="H71" s="35">
        <v>2.1493618685998177</v>
      </c>
      <c r="I71" s="35">
        <v>1.8762576467925398</v>
      </c>
      <c r="J71" s="35">
        <v>1.9625712335641874</v>
      </c>
      <c r="K71" s="104">
        <f t="shared" si="5"/>
        <v>2020</v>
      </c>
      <c r="L71" s="3"/>
      <c r="M71" s="3"/>
    </row>
    <row r="72" spans="7:13">
      <c r="G72" s="31">
        <v>44044</v>
      </c>
      <c r="H72" s="35">
        <v>2.1671049487985403</v>
      </c>
      <c r="I72" s="35">
        <v>1.904737291710723</v>
      </c>
      <c r="J72" s="35">
        <v>1.977626939676804</v>
      </c>
      <c r="K72" s="104">
        <f t="shared" si="5"/>
        <v>2020</v>
      </c>
      <c r="L72" s="3"/>
      <c r="M72" s="3"/>
    </row>
    <row r="73" spans="7:13">
      <c r="G73" s="31">
        <v>44075</v>
      </c>
      <c r="H73" s="35">
        <v>2.1270562820642804</v>
      </c>
      <c r="I73" s="35">
        <v>1.9013715154931192</v>
      </c>
      <c r="J73" s="35">
        <v>1.9505266686740941</v>
      </c>
      <c r="K73" s="104">
        <f t="shared" si="5"/>
        <v>2020</v>
      </c>
      <c r="L73" s="3"/>
      <c r="M73" s="3"/>
    </row>
    <row r="74" spans="7:13">
      <c r="G74" s="31">
        <v>44105</v>
      </c>
      <c r="H74" s="35">
        <v>1.9536810412653354</v>
      </c>
      <c r="I74" s="35">
        <v>1.8427552281342412</v>
      </c>
      <c r="J74" s="35">
        <v>1.8541701495533474</v>
      </c>
      <c r="K74" s="104">
        <f t="shared" si="5"/>
        <v>2020</v>
      </c>
      <c r="L74" s="3"/>
      <c r="M74" s="3"/>
    </row>
    <row r="75" spans="7:13">
      <c r="G75" s="31">
        <v>44136</v>
      </c>
      <c r="H75" s="35">
        <v>2.1833271935516581</v>
      </c>
      <c r="I75" s="35">
        <v>2.3478287854650679</v>
      </c>
      <c r="J75" s="35">
        <v>2.0313256248118035</v>
      </c>
      <c r="K75" s="104">
        <f t="shared" si="5"/>
        <v>2020</v>
      </c>
      <c r="L75" s="3"/>
      <c r="M75" s="3"/>
    </row>
    <row r="76" spans="7:13">
      <c r="G76" s="31">
        <v>44166</v>
      </c>
      <c r="H76" s="35">
        <v>2.4930706793064989</v>
      </c>
      <c r="I76" s="35">
        <v>2.7509452139887998</v>
      </c>
      <c r="J76" s="35">
        <v>2.3128673291177355</v>
      </c>
      <c r="K76" s="104">
        <f t="shared" si="5"/>
        <v>2020</v>
      </c>
      <c r="L76" s="3"/>
      <c r="M76" s="3"/>
    </row>
    <row r="77" spans="7:13">
      <c r="G77" s="31">
        <v>44197</v>
      </c>
      <c r="H77" s="35">
        <v>2.6132166795092773</v>
      </c>
      <c r="I77" s="35">
        <v>2.7520326186129487</v>
      </c>
      <c r="J77" s="35">
        <v>2.4368259761116131</v>
      </c>
      <c r="K77" s="104">
        <f t="shared" si="5"/>
        <v>2021</v>
      </c>
      <c r="L77" s="3"/>
      <c r="M77" s="3"/>
    </row>
    <row r="78" spans="7:13">
      <c r="G78" s="31">
        <v>44228</v>
      </c>
      <c r="H78" s="35">
        <v>2.5696193967352734</v>
      </c>
      <c r="I78" s="35">
        <v>2.5903200166502494</v>
      </c>
      <c r="J78" s="35">
        <v>2.4488705410017064</v>
      </c>
      <c r="K78" s="104">
        <f t="shared" si="5"/>
        <v>2021</v>
      </c>
      <c r="L78" s="3"/>
      <c r="M78" s="3"/>
    </row>
    <row r="79" spans="7:13">
      <c r="G79" s="31">
        <v>44256</v>
      </c>
      <c r="H79" s="35">
        <v>2.2831953878130387</v>
      </c>
      <c r="I79" s="35">
        <v>2.3100285294827523</v>
      </c>
      <c r="J79" s="35">
        <v>2.1577935561577837</v>
      </c>
      <c r="K79" s="104">
        <f t="shared" si="5"/>
        <v>2021</v>
      </c>
      <c r="L79" s="3"/>
      <c r="M79" s="3"/>
    </row>
    <row r="80" spans="7:13">
      <c r="G80" s="31">
        <v>44287</v>
      </c>
      <c r="H80" s="35">
        <v>1.9110976487884013</v>
      </c>
      <c r="I80" s="35">
        <v>1.7105578945412947</v>
      </c>
      <c r="J80" s="35">
        <v>1.8546720064237678</v>
      </c>
      <c r="K80" s="104">
        <f t="shared" si="5"/>
        <v>2021</v>
      </c>
      <c r="L80" s="3"/>
      <c r="M80" s="3"/>
    </row>
    <row r="81" spans="7:13">
      <c r="G81" s="31">
        <v>44317</v>
      </c>
      <c r="H81" s="35">
        <v>1.8669934208658623</v>
      </c>
      <c r="I81" s="35">
        <v>1.6480062380664497</v>
      </c>
      <c r="J81" s="35">
        <v>1.7332226437819933</v>
      </c>
      <c r="K81" s="104">
        <f t="shared" si="5"/>
        <v>2021</v>
      </c>
      <c r="L81" s="3"/>
      <c r="M81" s="3"/>
    </row>
    <row r="82" spans="7:13">
      <c r="G82" s="31">
        <v>44348</v>
      </c>
      <c r="H82" s="35">
        <v>1.920729606610565</v>
      </c>
      <c r="I82" s="35">
        <v>1.6932112017274923</v>
      </c>
      <c r="J82" s="35">
        <v>1.8014751781591889</v>
      </c>
      <c r="K82" s="104">
        <f t="shared" si="5"/>
        <v>2021</v>
      </c>
      <c r="L82" s="3"/>
      <c r="M82" s="3"/>
    </row>
    <row r="83" spans="7:13">
      <c r="G83" s="31">
        <v>44378</v>
      </c>
      <c r="H83" s="35">
        <v>2.1447993622630031</v>
      </c>
      <c r="I83" s="35">
        <v>1.8793645171472506</v>
      </c>
      <c r="J83" s="35">
        <v>1.9630730904346079</v>
      </c>
      <c r="K83" s="104">
        <f t="shared" si="5"/>
        <v>2021</v>
      </c>
      <c r="L83" s="3"/>
      <c r="M83" s="3"/>
    </row>
    <row r="84" spans="7:13">
      <c r="G84" s="31">
        <v>44409</v>
      </c>
      <c r="H84" s="35">
        <v>2.1574729909763763</v>
      </c>
      <c r="I84" s="35">
        <v>1.9058764775074499</v>
      </c>
      <c r="J84" s="35">
        <v>1.973110227843019</v>
      </c>
      <c r="K84" s="104">
        <f t="shared" si="5"/>
        <v>2021</v>
      </c>
      <c r="L84" s="3"/>
      <c r="M84" s="3"/>
    </row>
    <row r="85" spans="7:13">
      <c r="G85" s="31">
        <v>44440</v>
      </c>
      <c r="H85" s="35">
        <v>2.136688239886444</v>
      </c>
      <c r="I85" s="35">
        <v>1.9079477244105905</v>
      </c>
      <c r="J85" s="35">
        <v>1.9801362240289069</v>
      </c>
      <c r="K85" s="104">
        <f t="shared" si="5"/>
        <v>2021</v>
      </c>
      <c r="L85" s="3"/>
      <c r="M85" s="3"/>
    </row>
    <row r="86" spans="7:13">
      <c r="G86" s="31">
        <v>44470</v>
      </c>
      <c r="H86" s="35">
        <v>2.0636881384974144</v>
      </c>
      <c r="I86" s="35">
        <v>1.9201162999665411</v>
      </c>
      <c r="J86" s="35">
        <v>1.9680916591388136</v>
      </c>
      <c r="K86" s="104">
        <f t="shared" si="5"/>
        <v>2021</v>
      </c>
      <c r="L86" s="3"/>
      <c r="M86" s="3"/>
    </row>
    <row r="87" spans="7:13">
      <c r="G87" s="31">
        <v>44501</v>
      </c>
      <c r="H87" s="35">
        <v>2.2076605606813344</v>
      </c>
      <c r="I87" s="35">
        <v>2.3552334931437953</v>
      </c>
      <c r="J87" s="35">
        <v>2.0855261668172238</v>
      </c>
      <c r="K87" s="104">
        <f t="shared" si="5"/>
        <v>2021</v>
      </c>
      <c r="L87" s="3"/>
      <c r="M87" s="3"/>
    </row>
    <row r="88" spans="7:13">
      <c r="G88" s="31">
        <v>44531</v>
      </c>
      <c r="H88" s="35">
        <v>2.516390156139106</v>
      </c>
      <c r="I88" s="35">
        <v>2.6816102239061701</v>
      </c>
      <c r="J88" s="35">
        <v>2.3786105791428285</v>
      </c>
      <c r="K88" s="104">
        <f t="shared" si="5"/>
        <v>2021</v>
      </c>
      <c r="L88" s="3"/>
      <c r="M88" s="3"/>
    </row>
    <row r="89" spans="7:13">
      <c r="G89" s="31">
        <v>44562</v>
      </c>
      <c r="H89" s="35">
        <v>2.6446472787184425</v>
      </c>
      <c r="I89" s="35">
        <v>2.7361875798039232</v>
      </c>
      <c r="J89" s="35">
        <v>2.4855060925424066</v>
      </c>
      <c r="K89" s="104">
        <f t="shared" si="5"/>
        <v>2022</v>
      </c>
      <c r="L89" s="3"/>
      <c r="M89" s="3"/>
    </row>
    <row r="90" spans="7:13">
      <c r="G90" s="31">
        <v>44593</v>
      </c>
      <c r="H90" s="35">
        <v>2.6182861309946266</v>
      </c>
      <c r="I90" s="35">
        <v>2.6374408836966969</v>
      </c>
      <c r="J90" s="35">
        <v>2.4594095352805381</v>
      </c>
      <c r="K90" s="104">
        <f t="shared" si="5"/>
        <v>2022</v>
      </c>
      <c r="L90" s="3"/>
      <c r="M90" s="3"/>
    </row>
    <row r="91" spans="7:13">
      <c r="G91" s="31">
        <v>44621</v>
      </c>
      <c r="H91" s="35">
        <v>2.3698830082125113</v>
      </c>
      <c r="I91" s="35">
        <v>2.3914803139487546</v>
      </c>
      <c r="J91" s="35">
        <v>2.2536482184081099</v>
      </c>
      <c r="K91" s="104">
        <f t="shared" si="5"/>
        <v>2022</v>
      </c>
      <c r="L91" s="3"/>
      <c r="M91" s="3"/>
    </row>
    <row r="92" spans="7:13">
      <c r="G92" s="31">
        <v>44652</v>
      </c>
      <c r="H92" s="35">
        <v>1.9947435982966646</v>
      </c>
      <c r="I92" s="35">
        <v>1.7959968292958433</v>
      </c>
      <c r="J92" s="35">
        <v>1.9174041152263372</v>
      </c>
      <c r="K92" s="104">
        <f t="shared" si="5"/>
        <v>2022</v>
      </c>
      <c r="L92" s="3"/>
      <c r="M92" s="3"/>
    </row>
    <row r="93" spans="7:13">
      <c r="G93" s="31">
        <v>44682</v>
      </c>
      <c r="H93" s="35">
        <v>1.9937297079995946</v>
      </c>
      <c r="I93" s="35">
        <v>1.7450959366511638</v>
      </c>
      <c r="J93" s="35">
        <v>1.8586868613871321</v>
      </c>
      <c r="K93" s="104">
        <f t="shared" si="5"/>
        <v>2022</v>
      </c>
      <c r="L93" s="3"/>
      <c r="M93" s="3"/>
    </row>
    <row r="94" spans="7:13">
      <c r="G94" s="31">
        <v>44713</v>
      </c>
      <c r="H94" s="35">
        <v>1.9942366531481297</v>
      </c>
      <c r="I94" s="35">
        <v>1.7819123503544874</v>
      </c>
      <c r="J94" s="35">
        <v>1.8742444243701695</v>
      </c>
      <c r="K94" s="104">
        <f t="shared" si="5"/>
        <v>2022</v>
      </c>
      <c r="L94" s="3"/>
      <c r="M94" s="3"/>
    </row>
    <row r="95" spans="7:13">
      <c r="G95" s="31">
        <v>44743</v>
      </c>
      <c r="H95" s="35">
        <v>2.1341535141437697</v>
      </c>
      <c r="I95" s="35">
        <v>1.8989378003819288</v>
      </c>
      <c r="J95" s="35">
        <v>1.9324598213389541</v>
      </c>
      <c r="K95" s="104">
        <f t="shared" si="5"/>
        <v>2022</v>
      </c>
      <c r="L95" s="3"/>
      <c r="M95" s="3"/>
    </row>
    <row r="96" spans="7:13">
      <c r="G96" s="31">
        <v>44774</v>
      </c>
      <c r="H96" s="35">
        <v>2.2978967971205515</v>
      </c>
      <c r="I96" s="35">
        <v>2.1268267408999697</v>
      </c>
      <c r="J96" s="35">
        <v>2.1121245809495131</v>
      </c>
      <c r="K96" s="104">
        <f t="shared" si="5"/>
        <v>2022</v>
      </c>
      <c r="L96" s="3"/>
      <c r="M96" s="3"/>
    </row>
    <row r="97" spans="7:13">
      <c r="G97" s="31">
        <v>44805</v>
      </c>
      <c r="H97" s="35">
        <v>2.2937398469025649</v>
      </c>
      <c r="I97" s="35">
        <v>2.0962240679060677</v>
      </c>
      <c r="J97" s="35">
        <v>2.1356114824851953</v>
      </c>
      <c r="K97" s="104">
        <f t="shared" si="5"/>
        <v>2022</v>
      </c>
      <c r="L97" s="3"/>
      <c r="M97" s="3"/>
    </row>
    <row r="98" spans="7:13">
      <c r="G98" s="31">
        <v>44835</v>
      </c>
      <c r="H98" s="35">
        <v>2.2572397962080504</v>
      </c>
      <c r="I98" s="35">
        <v>2.1054411166250433</v>
      </c>
      <c r="J98" s="35">
        <v>2.1597006122653819</v>
      </c>
      <c r="K98" s="104">
        <f t="shared" si="5"/>
        <v>2022</v>
      </c>
      <c r="L98" s="3"/>
      <c r="M98" s="3"/>
    </row>
    <row r="99" spans="7:13">
      <c r="G99" s="31">
        <v>44866</v>
      </c>
      <c r="H99" s="35">
        <v>2.4405511619182803</v>
      </c>
      <c r="I99" s="35">
        <v>2.5220206500191891</v>
      </c>
      <c r="J99" s="35">
        <v>2.3160792130884271</v>
      </c>
      <c r="K99" s="104">
        <f t="shared" si="5"/>
        <v>2022</v>
      </c>
      <c r="L99" s="3"/>
      <c r="M99" s="3"/>
    </row>
    <row r="100" spans="7:13">
      <c r="G100" s="31">
        <v>44896</v>
      </c>
      <c r="H100" s="35">
        <v>2.6815528855317852</v>
      </c>
      <c r="I100" s="35">
        <v>2.887440384905763</v>
      </c>
      <c r="J100" s="35">
        <v>2.5421155475258455</v>
      </c>
      <c r="K100" s="104">
        <f t="shared" si="5"/>
        <v>2022</v>
      </c>
      <c r="L100" s="3"/>
      <c r="M100" s="3"/>
    </row>
    <row r="101" spans="7:13">
      <c r="G101" s="31">
        <v>44927</v>
      </c>
      <c r="H101" s="35">
        <v>2.73285573456352</v>
      </c>
      <c r="I101" s="35">
        <v>2.8711293155435307</v>
      </c>
      <c r="J101" s="35">
        <v>2.5728291879955836</v>
      </c>
      <c r="K101" s="104">
        <f t="shared" si="5"/>
        <v>2023</v>
      </c>
      <c r="L101" s="3"/>
      <c r="M101" s="3"/>
    </row>
    <row r="102" spans="7:13">
      <c r="G102" s="31">
        <v>44958</v>
      </c>
      <c r="H102" s="35">
        <v>2.6943279032748659</v>
      </c>
      <c r="I102" s="35">
        <v>2.702322692937575</v>
      </c>
      <c r="J102" s="35">
        <v>2.5346880658436213</v>
      </c>
      <c r="K102" s="104">
        <f t="shared" si="5"/>
        <v>2023</v>
      </c>
      <c r="L102" s="3"/>
      <c r="M102" s="3"/>
    </row>
    <row r="103" spans="7:13">
      <c r="G103" s="31">
        <v>44986</v>
      </c>
      <c r="H103" s="35">
        <v>2.5322068447733952</v>
      </c>
      <c r="I103" s="35">
        <v>2.4921429134413868</v>
      </c>
      <c r="J103" s="35">
        <v>2.4143427883167718</v>
      </c>
      <c r="K103" s="104">
        <f t="shared" si="5"/>
        <v>2023</v>
      </c>
      <c r="L103" s="3"/>
      <c r="M103" s="3"/>
    </row>
    <row r="104" spans="7:13">
      <c r="G104" s="31">
        <v>45017</v>
      </c>
      <c r="H104" s="35">
        <v>2.3004315228632262</v>
      </c>
      <c r="I104" s="35">
        <v>2.1847180918427487</v>
      </c>
      <c r="J104" s="35">
        <v>2.2200238080899326</v>
      </c>
      <c r="K104" s="104">
        <f t="shared" si="5"/>
        <v>2023</v>
      </c>
      <c r="L104" s="3"/>
      <c r="M104" s="3"/>
    </row>
    <row r="105" spans="7:13">
      <c r="G105" s="31">
        <v>45047</v>
      </c>
      <c r="H105" s="35">
        <v>2.3124968173983573</v>
      </c>
      <c r="I105" s="35">
        <v>2.1721870480787477</v>
      </c>
      <c r="J105" s="35">
        <v>2.1742544615075783</v>
      </c>
      <c r="K105" s="104">
        <f t="shared" si="5"/>
        <v>2023</v>
      </c>
      <c r="L105" s="3"/>
      <c r="M105" s="3"/>
    </row>
    <row r="106" spans="7:13">
      <c r="G106" s="31">
        <v>45078</v>
      </c>
      <c r="H106" s="35">
        <v>2.3190871043293115</v>
      </c>
      <c r="I106" s="35">
        <v>2.1808862850719382</v>
      </c>
      <c r="J106" s="35">
        <v>2.1958343069356623</v>
      </c>
      <c r="K106" s="104">
        <f t="shared" si="5"/>
        <v>2023</v>
      </c>
      <c r="L106" s="3"/>
      <c r="M106" s="3"/>
    </row>
    <row r="107" spans="7:13">
      <c r="G107" s="31">
        <v>45108</v>
      </c>
      <c r="H107" s="35">
        <v>2.4523122893642908</v>
      </c>
      <c r="I107" s="35">
        <v>2.3233362908354307</v>
      </c>
      <c r="J107" s="35">
        <v>2.247425193214895</v>
      </c>
      <c r="K107" s="104">
        <f t="shared" si="5"/>
        <v>2023</v>
      </c>
      <c r="L107" s="3"/>
      <c r="M107" s="3"/>
    </row>
    <row r="108" spans="7:13">
      <c r="G108" s="31">
        <v>45139</v>
      </c>
      <c r="H108" s="35">
        <v>2.4384219922944337</v>
      </c>
      <c r="I108" s="35">
        <v>2.3476734419473324</v>
      </c>
      <c r="J108" s="35">
        <v>2.251239305430091</v>
      </c>
      <c r="K108" s="104">
        <f t="shared" si="5"/>
        <v>2023</v>
      </c>
      <c r="L108" s="3"/>
      <c r="M108" s="3"/>
    </row>
    <row r="109" spans="7:13">
      <c r="G109" s="31">
        <v>45170</v>
      </c>
      <c r="H109" s="35">
        <v>2.4507914539186859</v>
      </c>
      <c r="I109" s="35">
        <v>2.2845004114015453</v>
      </c>
      <c r="J109" s="35">
        <v>2.2910867409414837</v>
      </c>
      <c r="K109" s="104">
        <f t="shared" si="5"/>
        <v>2023</v>
      </c>
      <c r="L109" s="3"/>
      <c r="M109" s="3"/>
    </row>
    <row r="110" spans="7:13">
      <c r="G110" s="31">
        <v>45200</v>
      </c>
      <c r="H110" s="35">
        <v>2.4507914539186859</v>
      </c>
      <c r="I110" s="35">
        <v>2.2908177144561233</v>
      </c>
      <c r="J110" s="35">
        <v>2.3513095653919498</v>
      </c>
      <c r="K110" s="104">
        <f t="shared" si="5"/>
        <v>2023</v>
      </c>
      <c r="L110" s="3"/>
      <c r="M110" s="3"/>
    </row>
    <row r="111" spans="7:13">
      <c r="G111" s="31">
        <v>45231</v>
      </c>
      <c r="H111" s="35">
        <v>2.6734417631552265</v>
      </c>
      <c r="I111" s="35">
        <v>2.6888595880671611</v>
      </c>
      <c r="J111" s="35">
        <v>2.5466322593596309</v>
      </c>
      <c r="K111" s="104">
        <f t="shared" si="5"/>
        <v>2023</v>
      </c>
      <c r="L111" s="3"/>
      <c r="M111" s="3"/>
    </row>
    <row r="112" spans="7:13">
      <c r="G112" s="31">
        <v>45261</v>
      </c>
      <c r="H112" s="35">
        <v>2.8466142258947582</v>
      </c>
      <c r="I112" s="35">
        <v>3.0932187647327778</v>
      </c>
      <c r="J112" s="35">
        <v>2.7055201445347783</v>
      </c>
      <c r="K112" s="104">
        <f t="shared" si="5"/>
        <v>2023</v>
      </c>
      <c r="L112" s="3"/>
      <c r="M112" s="3"/>
    </row>
    <row r="113" spans="7:13">
      <c r="G113" s="31">
        <v>45292</v>
      </c>
      <c r="H113" s="35">
        <v>2.821064190408598</v>
      </c>
      <c r="I113" s="35">
        <v>3.0060710512831386</v>
      </c>
      <c r="J113" s="35">
        <v>2.6601522834487601</v>
      </c>
      <c r="K113" s="104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2.7704710645848123</v>
      </c>
      <c r="I114" s="35">
        <v>2.7671527210058744</v>
      </c>
      <c r="J114" s="35">
        <v>2.6100669677807886</v>
      </c>
      <c r="K114" s="104">
        <f t="shared" si="6"/>
        <v>2024</v>
      </c>
      <c r="L114" s="3"/>
      <c r="M114" s="3"/>
    </row>
    <row r="115" spans="7:13">
      <c r="G115" s="31">
        <v>45352</v>
      </c>
      <c r="H115" s="35">
        <v>2.6946320703639866</v>
      </c>
      <c r="I115" s="35">
        <v>2.5928055129340182</v>
      </c>
      <c r="J115" s="35">
        <v>2.5751377295995184</v>
      </c>
      <c r="K115" s="104">
        <f t="shared" si="6"/>
        <v>2024</v>
      </c>
      <c r="L115" s="3"/>
      <c r="M115" s="3"/>
    </row>
    <row r="116" spans="7:13">
      <c r="G116" s="31">
        <v>45383</v>
      </c>
      <c r="H116" s="35">
        <v>2.606119447429788</v>
      </c>
      <c r="I116" s="35">
        <v>2.5734393543896537</v>
      </c>
      <c r="J116" s="35">
        <v>2.522643500953528</v>
      </c>
      <c r="K116" s="104">
        <f t="shared" si="6"/>
        <v>2024</v>
      </c>
      <c r="L116" s="3"/>
      <c r="M116" s="3"/>
    </row>
    <row r="117" spans="7:13">
      <c r="G117" s="31">
        <v>45413</v>
      </c>
      <c r="H117" s="35">
        <v>2.6313653158268275</v>
      </c>
      <c r="I117" s="35">
        <v>2.5992781595063321</v>
      </c>
      <c r="J117" s="35">
        <v>2.4899224330021075</v>
      </c>
      <c r="K117" s="104">
        <f t="shared" si="6"/>
        <v>2024</v>
      </c>
      <c r="L117" s="3"/>
      <c r="M117" s="3"/>
    </row>
    <row r="118" spans="7:13">
      <c r="G118" s="31">
        <v>45444</v>
      </c>
      <c r="H118" s="35">
        <v>2.6440389445402008</v>
      </c>
      <c r="I118" s="35">
        <v>2.5798602197893894</v>
      </c>
      <c r="J118" s="35">
        <v>2.5175245608752386</v>
      </c>
      <c r="K118" s="104">
        <f t="shared" si="6"/>
        <v>2024</v>
      </c>
      <c r="L118" s="3"/>
      <c r="M118" s="3"/>
    </row>
    <row r="119" spans="7:13">
      <c r="G119" s="31">
        <v>45474</v>
      </c>
      <c r="H119" s="35">
        <v>2.7704710645848123</v>
      </c>
      <c r="I119" s="35">
        <v>2.7477865624615099</v>
      </c>
      <c r="J119" s="35">
        <v>2.5623905650908361</v>
      </c>
      <c r="K119" s="104">
        <f t="shared" si="6"/>
        <v>2024</v>
      </c>
      <c r="L119" s="3"/>
      <c r="M119" s="3"/>
    </row>
    <row r="120" spans="7:13">
      <c r="G120" s="31">
        <v>45505</v>
      </c>
      <c r="H120" s="35">
        <v>2.8083905616952247</v>
      </c>
      <c r="I120" s="35">
        <v>2.7994641726948672</v>
      </c>
      <c r="J120" s="35">
        <v>2.6174944494630128</v>
      </c>
      <c r="K120" s="104">
        <f t="shared" si="6"/>
        <v>2024</v>
      </c>
      <c r="L120" s="3"/>
      <c r="M120" s="3"/>
    </row>
    <row r="121" spans="7:13">
      <c r="G121" s="31">
        <v>45536</v>
      </c>
      <c r="H121" s="35">
        <v>2.821064190408598</v>
      </c>
      <c r="I121" s="35">
        <v>2.7348930504894602</v>
      </c>
      <c r="J121" s="35">
        <v>2.6576429990966575</v>
      </c>
      <c r="K121" s="104">
        <f t="shared" si="6"/>
        <v>2024</v>
      </c>
      <c r="L121" s="3"/>
      <c r="M121" s="3"/>
    </row>
    <row r="122" spans="7:13">
      <c r="G122" s="31">
        <v>45566</v>
      </c>
      <c r="H122" s="35">
        <v>2.8589836875190104</v>
      </c>
      <c r="I122" s="35">
        <v>2.7929915261225529</v>
      </c>
      <c r="J122" s="35">
        <v>2.7554047174545819</v>
      </c>
      <c r="K122" s="104">
        <f t="shared" si="6"/>
        <v>2024</v>
      </c>
      <c r="L122" s="3"/>
      <c r="M122" s="3"/>
    </row>
    <row r="123" spans="7:13">
      <c r="G123" s="31">
        <v>45597</v>
      </c>
      <c r="H123" s="35">
        <v>2.9980894362769948</v>
      </c>
      <c r="I123" s="35">
        <v>3.1029536251775385</v>
      </c>
      <c r="J123" s="35">
        <v>2.8680213991769548</v>
      </c>
      <c r="K123" s="104">
        <f t="shared" si="6"/>
        <v>2024</v>
      </c>
      <c r="L123" s="3"/>
      <c r="M123" s="3"/>
    </row>
    <row r="124" spans="7:13">
      <c r="G124" s="31">
        <v>45627</v>
      </c>
      <c r="H124" s="35">
        <v>3.1750132931156849</v>
      </c>
      <c r="I124" s="35">
        <v>3.464593334465881</v>
      </c>
      <c r="J124" s="35">
        <v>3.0306230251932145</v>
      </c>
      <c r="K124" s="104">
        <f t="shared" si="6"/>
        <v>2024</v>
      </c>
      <c r="L124" s="3"/>
      <c r="M124" s="3"/>
    </row>
    <row r="125" spans="7:13">
      <c r="G125" s="31">
        <v>45658</v>
      </c>
      <c r="H125" s="35">
        <v>3.1805896897495693</v>
      </c>
      <c r="I125" s="35">
        <v>3.4283982948334994</v>
      </c>
      <c r="J125" s="35">
        <v>3.0160691759510185</v>
      </c>
      <c r="K125" s="104">
        <f t="shared" si="6"/>
        <v>2025</v>
      </c>
      <c r="L125" s="3"/>
      <c r="M125" s="3"/>
    </row>
    <row r="126" spans="7:13">
      <c r="G126" s="31">
        <v>45689</v>
      </c>
      <c r="H126" s="35">
        <v>3.167611893947075</v>
      </c>
      <c r="I126" s="35">
        <v>3.2370150809833111</v>
      </c>
      <c r="J126" s="35">
        <v>3.0032216400682525</v>
      </c>
      <c r="K126" s="104">
        <f t="shared" si="6"/>
        <v>2025</v>
      </c>
      <c r="L126" s="3"/>
      <c r="M126" s="3"/>
    </row>
    <row r="127" spans="7:13">
      <c r="G127" s="31">
        <v>45717</v>
      </c>
      <c r="H127" s="35">
        <v>3.0513186768731622</v>
      </c>
      <c r="I127" s="35">
        <v>2.9994430611930887</v>
      </c>
      <c r="J127" s="35">
        <v>2.9282442236274213</v>
      </c>
      <c r="K127" s="104">
        <f t="shared" si="6"/>
        <v>2025</v>
      </c>
      <c r="L127" s="3"/>
      <c r="M127" s="3"/>
    </row>
    <row r="128" spans="7:13">
      <c r="G128" s="31">
        <v>45748</v>
      </c>
      <c r="H128" s="35">
        <v>2.9867338649498123</v>
      </c>
      <c r="I128" s="35">
        <v>2.9070136681404417</v>
      </c>
      <c r="J128" s="35">
        <v>2.8994376392652814</v>
      </c>
      <c r="K128" s="104">
        <f t="shared" si="6"/>
        <v>2025</v>
      </c>
      <c r="L128" s="3"/>
      <c r="M128" s="3"/>
    </row>
    <row r="129" spans="7:13">
      <c r="G129" s="31">
        <v>45778</v>
      </c>
      <c r="H129" s="35">
        <v>2.9867338649498123</v>
      </c>
      <c r="I129" s="35">
        <v>2.8872332602154489</v>
      </c>
      <c r="J129" s="35">
        <v>2.8417240991669175</v>
      </c>
      <c r="K129" s="104">
        <f t="shared" si="6"/>
        <v>2025</v>
      </c>
      <c r="L129" s="3"/>
      <c r="M129" s="3"/>
    </row>
    <row r="130" spans="7:13">
      <c r="G130" s="31">
        <v>45809</v>
      </c>
      <c r="H130" s="35">
        <v>2.9867338649498123</v>
      </c>
      <c r="I130" s="35">
        <v>2.9070136681404417</v>
      </c>
      <c r="J130" s="35">
        <v>2.8567798052795341</v>
      </c>
      <c r="K130" s="104">
        <f t="shared" si="6"/>
        <v>2025</v>
      </c>
      <c r="L130" s="3"/>
      <c r="M130" s="3"/>
    </row>
    <row r="131" spans="7:13">
      <c r="G131" s="31">
        <v>45839</v>
      </c>
      <c r="H131" s="35">
        <v>3.1417576913717937</v>
      </c>
      <c r="I131" s="35">
        <v>3.0587842849680658</v>
      </c>
      <c r="J131" s="35">
        <v>2.9299505369868513</v>
      </c>
      <c r="K131" s="104">
        <f t="shared" si="6"/>
        <v>2025</v>
      </c>
      <c r="L131" s="3"/>
      <c r="M131" s="3"/>
    </row>
    <row r="132" spans="7:13">
      <c r="G132" s="31">
        <v>45870</v>
      </c>
      <c r="H132" s="35">
        <v>3.167611893947075</v>
      </c>
      <c r="I132" s="35">
        <v>3.085192682983108</v>
      </c>
      <c r="J132" s="35">
        <v>2.9731102278430193</v>
      </c>
      <c r="K132" s="104">
        <f t="shared" si="6"/>
        <v>2025</v>
      </c>
      <c r="L132" s="3"/>
      <c r="M132" s="3"/>
    </row>
    <row r="133" spans="7:13">
      <c r="G133" s="31">
        <v>45901</v>
      </c>
      <c r="H133" s="35">
        <v>3.1805896897495693</v>
      </c>
      <c r="I133" s="35">
        <v>3.0257996780355523</v>
      </c>
      <c r="J133" s="35">
        <v>3.0135598915989159</v>
      </c>
      <c r="K133" s="104">
        <f t="shared" si="6"/>
        <v>2025</v>
      </c>
      <c r="L133" s="3"/>
      <c r="M133" s="3"/>
    </row>
    <row r="134" spans="7:13">
      <c r="G134" s="31">
        <v>45931</v>
      </c>
      <c r="H134" s="35">
        <v>3.1547354871742881</v>
      </c>
      <c r="I134" s="35">
        <v>3.0456318671331233</v>
      </c>
      <c r="J134" s="35">
        <v>3.0481880156579342</v>
      </c>
      <c r="K134" s="104">
        <f t="shared" si="6"/>
        <v>2025</v>
      </c>
      <c r="L134" s="3"/>
      <c r="M134" s="3"/>
    </row>
    <row r="135" spans="7:13">
      <c r="G135" s="31">
        <v>45962</v>
      </c>
      <c r="H135" s="35">
        <v>3.3614677187468316</v>
      </c>
      <c r="I135" s="35">
        <v>3.4085661057359284</v>
      </c>
      <c r="J135" s="35">
        <v>3.2277524038944092</v>
      </c>
      <c r="K135" s="104">
        <f t="shared" si="6"/>
        <v>2025</v>
      </c>
      <c r="L135" s="3"/>
      <c r="M135" s="3"/>
    </row>
    <row r="136" spans="7:13">
      <c r="G136" s="31">
        <v>45992</v>
      </c>
      <c r="H136" s="35">
        <v>3.5423457477440943</v>
      </c>
      <c r="I136" s="35">
        <v>3.7781801156013621</v>
      </c>
      <c r="J136" s="35">
        <v>3.39426851349995</v>
      </c>
      <c r="K136" s="104">
        <f t="shared" si="6"/>
        <v>2025</v>
      </c>
      <c r="L136" s="3"/>
      <c r="M136" s="3"/>
    </row>
    <row r="137" spans="7:13">
      <c r="G137" s="31">
        <v>46023</v>
      </c>
      <c r="H137" s="35">
        <v>3.5413318574470245</v>
      </c>
      <c r="I137" s="35">
        <v>3.7397067043755259</v>
      </c>
      <c r="J137" s="35">
        <v>3.3731905249422862</v>
      </c>
      <c r="K137" s="104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3.5148693206935011</v>
      </c>
      <c r="I138" s="35">
        <v>3.5306143295034857</v>
      </c>
      <c r="J138" s="35">
        <v>3.3469935963063331</v>
      </c>
      <c r="K138" s="104">
        <f t="shared" si="7"/>
        <v>2026</v>
      </c>
      <c r="L138" s="3"/>
      <c r="M138" s="3"/>
    </row>
    <row r="139" spans="7:13">
      <c r="G139" s="31">
        <v>46082</v>
      </c>
      <c r="H139" s="35">
        <v>3.3167551566460509</v>
      </c>
      <c r="I139" s="35">
        <v>3.2877606301102555</v>
      </c>
      <c r="J139" s="35">
        <v>3.1910164809796244</v>
      </c>
      <c r="K139" s="104">
        <f t="shared" si="7"/>
        <v>2026</v>
      </c>
      <c r="L139" s="3"/>
      <c r="M139" s="3"/>
    </row>
    <row r="140" spans="7:13">
      <c r="G140" s="31">
        <v>46113</v>
      </c>
      <c r="H140" s="35">
        <v>3.1847466399675555</v>
      </c>
      <c r="I140" s="35">
        <v>3.1663855615862184</v>
      </c>
      <c r="J140" s="35">
        <v>3.0954629328515506</v>
      </c>
      <c r="K140" s="104">
        <f t="shared" si="7"/>
        <v>2026</v>
      </c>
      <c r="L140" s="3"/>
      <c r="M140" s="3"/>
    </row>
    <row r="141" spans="7:13">
      <c r="G141" s="31">
        <v>46143</v>
      </c>
      <c r="H141" s="35">
        <v>3.1715660661056475</v>
      </c>
      <c r="I141" s="35">
        <v>3.1326760182376057</v>
      </c>
      <c r="J141" s="35">
        <v>3.024701114122252</v>
      </c>
      <c r="K141" s="104">
        <f t="shared" si="7"/>
        <v>2026</v>
      </c>
      <c r="L141" s="3"/>
      <c r="M141" s="3"/>
    </row>
    <row r="142" spans="7:13">
      <c r="G142" s="31">
        <v>46174</v>
      </c>
      <c r="H142" s="35">
        <v>3.1847466399675555</v>
      </c>
      <c r="I142" s="35">
        <v>3.1663855615862175</v>
      </c>
      <c r="J142" s="35">
        <v>3.0528050988658033</v>
      </c>
      <c r="K142" s="104">
        <f t="shared" si="7"/>
        <v>2026</v>
      </c>
      <c r="L142" s="3"/>
      <c r="M142" s="3"/>
    </row>
    <row r="143" spans="7:13">
      <c r="G143" s="31">
        <v>46204</v>
      </c>
      <c r="H143" s="35">
        <v>3.3695788411233907</v>
      </c>
      <c r="I143" s="35">
        <v>3.3147386210236611</v>
      </c>
      <c r="J143" s="35">
        <v>3.1554850145538489</v>
      </c>
      <c r="K143" s="104">
        <f t="shared" si="7"/>
        <v>2026</v>
      </c>
      <c r="L143" s="3"/>
      <c r="M143" s="3"/>
    </row>
    <row r="144" spans="7:13">
      <c r="G144" s="31">
        <v>46235</v>
      </c>
      <c r="H144" s="35">
        <v>3.3695788411233907</v>
      </c>
      <c r="I144" s="35">
        <v>3.3282535070666532</v>
      </c>
      <c r="J144" s="35">
        <v>3.1730500050185686</v>
      </c>
      <c r="K144" s="104">
        <f t="shared" si="7"/>
        <v>2026</v>
      </c>
      <c r="L144" s="3"/>
      <c r="M144" s="3"/>
    </row>
    <row r="145" spans="7:13">
      <c r="G145" s="31">
        <v>46266</v>
      </c>
      <c r="H145" s="35">
        <v>3.3432176933995743</v>
      </c>
      <c r="I145" s="35">
        <v>3.2338046482834439</v>
      </c>
      <c r="J145" s="35">
        <v>3.1745555756298303</v>
      </c>
      <c r="K145" s="104">
        <f t="shared" si="7"/>
        <v>2026</v>
      </c>
      <c r="L145" s="3"/>
      <c r="M145" s="3"/>
    </row>
    <row r="146" spans="7:13">
      <c r="G146" s="31">
        <v>46296</v>
      </c>
      <c r="H146" s="35">
        <v>3.3432176933995743</v>
      </c>
      <c r="I146" s="35">
        <v>3.2607826391968491</v>
      </c>
      <c r="J146" s="35">
        <v>3.2347784000802973</v>
      </c>
      <c r="K146" s="104">
        <f t="shared" si="7"/>
        <v>2026</v>
      </c>
      <c r="L146" s="3"/>
      <c r="M146" s="3"/>
    </row>
    <row r="147" spans="7:13">
      <c r="G147" s="31">
        <v>46327</v>
      </c>
      <c r="H147" s="35">
        <v>3.5413318574470245</v>
      </c>
      <c r="I147" s="35">
        <v>3.6385262931571098</v>
      </c>
      <c r="J147" s="35">
        <v>3.4058112215196226</v>
      </c>
      <c r="K147" s="104">
        <f t="shared" si="7"/>
        <v>2026</v>
      </c>
      <c r="L147" s="3"/>
      <c r="M147" s="3"/>
    </row>
    <row r="148" spans="7:13">
      <c r="G148" s="31">
        <v>46357</v>
      </c>
      <c r="H148" s="35">
        <v>3.7129834847409509</v>
      </c>
      <c r="I148" s="35">
        <v>4.0431961568581976</v>
      </c>
      <c r="J148" s="35">
        <v>3.5631935360835088</v>
      </c>
      <c r="K148" s="104">
        <f t="shared" si="7"/>
        <v>2026</v>
      </c>
      <c r="L148" s="3"/>
      <c r="M148" s="3"/>
    </row>
    <row r="149" spans="7:13">
      <c r="G149" s="31">
        <v>46388</v>
      </c>
      <c r="H149" s="35">
        <v>3.7274821159890501</v>
      </c>
      <c r="I149" s="35">
        <v>3.9940558240811868</v>
      </c>
      <c r="J149" s="35">
        <v>3.5574723677607145</v>
      </c>
      <c r="K149" s="104">
        <f t="shared" si="6"/>
        <v>2027</v>
      </c>
      <c r="L149" s="3"/>
      <c r="M149" s="3"/>
    </row>
    <row r="150" spans="7:13">
      <c r="G150" s="31">
        <v>46419</v>
      </c>
      <c r="H150" s="35">
        <v>3.6869265041062556</v>
      </c>
      <c r="I150" s="35">
        <v>3.7665811329437746</v>
      </c>
      <c r="J150" s="35">
        <v>3.5173238181270698</v>
      </c>
      <c r="K150" s="104">
        <f t="shared" si="6"/>
        <v>2027</v>
      </c>
      <c r="L150" s="3"/>
      <c r="M150" s="3"/>
    </row>
    <row r="151" spans="7:13">
      <c r="G151" s="31">
        <v>46447</v>
      </c>
      <c r="H151" s="35">
        <v>3.5115234827131703</v>
      </c>
      <c r="I151" s="35">
        <v>3.4839594930102455</v>
      </c>
      <c r="J151" s="35">
        <v>3.383829890595202</v>
      </c>
      <c r="K151" s="104">
        <f t="shared" si="6"/>
        <v>2027</v>
      </c>
      <c r="L151" s="3"/>
      <c r="M151" s="3"/>
    </row>
    <row r="152" spans="7:13">
      <c r="G152" s="31">
        <v>46478</v>
      </c>
      <c r="H152" s="35">
        <v>3.3225343313393489</v>
      </c>
      <c r="I152" s="35">
        <v>3.2978579587630654</v>
      </c>
      <c r="J152" s="35">
        <v>3.2318676302318581</v>
      </c>
      <c r="K152" s="104">
        <f t="shared" si="6"/>
        <v>2027</v>
      </c>
      <c r="L152" s="3"/>
      <c r="M152" s="3"/>
    </row>
    <row r="153" spans="7:13">
      <c r="G153" s="31">
        <v>46508</v>
      </c>
      <c r="H153" s="35">
        <v>3.3090495903883199</v>
      </c>
      <c r="I153" s="35">
        <v>3.2771972709042383</v>
      </c>
      <c r="J153" s="35">
        <v>3.160804697380307</v>
      </c>
      <c r="K153" s="104">
        <f t="shared" si="6"/>
        <v>2027</v>
      </c>
      <c r="L153" s="3"/>
      <c r="M153" s="3"/>
    </row>
    <row r="154" spans="7:13">
      <c r="G154" s="31">
        <v>46539</v>
      </c>
      <c r="H154" s="35">
        <v>3.3090495903883199</v>
      </c>
      <c r="I154" s="35">
        <v>3.2771972709042387</v>
      </c>
      <c r="J154" s="35">
        <v>3.1758604034929236</v>
      </c>
      <c r="K154" s="104">
        <f t="shared" si="6"/>
        <v>2027</v>
      </c>
      <c r="L154" s="3"/>
      <c r="M154" s="3"/>
    </row>
    <row r="155" spans="7:13">
      <c r="G155" s="31">
        <v>46569</v>
      </c>
      <c r="H155" s="35">
        <v>3.4980387417621417</v>
      </c>
      <c r="I155" s="35">
        <v>3.4701857011043602</v>
      </c>
      <c r="J155" s="35">
        <v>3.2826555455184181</v>
      </c>
      <c r="K155" s="104">
        <f t="shared" si="6"/>
        <v>2027</v>
      </c>
      <c r="L155" s="3"/>
      <c r="M155" s="3"/>
    </row>
    <row r="156" spans="7:13">
      <c r="G156" s="31">
        <v>46600</v>
      </c>
      <c r="H156" s="35">
        <v>3.4980387417621417</v>
      </c>
      <c r="I156" s="35">
        <v>3.4701857011043602</v>
      </c>
      <c r="J156" s="35">
        <v>3.3002205359831374</v>
      </c>
      <c r="K156" s="104">
        <f t="shared" si="6"/>
        <v>2027</v>
      </c>
      <c r="L156" s="3"/>
      <c r="M156" s="3"/>
    </row>
    <row r="157" spans="7:13">
      <c r="G157" s="31">
        <v>46631</v>
      </c>
      <c r="H157" s="35">
        <v>3.4574831298793471</v>
      </c>
      <c r="I157" s="35">
        <v>3.318518646621893</v>
      </c>
      <c r="J157" s="35">
        <v>3.2876741142226233</v>
      </c>
      <c r="K157" s="104">
        <f t="shared" si="6"/>
        <v>2027</v>
      </c>
      <c r="L157" s="3"/>
      <c r="M157" s="3"/>
    </row>
    <row r="158" spans="7:13">
      <c r="G158" s="31">
        <v>46661</v>
      </c>
      <c r="H158" s="35">
        <v>3.4574831298793471</v>
      </c>
      <c r="I158" s="35">
        <v>3.3874393873238948</v>
      </c>
      <c r="J158" s="35">
        <v>3.3478969386730904</v>
      </c>
      <c r="K158" s="104">
        <f t="shared" si="6"/>
        <v>2027</v>
      </c>
      <c r="L158" s="3"/>
      <c r="M158" s="3"/>
    </row>
    <row r="159" spans="7:13">
      <c r="G159" s="31">
        <v>46692</v>
      </c>
      <c r="H159" s="35">
        <v>3.673441763155227</v>
      </c>
      <c r="I159" s="35">
        <v>3.7872418208026017</v>
      </c>
      <c r="J159" s="35">
        <v>3.5365951219512195</v>
      </c>
      <c r="K159" s="104">
        <f t="shared" si="6"/>
        <v>2027</v>
      </c>
      <c r="L159" s="3"/>
      <c r="M159" s="3"/>
    </row>
    <row r="160" spans="7:13">
      <c r="G160" s="31">
        <v>46722</v>
      </c>
      <c r="H160" s="35">
        <v>3.8489461735780188</v>
      </c>
      <c r="I160" s="35">
        <v>4.2008698273597727</v>
      </c>
      <c r="J160" s="35">
        <v>3.6977915487303021</v>
      </c>
      <c r="K160" s="104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3.8825059424110315</v>
      </c>
      <c r="I161" s="35">
        <v>4.1703189355384485</v>
      </c>
      <c r="J161" s="35">
        <v>3.7109401987353205</v>
      </c>
      <c r="K161" s="104">
        <f t="shared" si="8"/>
        <v>2028</v>
      </c>
      <c r="L161" s="3"/>
      <c r="M161" s="3"/>
    </row>
    <row r="162" spans="7:13">
      <c r="G162" s="31">
        <v>46784</v>
      </c>
      <c r="H162" s="35">
        <v>3.8272489212207241</v>
      </c>
      <c r="I162" s="35">
        <v>3.9164876275585732</v>
      </c>
      <c r="J162" s="35">
        <v>3.6562377998594799</v>
      </c>
      <c r="K162" s="104">
        <f t="shared" si="8"/>
        <v>2028</v>
      </c>
      <c r="L162" s="3"/>
      <c r="M162" s="3"/>
    </row>
    <row r="163" spans="7:13">
      <c r="G163" s="31">
        <v>46813</v>
      </c>
      <c r="H163" s="35">
        <v>3.6753681547196595</v>
      </c>
      <c r="I163" s="35">
        <v>3.6696467778767965</v>
      </c>
      <c r="J163" s="35">
        <v>3.5460300311151256</v>
      </c>
      <c r="K163" s="104">
        <f t="shared" si="8"/>
        <v>2028</v>
      </c>
      <c r="L163" s="3"/>
      <c r="M163" s="3"/>
    </row>
    <row r="164" spans="7:13">
      <c r="G164" s="31">
        <v>46844</v>
      </c>
      <c r="H164" s="35">
        <v>3.537276296258745</v>
      </c>
      <c r="I164" s="35">
        <v>3.5497733633575366</v>
      </c>
      <c r="J164" s="35">
        <v>3.4444542005420051</v>
      </c>
      <c r="K164" s="104">
        <f t="shared" si="8"/>
        <v>2028</v>
      </c>
      <c r="L164" s="3"/>
      <c r="M164" s="3"/>
    </row>
    <row r="165" spans="7:13">
      <c r="G165" s="31">
        <v>46874</v>
      </c>
      <c r="H165" s="35">
        <v>3.5234873882185949</v>
      </c>
      <c r="I165" s="35">
        <v>3.535637103243602</v>
      </c>
      <c r="J165" s="35">
        <v>3.3730901535682021</v>
      </c>
      <c r="K165" s="104">
        <f t="shared" si="8"/>
        <v>2028</v>
      </c>
      <c r="L165" s="3"/>
      <c r="M165" s="3"/>
    </row>
    <row r="166" spans="7:13">
      <c r="G166" s="31">
        <v>46905</v>
      </c>
      <c r="H166" s="35">
        <v>3.5234873882185949</v>
      </c>
      <c r="I166" s="35">
        <v>3.5497733633575366</v>
      </c>
      <c r="J166" s="35">
        <v>3.3881458596808192</v>
      </c>
      <c r="K166" s="104">
        <f t="shared" si="8"/>
        <v>2028</v>
      </c>
      <c r="L166" s="3"/>
      <c r="M166" s="3"/>
    </row>
    <row r="167" spans="7:13">
      <c r="G167" s="31">
        <v>46935</v>
      </c>
      <c r="H167" s="35">
        <v>3.7444140839501165</v>
      </c>
      <c r="I167" s="35">
        <v>3.7119519958734424</v>
      </c>
      <c r="J167" s="35">
        <v>3.5265579845428081</v>
      </c>
      <c r="K167" s="104">
        <f t="shared" si="8"/>
        <v>2028</v>
      </c>
      <c r="L167" s="3"/>
      <c r="M167" s="3"/>
    </row>
    <row r="168" spans="7:13">
      <c r="G168" s="31">
        <v>46966</v>
      </c>
      <c r="H168" s="35">
        <v>3.7582029919902666</v>
      </c>
      <c r="I168" s="35">
        <v>3.7260364748147983</v>
      </c>
      <c r="J168" s="35">
        <v>3.5577734818829669</v>
      </c>
      <c r="K168" s="104">
        <f t="shared" si="8"/>
        <v>2028</v>
      </c>
      <c r="L168" s="3"/>
      <c r="M168" s="3"/>
    </row>
    <row r="169" spans="7:13">
      <c r="G169" s="31">
        <v>46997</v>
      </c>
      <c r="H169" s="35">
        <v>3.7444140839501165</v>
      </c>
      <c r="I169" s="35">
        <v>3.6343837993508283</v>
      </c>
      <c r="J169" s="35">
        <v>3.571725102880658</v>
      </c>
      <c r="K169" s="104">
        <f t="shared" si="8"/>
        <v>2028</v>
      </c>
      <c r="L169" s="3"/>
      <c r="M169" s="3"/>
    </row>
    <row r="170" spans="7:13">
      <c r="G170" s="31">
        <v>47027</v>
      </c>
      <c r="H170" s="35">
        <v>3.7444140839501165</v>
      </c>
      <c r="I170" s="35">
        <v>3.7049097564027642</v>
      </c>
      <c r="J170" s="35">
        <v>3.631947927331125</v>
      </c>
      <c r="K170" s="104">
        <f t="shared" si="8"/>
        <v>2028</v>
      </c>
      <c r="L170" s="3"/>
      <c r="M170" s="3"/>
    </row>
    <row r="171" spans="7:13">
      <c r="G171" s="31">
        <v>47058</v>
      </c>
      <c r="H171" s="35">
        <v>3.9238726665314814</v>
      </c>
      <c r="I171" s="35">
        <v>4.0645299999605449</v>
      </c>
      <c r="J171" s="35">
        <v>3.7845124159389743</v>
      </c>
      <c r="K171" s="104">
        <f t="shared" si="8"/>
        <v>2028</v>
      </c>
      <c r="L171" s="3"/>
      <c r="M171" s="3"/>
    </row>
    <row r="172" spans="7:13">
      <c r="G172" s="31">
        <v>47088</v>
      </c>
      <c r="H172" s="35">
        <v>4.131010454222853</v>
      </c>
      <c r="I172" s="35">
        <v>4.5088124606841955</v>
      </c>
      <c r="J172" s="35">
        <v>3.9770247114322994</v>
      </c>
      <c r="K172" s="104">
        <f t="shared" si="8"/>
        <v>2028</v>
      </c>
      <c r="L172" s="3"/>
      <c r="M172" s="3"/>
    </row>
    <row r="173" spans="7:13">
      <c r="G173" s="31">
        <v>47119</v>
      </c>
      <c r="H173" s="35">
        <v>4.1556479884416513</v>
      </c>
      <c r="I173" s="35">
        <v>4.4752064796807396</v>
      </c>
      <c r="J173" s="35">
        <v>3.9813406805179161</v>
      </c>
      <c r="K173" s="104">
        <f t="shared" si="8"/>
        <v>2029</v>
      </c>
      <c r="L173" s="3"/>
      <c r="M173" s="3"/>
    </row>
    <row r="174" spans="7:13">
      <c r="G174" s="31">
        <v>47150</v>
      </c>
      <c r="H174" s="35">
        <v>4.1132673740241303</v>
      </c>
      <c r="I174" s="35">
        <v>4.2804574896129486</v>
      </c>
      <c r="J174" s="35">
        <v>3.9393854461507578</v>
      </c>
      <c r="K174" s="104">
        <f t="shared" si="8"/>
        <v>2029</v>
      </c>
      <c r="L174" s="3"/>
      <c r="M174" s="3"/>
    </row>
    <row r="175" spans="7:13">
      <c r="G175" s="31">
        <v>47178</v>
      </c>
      <c r="H175" s="35">
        <v>3.9296518412247798</v>
      </c>
      <c r="I175" s="35">
        <v>3.9774340676834838</v>
      </c>
      <c r="J175" s="35">
        <v>3.7977614373180768</v>
      </c>
      <c r="K175" s="104">
        <f t="shared" si="8"/>
        <v>2029</v>
      </c>
      <c r="L175" s="3"/>
      <c r="M175" s="3"/>
    </row>
    <row r="176" spans="7:13">
      <c r="G176" s="31">
        <v>47209</v>
      </c>
      <c r="H176" s="35">
        <v>3.6612750795903888</v>
      </c>
      <c r="I176" s="35">
        <v>3.7105539042138225</v>
      </c>
      <c r="J176" s="35">
        <v>3.5672083910468735</v>
      </c>
      <c r="K176" s="104">
        <f t="shared" si="8"/>
        <v>2029</v>
      </c>
      <c r="L176" s="3"/>
      <c r="M176" s="3"/>
    </row>
    <row r="177" spans="7:13">
      <c r="G177" s="31">
        <v>47239</v>
      </c>
      <c r="H177" s="35">
        <v>3.6329875403021394</v>
      </c>
      <c r="I177" s="35">
        <v>3.6961069570644169</v>
      </c>
      <c r="J177" s="35">
        <v>3.4814912375790423</v>
      </c>
      <c r="K177" s="104">
        <f t="shared" si="8"/>
        <v>2029</v>
      </c>
      <c r="L177" s="3"/>
      <c r="M177" s="3"/>
    </row>
    <row r="178" spans="7:13">
      <c r="G178" s="31">
        <v>47270</v>
      </c>
      <c r="H178" s="35">
        <v>3.6471820044611176</v>
      </c>
      <c r="I178" s="35">
        <v>3.7105539042138225</v>
      </c>
      <c r="J178" s="35">
        <v>3.5105989360634346</v>
      </c>
      <c r="K178" s="104">
        <f t="shared" si="8"/>
        <v>2029</v>
      </c>
      <c r="L178" s="3"/>
      <c r="M178" s="3"/>
    </row>
    <row r="179" spans="7:13">
      <c r="G179" s="31">
        <v>47300</v>
      </c>
      <c r="H179" s="35">
        <v>3.8448906123897397</v>
      </c>
      <c r="I179" s="35">
        <v>3.8548162510175628</v>
      </c>
      <c r="J179" s="35">
        <v>3.6260260162601625</v>
      </c>
      <c r="K179" s="104">
        <f t="shared" si="8"/>
        <v>2029</v>
      </c>
      <c r="L179" s="3"/>
      <c r="M179" s="3"/>
    </row>
    <row r="180" spans="7:13">
      <c r="G180" s="31">
        <v>47331</v>
      </c>
      <c r="H180" s="35">
        <v>3.8589836875190104</v>
      </c>
      <c r="I180" s="35">
        <v>3.8620138340059764</v>
      </c>
      <c r="J180" s="35">
        <v>3.6575426277225733</v>
      </c>
      <c r="K180" s="104">
        <f t="shared" si="8"/>
        <v>2029</v>
      </c>
      <c r="L180" s="3"/>
      <c r="M180" s="3"/>
    </row>
    <row r="181" spans="7:13">
      <c r="G181" s="31">
        <v>47362</v>
      </c>
      <c r="H181" s="35">
        <v>3.8025099979722197</v>
      </c>
      <c r="I181" s="35">
        <v>3.7177514872022361</v>
      </c>
      <c r="J181" s="35">
        <v>3.6292379002308541</v>
      </c>
      <c r="K181" s="104">
        <f t="shared" si="8"/>
        <v>2029</v>
      </c>
      <c r="L181" s="3"/>
      <c r="M181" s="3"/>
    </row>
    <row r="182" spans="7:13">
      <c r="G182" s="31">
        <v>47392</v>
      </c>
      <c r="H182" s="35">
        <v>3.8025099979722197</v>
      </c>
      <c r="I182" s="35">
        <v>3.7971320247650979</v>
      </c>
      <c r="J182" s="35">
        <v>3.6894607246813207</v>
      </c>
      <c r="K182" s="104">
        <f t="shared" si="8"/>
        <v>2029</v>
      </c>
      <c r="L182" s="3"/>
      <c r="M182" s="3"/>
    </row>
    <row r="183" spans="7:13">
      <c r="G183" s="31">
        <v>47423</v>
      </c>
      <c r="H183" s="35">
        <v>3.9720324556422995</v>
      </c>
      <c r="I183" s="35">
        <v>4.0928543013609922</v>
      </c>
      <c r="J183" s="35">
        <v>3.8321888186289268</v>
      </c>
      <c r="K183" s="104">
        <f t="shared" si="8"/>
        <v>2029</v>
      </c>
      <c r="L183" s="3"/>
      <c r="M183" s="3"/>
    </row>
    <row r="184" spans="7:13">
      <c r="G184" s="31">
        <v>47453</v>
      </c>
      <c r="H184" s="35">
        <v>4.2263161421474198</v>
      </c>
      <c r="I184" s="35">
        <v>4.5112979569679643</v>
      </c>
      <c r="J184" s="35">
        <v>4.0713738030713635</v>
      </c>
      <c r="K184" s="104">
        <f t="shared" si="8"/>
        <v>2029</v>
      </c>
      <c r="L184" s="3"/>
      <c r="M184" s="3"/>
    </row>
    <row r="185" spans="7:13">
      <c r="G185" s="31">
        <v>47484</v>
      </c>
      <c r="H185" s="35">
        <v>4.2659592527628512</v>
      </c>
      <c r="I185" s="35">
        <v>4.4967474474734015</v>
      </c>
      <c r="J185" s="35">
        <v>4.0905447355214291</v>
      </c>
      <c r="K185" s="104">
        <f t="shared" si="8"/>
        <v>2030</v>
      </c>
      <c r="L185" s="3"/>
      <c r="M185" s="3"/>
    </row>
    <row r="186" spans="7:13">
      <c r="G186" s="31">
        <v>47515</v>
      </c>
      <c r="H186" s="35">
        <v>4.20816750582987</v>
      </c>
      <c r="I186" s="35">
        <v>4.2827358612064037</v>
      </c>
      <c r="J186" s="35">
        <v>4.0333330522934858</v>
      </c>
      <c r="K186" s="104">
        <f t="shared" si="8"/>
        <v>2030</v>
      </c>
      <c r="L186" s="3"/>
      <c r="M186" s="3"/>
    </row>
    <row r="187" spans="7:13">
      <c r="G187" s="31">
        <v>47543</v>
      </c>
      <c r="H187" s="35">
        <v>3.9768991290682347</v>
      </c>
      <c r="I187" s="35">
        <v>3.9727737621514176</v>
      </c>
      <c r="J187" s="35">
        <v>3.8445344976412725</v>
      </c>
      <c r="K187" s="104">
        <f t="shared" si="8"/>
        <v>2030</v>
      </c>
      <c r="L187" s="3"/>
      <c r="M187" s="3"/>
    </row>
    <row r="188" spans="7:13">
      <c r="G188" s="31">
        <v>47574</v>
      </c>
      <c r="H188" s="35">
        <v>3.6879403944033258</v>
      </c>
      <c r="I188" s="35">
        <v>3.7218421998359386</v>
      </c>
      <c r="J188" s="35">
        <v>3.5936060624309945</v>
      </c>
      <c r="K188" s="104">
        <f t="shared" si="8"/>
        <v>2030</v>
      </c>
      <c r="L188" s="3"/>
      <c r="M188" s="3"/>
    </row>
    <row r="189" spans="7:13">
      <c r="G189" s="31">
        <v>47604</v>
      </c>
      <c r="H189" s="35">
        <v>3.7024390256514246</v>
      </c>
      <c r="I189" s="35">
        <v>3.7587621758844194</v>
      </c>
      <c r="J189" s="35">
        <v>3.5502456288266586</v>
      </c>
      <c r="K189" s="104">
        <f t="shared" si="8"/>
        <v>2030</v>
      </c>
      <c r="L189" s="3"/>
      <c r="M189" s="3"/>
    </row>
    <row r="190" spans="7:13">
      <c r="G190" s="31">
        <v>47635</v>
      </c>
      <c r="H190" s="35">
        <v>3.7457321413363078</v>
      </c>
      <c r="I190" s="35">
        <v>3.8030350784390485</v>
      </c>
      <c r="J190" s="35">
        <v>3.6081599116731908</v>
      </c>
      <c r="K190" s="104">
        <f t="shared" si="8"/>
        <v>2030</v>
      </c>
      <c r="L190" s="3"/>
      <c r="M190" s="3"/>
    </row>
    <row r="191" spans="7:13">
      <c r="G191" s="31">
        <v>47665</v>
      </c>
      <c r="H191" s="35">
        <v>4.0057950025347262</v>
      </c>
      <c r="I191" s="35">
        <v>4.0022890305211707</v>
      </c>
      <c r="J191" s="35">
        <v>3.7853153869316469</v>
      </c>
      <c r="K191" s="104">
        <f t="shared" si="8"/>
        <v>2030</v>
      </c>
      <c r="L191" s="3"/>
      <c r="M191" s="3"/>
    </row>
    <row r="192" spans="7:13">
      <c r="G192" s="31">
        <v>47696</v>
      </c>
      <c r="H192" s="35">
        <v>4.0635867494677074</v>
      </c>
      <c r="I192" s="35">
        <v>4.0686724937668259</v>
      </c>
      <c r="J192" s="35">
        <v>3.8600920606243099</v>
      </c>
      <c r="K192" s="104">
        <f t="shared" si="8"/>
        <v>2030</v>
      </c>
      <c r="L192" s="3"/>
      <c r="M192" s="3"/>
    </row>
    <row r="193" spans="7:13">
      <c r="G193" s="31">
        <v>47727</v>
      </c>
      <c r="H193" s="35">
        <v>4.0057950025347262</v>
      </c>
      <c r="I193" s="35">
        <v>3.9359055672755154</v>
      </c>
      <c r="J193" s="35">
        <v>3.8304825052694969</v>
      </c>
      <c r="K193" s="104">
        <f t="shared" si="8"/>
        <v>2030</v>
      </c>
      <c r="L193" s="3"/>
      <c r="M193" s="3"/>
    </row>
    <row r="194" spans="7:13">
      <c r="G194" s="31">
        <v>47757</v>
      </c>
      <c r="H194" s="35">
        <v>4.0346908760012168</v>
      </c>
      <c r="I194" s="35">
        <v>4.0170466647060472</v>
      </c>
      <c r="J194" s="35">
        <v>3.9193111713339355</v>
      </c>
      <c r="K194" s="104">
        <f t="shared" si="8"/>
        <v>2030</v>
      </c>
      <c r="L194" s="3"/>
      <c r="M194" s="3"/>
    </row>
    <row r="195" spans="7:13">
      <c r="G195" s="31">
        <v>47788</v>
      </c>
      <c r="H195" s="35">
        <v>4.2659592527628512</v>
      </c>
      <c r="I195" s="35">
        <v>4.3860393005005385</v>
      </c>
      <c r="J195" s="35">
        <v>4.123165432098765</v>
      </c>
      <c r="K195" s="104">
        <f t="shared" si="8"/>
        <v>2030</v>
      </c>
      <c r="L195" s="3"/>
      <c r="M195" s="3"/>
    </row>
    <row r="196" spans="7:13">
      <c r="G196" s="31">
        <v>47818</v>
      </c>
      <c r="H196" s="35">
        <v>4.5694166186758594</v>
      </c>
      <c r="I196" s="35">
        <v>4.843629522576868</v>
      </c>
      <c r="J196" s="35">
        <v>4.4110305329719965</v>
      </c>
      <c r="K196" s="104">
        <f t="shared" si="8"/>
        <v>2030</v>
      </c>
      <c r="L196" s="3"/>
      <c r="M196" s="3"/>
    </row>
    <row r="197" spans="7:13">
      <c r="G197" s="31">
        <v>47849</v>
      </c>
      <c r="H197" s="35">
        <v>4.6008472178850246</v>
      </c>
      <c r="I197" s="35">
        <v>4.8415582756737274</v>
      </c>
      <c r="J197" s="35">
        <v>4.4220713841212484</v>
      </c>
      <c r="K197" s="104">
        <f t="shared" si="8"/>
        <v>2031</v>
      </c>
      <c r="L197" s="3"/>
      <c r="M197" s="3"/>
    </row>
    <row r="198" spans="7:13">
      <c r="G198" s="31">
        <v>47880</v>
      </c>
      <c r="H198" s="35">
        <v>4.4973290185541925</v>
      </c>
      <c r="I198" s="35">
        <v>4.5999473244223807</v>
      </c>
      <c r="J198" s="35">
        <v>4.3195922111813712</v>
      </c>
      <c r="K198" s="104">
        <f t="shared" si="8"/>
        <v>2031</v>
      </c>
      <c r="L198" s="3"/>
      <c r="M198" s="3"/>
    </row>
    <row r="199" spans="7:13">
      <c r="G199" s="31">
        <v>47908</v>
      </c>
      <c r="H199" s="35">
        <v>4.3347010149041871</v>
      </c>
      <c r="I199" s="35">
        <v>4.3658964243674969</v>
      </c>
      <c r="J199" s="35">
        <v>4.1987450767841015</v>
      </c>
      <c r="K199" s="104">
        <f t="shared" si="8"/>
        <v>2031</v>
      </c>
      <c r="L199" s="3"/>
      <c r="M199" s="3"/>
    </row>
    <row r="200" spans="7:13">
      <c r="G200" s="31">
        <v>47939</v>
      </c>
      <c r="H200" s="35">
        <v>4.039151993308324</v>
      </c>
      <c r="I200" s="35">
        <v>4.0412802534727916</v>
      </c>
      <c r="J200" s="35">
        <v>3.941292502258356</v>
      </c>
      <c r="K200" s="104">
        <f t="shared" si="8"/>
        <v>2031</v>
      </c>
      <c r="L200" s="3"/>
      <c r="M200" s="3"/>
    </row>
    <row r="201" spans="7:13">
      <c r="G201" s="31">
        <v>47969</v>
      </c>
      <c r="H201" s="35">
        <v>4.0095463966338842</v>
      </c>
      <c r="I201" s="35">
        <v>4.0488403046692545</v>
      </c>
      <c r="J201" s="35">
        <v>3.8542705209274315</v>
      </c>
      <c r="K201" s="104">
        <f t="shared" si="8"/>
        <v>2031</v>
      </c>
      <c r="L201" s="3"/>
      <c r="M201" s="3"/>
    </row>
    <row r="202" spans="7:13">
      <c r="G202" s="31">
        <v>48000</v>
      </c>
      <c r="H202" s="35">
        <v>4.0243491949711041</v>
      </c>
      <c r="I202" s="35">
        <v>4.0488403046692545</v>
      </c>
      <c r="J202" s="35">
        <v>3.8839804476563282</v>
      </c>
      <c r="K202" s="104">
        <f t="shared" si="8"/>
        <v>2031</v>
      </c>
      <c r="L202" s="3"/>
      <c r="M202" s="3"/>
    </row>
    <row r="203" spans="7:13">
      <c r="G203" s="31">
        <v>48030</v>
      </c>
      <c r="H203" s="35">
        <v>4.4234164158978002</v>
      </c>
      <c r="I203" s="35">
        <v>4.3658964243674969</v>
      </c>
      <c r="J203" s="35">
        <v>4.1987450767841015</v>
      </c>
      <c r="K203" s="104">
        <f t="shared" si="8"/>
        <v>2031</v>
      </c>
      <c r="L203" s="3"/>
      <c r="M203" s="3"/>
    </row>
    <row r="204" spans="7:13">
      <c r="G204" s="31">
        <v>48061</v>
      </c>
      <c r="H204" s="35">
        <v>4.4382192142350201</v>
      </c>
      <c r="I204" s="35">
        <v>4.4036448991772339</v>
      </c>
      <c r="J204" s="35">
        <v>4.2309642878651008</v>
      </c>
      <c r="K204" s="104">
        <f t="shared" si="8"/>
        <v>2031</v>
      </c>
      <c r="L204" s="3"/>
      <c r="M204" s="3"/>
    </row>
    <row r="205" spans="7:13">
      <c r="G205" s="31">
        <v>48092</v>
      </c>
      <c r="H205" s="35">
        <v>4.349503813241407</v>
      </c>
      <c r="I205" s="35">
        <v>4.2300226275214765</v>
      </c>
      <c r="J205" s="35">
        <v>4.1707414634146343</v>
      </c>
      <c r="K205" s="104">
        <f t="shared" si="8"/>
        <v>2031</v>
      </c>
      <c r="L205" s="3"/>
      <c r="M205" s="3"/>
    </row>
    <row r="206" spans="7:13">
      <c r="G206" s="31">
        <v>48122</v>
      </c>
      <c r="H206" s="35">
        <v>4.349503813241407</v>
      </c>
      <c r="I206" s="35">
        <v>4.2828394235515601</v>
      </c>
      <c r="J206" s="35">
        <v>4.2309642878651008</v>
      </c>
      <c r="K206" s="104">
        <f t="shared" si="8"/>
        <v>2031</v>
      </c>
      <c r="L206" s="3"/>
      <c r="M206" s="3"/>
    </row>
    <row r="207" spans="7:13">
      <c r="G207" s="31">
        <v>48153</v>
      </c>
      <c r="H207" s="35">
        <v>4.4382192142350201</v>
      </c>
      <c r="I207" s="35">
        <v>4.5697071196365284</v>
      </c>
      <c r="J207" s="35">
        <v>4.29369639666767</v>
      </c>
      <c r="K207" s="104">
        <f t="shared" si="8"/>
        <v>2031</v>
      </c>
      <c r="L207" s="3"/>
      <c r="M207" s="3"/>
    </row>
    <row r="208" spans="7:13">
      <c r="G208" s="31">
        <v>48183</v>
      </c>
      <c r="H208" s="35">
        <v>4.6451542238669781</v>
      </c>
      <c r="I208" s="35">
        <v>4.9245634953170851</v>
      </c>
      <c r="J208" s="35">
        <v>4.4860079494128273</v>
      </c>
      <c r="K208" s="104">
        <f t="shared" si="8"/>
        <v>2031</v>
      </c>
      <c r="L208" s="3"/>
      <c r="M208" s="3"/>
    </row>
    <row r="209" spans="7:13">
      <c r="G209" s="31">
        <v>48214</v>
      </c>
      <c r="H209" s="35">
        <v>4.6917931775321913</v>
      </c>
      <c r="I209" s="35">
        <v>4.8754231625400752</v>
      </c>
      <c r="J209" s="35">
        <v>4.5121045066746959</v>
      </c>
      <c r="K209" s="104">
        <f t="shared" si="8"/>
        <v>2032</v>
      </c>
      <c r="L209" s="3"/>
      <c r="M209" s="3"/>
    </row>
    <row r="210" spans="7:13">
      <c r="G210" s="31">
        <v>48245</v>
      </c>
      <c r="H210" s="35">
        <v>4.5859430305180977</v>
      </c>
      <c r="I210" s="35">
        <v>4.628271625822828</v>
      </c>
      <c r="J210" s="35">
        <v>4.4073167921308842</v>
      </c>
      <c r="K210" s="104">
        <f t="shared" si="8"/>
        <v>2032</v>
      </c>
      <c r="L210" s="3"/>
      <c r="M210" s="3"/>
    </row>
    <row r="211" spans="7:13">
      <c r="G211" s="31">
        <v>48274</v>
      </c>
      <c r="H211" s="35">
        <v>4.5254137797830278</v>
      </c>
      <c r="I211" s="35">
        <v>4.5201525374788902</v>
      </c>
      <c r="J211" s="35">
        <v>4.3875436314363148</v>
      </c>
      <c r="K211" s="104">
        <f t="shared" si="8"/>
        <v>2032</v>
      </c>
      <c r="L211" s="3"/>
      <c r="M211" s="3"/>
    </row>
    <row r="212" spans="7:13">
      <c r="G212" s="31">
        <v>48305</v>
      </c>
      <c r="H212" s="35">
        <v>4.3288204511811825</v>
      </c>
      <c r="I212" s="35">
        <v>4.2961989660768172</v>
      </c>
      <c r="J212" s="35">
        <v>4.2280535180166616</v>
      </c>
      <c r="K212" s="104">
        <f t="shared" si="8"/>
        <v>2032</v>
      </c>
      <c r="L212" s="3"/>
      <c r="M212" s="3"/>
    </row>
    <row r="213" spans="7:13">
      <c r="G213" s="31">
        <v>48335</v>
      </c>
      <c r="H213" s="35">
        <v>4.3288204511811825</v>
      </c>
      <c r="I213" s="35">
        <v>4.3116297555052139</v>
      </c>
      <c r="J213" s="35">
        <v>4.1703399779182977</v>
      </c>
      <c r="K213" s="104">
        <f t="shared" si="8"/>
        <v>2032</v>
      </c>
      <c r="L213" s="3"/>
      <c r="M213" s="3"/>
    </row>
    <row r="214" spans="7:13">
      <c r="G214" s="31">
        <v>48366</v>
      </c>
      <c r="H214" s="35">
        <v>4.3591357710635705</v>
      </c>
      <c r="I214" s="35">
        <v>4.357973904962984</v>
      </c>
      <c r="J214" s="35">
        <v>4.2154067248820644</v>
      </c>
      <c r="K214" s="104">
        <f t="shared" si="8"/>
        <v>2032</v>
      </c>
      <c r="L214" s="3"/>
      <c r="M214" s="3"/>
    </row>
    <row r="215" spans="7:13">
      <c r="G215" s="31">
        <v>48396</v>
      </c>
      <c r="H215" s="35">
        <v>4.5859430305180977</v>
      </c>
      <c r="I215" s="35">
        <v>4.5510141163356845</v>
      </c>
      <c r="J215" s="35">
        <v>4.3596403894409317</v>
      </c>
      <c r="K215" s="104">
        <f t="shared" si="8"/>
        <v>2032</v>
      </c>
      <c r="L215" s="3"/>
      <c r="M215" s="3"/>
    </row>
    <row r="216" spans="7:13">
      <c r="G216" s="31">
        <v>48427</v>
      </c>
      <c r="H216" s="35">
        <v>4.6463708922234614</v>
      </c>
      <c r="I216" s="35">
        <v>4.5973582657934546</v>
      </c>
      <c r="J216" s="35">
        <v>4.4370267188597809</v>
      </c>
      <c r="K216" s="104">
        <f t="shared" si="8"/>
        <v>2032</v>
      </c>
      <c r="L216" s="3"/>
      <c r="M216" s="3"/>
    </row>
    <row r="217" spans="7:13">
      <c r="G217" s="31">
        <v>48458</v>
      </c>
      <c r="H217" s="35">
        <v>4.6010499959444386</v>
      </c>
      <c r="I217" s="35">
        <v>4.4660929933069218</v>
      </c>
      <c r="J217" s="35">
        <v>4.4197628425173141</v>
      </c>
      <c r="K217" s="104">
        <f t="shared" si="8"/>
        <v>2032</v>
      </c>
      <c r="L217" s="3"/>
      <c r="M217" s="3"/>
    </row>
    <row r="218" spans="7:13">
      <c r="G218" s="31">
        <v>48488</v>
      </c>
      <c r="H218" s="35">
        <v>4.6010499959444386</v>
      </c>
      <c r="I218" s="35">
        <v>4.5664966869366603</v>
      </c>
      <c r="J218" s="35">
        <v>4.4799856669677807</v>
      </c>
      <c r="K218" s="104">
        <f t="shared" si="8"/>
        <v>2032</v>
      </c>
      <c r="L218" s="3"/>
      <c r="M218" s="3"/>
    </row>
    <row r="219" spans="7:13">
      <c r="G219" s="31">
        <v>48519</v>
      </c>
      <c r="H219" s="35">
        <v>4.7976433245462839</v>
      </c>
      <c r="I219" s="35">
        <v>4.9062847413968704</v>
      </c>
      <c r="J219" s="35">
        <v>4.6495129177958443</v>
      </c>
      <c r="K219" s="104">
        <f t="shared" si="8"/>
        <v>2032</v>
      </c>
      <c r="L219" s="3"/>
      <c r="M219" s="3"/>
    </row>
    <row r="220" spans="7:13">
      <c r="G220" s="31">
        <v>48549</v>
      </c>
      <c r="H220" s="35">
        <v>5.0849798347358819</v>
      </c>
      <c r="I220" s="35">
        <v>5.338812875945198</v>
      </c>
      <c r="J220" s="35">
        <v>4.921418970189702</v>
      </c>
      <c r="K220" s="104">
        <f t="shared" si="8"/>
        <v>2032</v>
      </c>
      <c r="L220" s="3"/>
      <c r="M220" s="3"/>
    </row>
    <row r="221" spans="7:13">
      <c r="G221" s="31">
        <v>48580</v>
      </c>
      <c r="H221" s="35">
        <v>5.119756271925378</v>
      </c>
      <c r="I221" s="35">
        <v>5.3297511707439575</v>
      </c>
      <c r="J221" s="35">
        <v>4.9357720766837296</v>
      </c>
      <c r="K221" s="104">
        <f t="shared" si="8"/>
        <v>2033</v>
      </c>
      <c r="L221" s="3"/>
      <c r="M221" s="3"/>
    </row>
    <row r="222" spans="7:13">
      <c r="G222" s="31">
        <v>48611</v>
      </c>
      <c r="H222" s="35">
        <v>5.119756271925378</v>
      </c>
      <c r="I222" s="35">
        <v>5.163999637320134</v>
      </c>
      <c r="J222" s="35">
        <v>4.9357720766837296</v>
      </c>
      <c r="K222" s="104">
        <f t="shared" si="8"/>
        <v>2033</v>
      </c>
      <c r="L222" s="3"/>
      <c r="M222" s="3"/>
    </row>
    <row r="223" spans="7:13">
      <c r="G223" s="31">
        <v>48639</v>
      </c>
      <c r="H223" s="35">
        <v>4.9189046040758386</v>
      </c>
      <c r="I223" s="35">
        <v>4.9193335968866547</v>
      </c>
      <c r="J223" s="35">
        <v>4.7770849342567496</v>
      </c>
      <c r="K223" s="104">
        <f t="shared" si="8"/>
        <v>2033</v>
      </c>
      <c r="L223" s="3"/>
      <c r="M223" s="3"/>
    </row>
    <row r="224" spans="7:13">
      <c r="G224" s="31">
        <v>48670</v>
      </c>
      <c r="H224" s="35">
        <v>4.7334640687417622</v>
      </c>
      <c r="I224" s="35">
        <v>4.690409032917044</v>
      </c>
      <c r="J224" s="35">
        <v>4.6286356719863493</v>
      </c>
      <c r="K224" s="104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4.7488752012572242</v>
      </c>
      <c r="I225" s="35">
        <v>4.690409032917044</v>
      </c>
      <c r="J225" s="35">
        <v>4.5861785807487703</v>
      </c>
      <c r="K225" s="104">
        <f t="shared" si="9"/>
        <v>2033</v>
      </c>
      <c r="L225" s="3"/>
      <c r="M225" s="3"/>
    </row>
    <row r="226" spans="7:13">
      <c r="G226" s="31">
        <v>48731</v>
      </c>
      <c r="H226" s="35">
        <v>4.7797988553178543</v>
      </c>
      <c r="I226" s="35">
        <v>4.7219955481899376</v>
      </c>
      <c r="J226" s="35">
        <v>4.6318475559570409</v>
      </c>
      <c r="K226" s="104">
        <f t="shared" si="9"/>
        <v>2033</v>
      </c>
      <c r="L226" s="3"/>
      <c r="M226" s="3"/>
    </row>
    <row r="227" spans="7:13">
      <c r="G227" s="31">
        <v>48761</v>
      </c>
      <c r="H227" s="35">
        <v>4.9498282581364696</v>
      </c>
      <c r="I227" s="35">
        <v>4.8324965704724869</v>
      </c>
      <c r="J227" s="35">
        <v>4.7198732510288064</v>
      </c>
      <c r="K227" s="104">
        <f t="shared" si="9"/>
        <v>2033</v>
      </c>
      <c r="L227" s="3"/>
      <c r="M227" s="3"/>
    </row>
    <row r="228" spans="7:13">
      <c r="G228" s="31">
        <v>48792</v>
      </c>
      <c r="H228" s="35">
        <v>4.9652393906519317</v>
      </c>
      <c r="I228" s="35">
        <v>4.8640830857453805</v>
      </c>
      <c r="J228" s="35">
        <v>4.7526946903543106</v>
      </c>
      <c r="K228" s="104">
        <f t="shared" si="9"/>
        <v>2033</v>
      </c>
      <c r="L228" s="3"/>
      <c r="M228" s="3"/>
    </row>
    <row r="229" spans="7:13">
      <c r="G229" s="31">
        <v>48823</v>
      </c>
      <c r="H229" s="35">
        <v>4.9652393906519317</v>
      </c>
      <c r="I229" s="35">
        <v>4.7693753210992789</v>
      </c>
      <c r="J229" s="35">
        <v>4.7802968182274412</v>
      </c>
      <c r="K229" s="104">
        <f t="shared" si="9"/>
        <v>2033</v>
      </c>
      <c r="L229" s="3"/>
      <c r="M229" s="3"/>
    </row>
    <row r="230" spans="7:13">
      <c r="G230" s="31">
        <v>48853</v>
      </c>
      <c r="H230" s="35">
        <v>4.9343157365913006</v>
      </c>
      <c r="I230" s="35">
        <v>4.8009100551995934</v>
      </c>
      <c r="J230" s="35">
        <v>4.8099063735822547</v>
      </c>
      <c r="K230" s="104">
        <f t="shared" si="9"/>
        <v>2033</v>
      </c>
      <c r="L230" s="3"/>
      <c r="M230" s="3"/>
    </row>
    <row r="231" spans="7:13">
      <c r="G231" s="31">
        <v>48884</v>
      </c>
      <c r="H231" s="35">
        <v>5.0580103528338238</v>
      </c>
      <c r="I231" s="35">
        <v>5.1482063796836872</v>
      </c>
      <c r="J231" s="35">
        <v>4.9072666064438417</v>
      </c>
      <c r="K231" s="104">
        <f t="shared" si="9"/>
        <v>2033</v>
      </c>
      <c r="L231" s="3"/>
      <c r="M231" s="3"/>
    </row>
    <row r="232" spans="7:13">
      <c r="G232" s="31">
        <v>48914</v>
      </c>
      <c r="H232" s="35">
        <v>5.3052981962891614</v>
      </c>
      <c r="I232" s="35">
        <v>5.5665464729455021</v>
      </c>
      <c r="J232" s="35">
        <v>5.1395259660744754</v>
      </c>
      <c r="K232" s="104">
        <f t="shared" si="9"/>
        <v>2033</v>
      </c>
      <c r="L232" s="3"/>
      <c r="M232" s="3"/>
    </row>
    <row r="233" spans="7:13">
      <c r="G233" s="31">
        <v>48945</v>
      </c>
      <c r="H233" s="35">
        <v>5.3275023937949921</v>
      </c>
      <c r="I233" s="35">
        <v>5.5275034688213038</v>
      </c>
      <c r="J233" s="35">
        <v>5.1414330221820732</v>
      </c>
      <c r="K233" s="104">
        <f t="shared" si="9"/>
        <v>2034</v>
      </c>
      <c r="L233" s="3"/>
      <c r="M233" s="3"/>
    </row>
    <row r="234" spans="7:13">
      <c r="G234" s="31">
        <v>48976</v>
      </c>
      <c r="H234" s="35">
        <v>5.295869016526412</v>
      </c>
      <c r="I234" s="35">
        <v>5.3177379387057426</v>
      </c>
      <c r="J234" s="35">
        <v>5.1101171534678311</v>
      </c>
      <c r="K234" s="104">
        <f t="shared" si="9"/>
        <v>2034</v>
      </c>
      <c r="L234" s="3"/>
      <c r="M234" s="3"/>
    </row>
    <row r="235" spans="7:13">
      <c r="G235" s="31">
        <v>49004</v>
      </c>
      <c r="H235" s="35">
        <v>5.0589228541011861</v>
      </c>
      <c r="I235" s="35">
        <v>5.0596087934018499</v>
      </c>
      <c r="J235" s="35">
        <v>4.9156978018669069</v>
      </c>
      <c r="K235" s="104">
        <f t="shared" si="9"/>
        <v>2034</v>
      </c>
      <c r="L235" s="3"/>
      <c r="M235" s="3"/>
    </row>
    <row r="236" spans="7:13">
      <c r="G236" s="31">
        <v>49035</v>
      </c>
      <c r="H236" s="35">
        <v>4.8694267575788297</v>
      </c>
      <c r="I236" s="35">
        <v>4.7853239222534611</v>
      </c>
      <c r="J236" s="35">
        <v>4.7632336846331427</v>
      </c>
      <c r="K236" s="104">
        <f t="shared" si="9"/>
        <v>2034</v>
      </c>
      <c r="L236" s="3"/>
      <c r="M236" s="3"/>
    </row>
    <row r="237" spans="7:13">
      <c r="G237" s="31">
        <v>49065</v>
      </c>
      <c r="H237" s="35">
        <v>4.8377933803102504</v>
      </c>
      <c r="I237" s="35">
        <v>4.7692199775815425</v>
      </c>
      <c r="J237" s="35">
        <v>4.6742042758205358</v>
      </c>
      <c r="K237" s="104">
        <f t="shared" si="9"/>
        <v>2034</v>
      </c>
      <c r="L237" s="3"/>
      <c r="M237" s="3"/>
    </row>
    <row r="238" spans="7:13">
      <c r="G238" s="31">
        <v>49096</v>
      </c>
      <c r="H238" s="35">
        <v>4.8694267575788297</v>
      </c>
      <c r="I238" s="35">
        <v>4.7853239222534611</v>
      </c>
      <c r="J238" s="35">
        <v>4.7205758506473954</v>
      </c>
      <c r="K238" s="104">
        <f t="shared" si="9"/>
        <v>2034</v>
      </c>
      <c r="L238" s="3"/>
      <c r="M238" s="3"/>
    </row>
    <row r="239" spans="7:13">
      <c r="G239" s="31">
        <v>49126</v>
      </c>
      <c r="H239" s="35">
        <v>5.0431061654668969</v>
      </c>
      <c r="I239" s="35">
        <v>4.914362604319118</v>
      </c>
      <c r="J239" s="35">
        <v>4.812214915186189</v>
      </c>
      <c r="K239" s="104">
        <f t="shared" si="9"/>
        <v>2034</v>
      </c>
      <c r="L239" s="3"/>
      <c r="M239" s="3"/>
    </row>
    <row r="240" spans="7:13">
      <c r="G240" s="31">
        <v>49157</v>
      </c>
      <c r="H240" s="35">
        <v>5.1063729200040555</v>
      </c>
      <c r="I240" s="35">
        <v>4.9950376711964424</v>
      </c>
      <c r="J240" s="35">
        <v>4.8924116430793934</v>
      </c>
      <c r="K240" s="104">
        <f t="shared" si="9"/>
        <v>2034</v>
      </c>
      <c r="L240" s="3"/>
      <c r="M240" s="3"/>
    </row>
    <row r="241" spans="7:13">
      <c r="G241" s="31">
        <v>49188</v>
      </c>
      <c r="H241" s="35">
        <v>5.0905562313697654</v>
      </c>
      <c r="I241" s="35">
        <v>4.8982586596472002</v>
      </c>
      <c r="J241" s="35">
        <v>4.9043558365954034</v>
      </c>
      <c r="K241" s="104">
        <f t="shared" si="9"/>
        <v>2034</v>
      </c>
      <c r="L241" s="3"/>
      <c r="M241" s="3"/>
    </row>
    <row r="242" spans="7:13">
      <c r="G242" s="31">
        <v>49218</v>
      </c>
      <c r="H242" s="35">
        <v>5.1063729200040555</v>
      </c>
      <c r="I242" s="35">
        <v>4.9950894523690206</v>
      </c>
      <c r="J242" s="35">
        <v>4.9802365954029906</v>
      </c>
      <c r="K242" s="104">
        <f t="shared" si="9"/>
        <v>2034</v>
      </c>
      <c r="L242" s="3"/>
      <c r="M242" s="3"/>
    </row>
    <row r="243" spans="7:13">
      <c r="G243" s="31">
        <v>49249</v>
      </c>
      <c r="H243" s="35">
        <v>5.2642356392578327</v>
      </c>
      <c r="I243" s="35">
        <v>5.3499976092221573</v>
      </c>
      <c r="J243" s="35">
        <v>5.1114219813309241</v>
      </c>
      <c r="K243" s="104">
        <f t="shared" si="9"/>
        <v>2034</v>
      </c>
      <c r="L243" s="3"/>
      <c r="M243" s="3"/>
    </row>
    <row r="244" spans="7:13">
      <c r="G244" s="31">
        <v>49279</v>
      </c>
      <c r="H244" s="35">
        <v>5.5011818016830585</v>
      </c>
      <c r="I244" s="35">
        <v>5.7049057660752922</v>
      </c>
      <c r="J244" s="35">
        <v>5.3334434608049781</v>
      </c>
      <c r="K244" s="104">
        <f t="shared" si="9"/>
        <v>2034</v>
      </c>
      <c r="L244" s="3"/>
      <c r="M244" s="3"/>
    </row>
    <row r="245" spans="7:13">
      <c r="G245" s="31">
        <v>49310</v>
      </c>
      <c r="H245" s="35">
        <v>5.5417374135658521</v>
      </c>
      <c r="I245" s="35">
        <v>5.7065627635978053</v>
      </c>
      <c r="J245" s="35">
        <v>5.3535177356218009</v>
      </c>
      <c r="K245" s="104">
        <f t="shared" si="9"/>
        <v>2035</v>
      </c>
      <c r="L245" s="3"/>
      <c r="M245" s="3"/>
    </row>
    <row r="246" spans="7:13">
      <c r="G246" s="31">
        <v>49341</v>
      </c>
      <c r="H246" s="35">
        <v>5.5417374135658521</v>
      </c>
      <c r="I246" s="35">
        <v>5.5416915101078166</v>
      </c>
      <c r="J246" s="35">
        <v>5.3535177356218009</v>
      </c>
      <c r="K246" s="104">
        <f t="shared" si="9"/>
        <v>2035</v>
      </c>
      <c r="L246" s="3"/>
      <c r="M246" s="3"/>
    </row>
    <row r="247" spans="7:13">
      <c r="G247" s="31">
        <v>49369</v>
      </c>
      <c r="H247" s="35">
        <v>5.2834995549021597</v>
      </c>
      <c r="I247" s="35">
        <v>5.2614000229403191</v>
      </c>
      <c r="J247" s="35">
        <v>5.1380203954632133</v>
      </c>
      <c r="K247" s="104">
        <f t="shared" si="9"/>
        <v>2035</v>
      </c>
      <c r="L247" s="3"/>
      <c r="M247" s="3"/>
    </row>
    <row r="248" spans="7:13">
      <c r="G248" s="31">
        <v>49400</v>
      </c>
      <c r="H248" s="35">
        <v>5.0090394514853491</v>
      </c>
      <c r="I248" s="35">
        <v>4.8986729090278285</v>
      </c>
      <c r="J248" s="35">
        <v>4.9014450667469633</v>
      </c>
      <c r="K248" s="104">
        <f t="shared" si="9"/>
        <v>2035</v>
      </c>
      <c r="L248" s="3"/>
      <c r="M248" s="3"/>
    </row>
    <row r="249" spans="7:13">
      <c r="G249" s="31">
        <v>49430</v>
      </c>
      <c r="H249" s="35">
        <v>5.0413825519618776</v>
      </c>
      <c r="I249" s="35">
        <v>4.8986729090278285</v>
      </c>
      <c r="J249" s="35">
        <v>4.8757499949814314</v>
      </c>
      <c r="K249" s="104">
        <f t="shared" si="9"/>
        <v>2035</v>
      </c>
      <c r="L249" s="3"/>
      <c r="M249" s="3"/>
    </row>
    <row r="250" spans="7:13">
      <c r="G250" s="31">
        <v>49461</v>
      </c>
      <c r="H250" s="35">
        <v>5.0897451191321101</v>
      </c>
      <c r="I250" s="35">
        <v>4.9398389412277472</v>
      </c>
      <c r="J250" s="35">
        <v>4.9386828465321688</v>
      </c>
      <c r="K250" s="104">
        <f t="shared" si="9"/>
        <v>2035</v>
      </c>
      <c r="L250" s="3"/>
      <c r="M250" s="3"/>
    </row>
    <row r="251" spans="7:13">
      <c r="G251" s="31">
        <v>49491</v>
      </c>
      <c r="H251" s="35">
        <v>5.2350355987022201</v>
      </c>
      <c r="I251" s="35">
        <v>5.0717255877852221</v>
      </c>
      <c r="J251" s="35">
        <v>5.0022179263274111</v>
      </c>
      <c r="K251" s="104">
        <f t="shared" si="9"/>
        <v>2035</v>
      </c>
      <c r="L251" s="3"/>
      <c r="M251" s="3"/>
    </row>
    <row r="252" spans="7:13">
      <c r="G252" s="31">
        <v>49522</v>
      </c>
      <c r="H252" s="35">
        <v>5.3318621220723923</v>
      </c>
      <c r="I252" s="35">
        <v>5.1459797892628112</v>
      </c>
      <c r="J252" s="35">
        <v>5.1156375790424571</v>
      </c>
      <c r="K252" s="104">
        <f t="shared" si="9"/>
        <v>2035</v>
      </c>
      <c r="L252" s="3"/>
      <c r="M252" s="3"/>
    </row>
    <row r="253" spans="7:13">
      <c r="G253" s="31">
        <v>49553</v>
      </c>
      <c r="H253" s="35">
        <v>5.1382090753320497</v>
      </c>
      <c r="I253" s="35">
        <v>4.8903879214152663</v>
      </c>
      <c r="J253" s="35">
        <v>4.9515303824149353</v>
      </c>
      <c r="K253" s="104">
        <f t="shared" si="9"/>
        <v>2035</v>
      </c>
      <c r="L253" s="3"/>
      <c r="M253" s="3"/>
    </row>
    <row r="254" spans="7:13">
      <c r="G254" s="31">
        <v>49583</v>
      </c>
      <c r="H254" s="35">
        <v>5.1704507867788703</v>
      </c>
      <c r="I254" s="35">
        <v>4.9645903417202764</v>
      </c>
      <c r="J254" s="35">
        <v>5.0436713038241496</v>
      </c>
      <c r="K254" s="104">
        <f t="shared" si="9"/>
        <v>2035</v>
      </c>
      <c r="L254" s="3"/>
      <c r="M254" s="3"/>
    </row>
    <row r="255" spans="7:13">
      <c r="G255" s="31">
        <v>49614</v>
      </c>
      <c r="H255" s="35">
        <v>5.3157412663489811</v>
      </c>
      <c r="I255" s="35">
        <v>5.2778664358202869</v>
      </c>
      <c r="J255" s="35">
        <v>5.1624106393656524</v>
      </c>
      <c r="K255" s="104">
        <f t="shared" si="9"/>
        <v>2035</v>
      </c>
      <c r="L255" s="3"/>
      <c r="M255" s="3"/>
    </row>
    <row r="256" spans="7:13">
      <c r="G256" s="31">
        <v>49644</v>
      </c>
      <c r="H256" s="35">
        <v>5.5417374135658521</v>
      </c>
      <c r="I256" s="35">
        <v>5.7313141640903345</v>
      </c>
      <c r="J256" s="35">
        <v>5.3735920104386228</v>
      </c>
      <c r="K256" s="104">
        <f t="shared" si="9"/>
        <v>2035</v>
      </c>
      <c r="L256" s="3"/>
      <c r="M256" s="3"/>
    </row>
    <row r="257" spans="7:13">
      <c r="G257" s="31">
        <v>49675</v>
      </c>
      <c r="H257" s="35">
        <v>5.6144333478657611</v>
      </c>
      <c r="I257" s="35">
        <v>5.7307963523645489</v>
      </c>
      <c r="J257" s="35">
        <v>5.4254840108401083</v>
      </c>
      <c r="K257" s="104">
        <f t="shared" si="9"/>
        <v>2036</v>
      </c>
      <c r="L257" s="3"/>
      <c r="M257" s="3"/>
    </row>
    <row r="258" spans="7:13">
      <c r="G258" s="31">
        <v>49706</v>
      </c>
      <c r="H258" s="35">
        <v>5.5649555013687522</v>
      </c>
      <c r="I258" s="35">
        <v>5.5623004167940646</v>
      </c>
      <c r="J258" s="35">
        <v>5.376502780287062</v>
      </c>
      <c r="K258" s="104">
        <f t="shared" si="9"/>
        <v>2036</v>
      </c>
      <c r="L258" s="3"/>
      <c r="M258" s="3"/>
    </row>
    <row r="259" spans="7:13">
      <c r="G259" s="31">
        <v>49735</v>
      </c>
      <c r="H259" s="35">
        <v>5.3009384680117613</v>
      </c>
      <c r="I259" s="35">
        <v>5.1999357710896232</v>
      </c>
      <c r="J259" s="35">
        <v>5.1552842718056811</v>
      </c>
      <c r="K259" s="104">
        <f t="shared" si="9"/>
        <v>2036</v>
      </c>
      <c r="L259" s="3"/>
      <c r="M259" s="3"/>
    </row>
    <row r="260" spans="7:13">
      <c r="G260" s="31">
        <v>49766</v>
      </c>
      <c r="H260" s="35">
        <v>5.0370228236844774</v>
      </c>
      <c r="I260" s="35">
        <v>4.8797727810366709</v>
      </c>
      <c r="J260" s="35">
        <v>4.9291475659941781</v>
      </c>
      <c r="K260" s="104">
        <f t="shared" si="9"/>
        <v>2036</v>
      </c>
      <c r="L260" s="3"/>
      <c r="M260" s="3"/>
    </row>
    <row r="261" spans="7:13">
      <c r="G261" s="31">
        <v>49796</v>
      </c>
      <c r="H261" s="35">
        <v>5.069974258339248</v>
      </c>
      <c r="I261" s="35">
        <v>4.8882131121669685</v>
      </c>
      <c r="J261" s="35">
        <v>4.904054722473151</v>
      </c>
      <c r="K261" s="104">
        <f t="shared" si="9"/>
        <v>2036</v>
      </c>
      <c r="L261" s="3"/>
      <c r="M261" s="3"/>
    </row>
    <row r="262" spans="7:13">
      <c r="G262" s="31">
        <v>49827</v>
      </c>
      <c r="H262" s="35">
        <v>5.1195534938659639</v>
      </c>
      <c r="I262" s="35">
        <v>4.9471918677338955</v>
      </c>
      <c r="J262" s="35">
        <v>4.9681920305128981</v>
      </c>
      <c r="K262" s="104">
        <f t="shared" si="9"/>
        <v>2036</v>
      </c>
      <c r="L262" s="3"/>
      <c r="M262" s="3"/>
    </row>
    <row r="263" spans="7:13">
      <c r="G263" s="31">
        <v>49857</v>
      </c>
      <c r="H263" s="35">
        <v>5.3174648798540005</v>
      </c>
      <c r="I263" s="35">
        <v>5.1157395844769589</v>
      </c>
      <c r="J263" s="35">
        <v>5.0838198534577943</v>
      </c>
      <c r="K263" s="104">
        <f t="shared" si="9"/>
        <v>2036</v>
      </c>
      <c r="L263" s="3"/>
      <c r="M263" s="3"/>
    </row>
    <row r="264" spans="7:13">
      <c r="G264" s="31">
        <v>49888</v>
      </c>
      <c r="H264" s="35">
        <v>5.3999955500354861</v>
      </c>
      <c r="I264" s="35">
        <v>5.1915472211319038</v>
      </c>
      <c r="J264" s="35">
        <v>5.1830871424269791</v>
      </c>
      <c r="K264" s="104">
        <f t="shared" si="9"/>
        <v>2036</v>
      </c>
      <c r="L264" s="3"/>
      <c r="M264" s="3"/>
    </row>
    <row r="265" spans="7:13">
      <c r="G265" s="31">
        <v>49919</v>
      </c>
      <c r="H265" s="35">
        <v>5.3834691381932469</v>
      </c>
      <c r="I265" s="35">
        <v>5.0988589222163645</v>
      </c>
      <c r="J265" s="35">
        <v>5.1943287363244002</v>
      </c>
      <c r="K265" s="104">
        <f t="shared" si="9"/>
        <v>2036</v>
      </c>
      <c r="L265" s="3"/>
      <c r="M265" s="3"/>
    </row>
    <row r="266" spans="7:13">
      <c r="G266" s="31">
        <v>49949</v>
      </c>
      <c r="H266" s="35">
        <v>5.4164205728480184</v>
      </c>
      <c r="I266" s="35">
        <v>5.1662780089135891</v>
      </c>
      <c r="J266" s="35">
        <v>5.2871722573522026</v>
      </c>
      <c r="K266" s="104">
        <f t="shared" si="9"/>
        <v>2036</v>
      </c>
      <c r="L266" s="3"/>
      <c r="M266" s="3"/>
    </row>
    <row r="267" spans="7:13">
      <c r="G267" s="31">
        <v>49980</v>
      </c>
      <c r="H267" s="35">
        <v>5.5814819132109905</v>
      </c>
      <c r="I267" s="35">
        <v>5.4948813300968391</v>
      </c>
      <c r="J267" s="35">
        <v>5.4254840108401083</v>
      </c>
      <c r="K267" s="104">
        <f t="shared" si="9"/>
        <v>2036</v>
      </c>
      <c r="L267" s="3"/>
      <c r="M267" s="3"/>
    </row>
    <row r="268" spans="7:13">
      <c r="G268" s="31">
        <v>50010</v>
      </c>
      <c r="H268" s="35">
        <v>5.8948754040352833</v>
      </c>
      <c r="I268" s="35">
        <v>5.9919805868505742</v>
      </c>
      <c r="J268" s="35">
        <v>5.7231855063735821</v>
      </c>
      <c r="K268" s="104">
        <f t="shared" si="9"/>
        <v>2036</v>
      </c>
      <c r="L268" s="3"/>
      <c r="M268" s="3"/>
    </row>
    <row r="269" spans="7:13">
      <c r="G269" s="31">
        <v>50041</v>
      </c>
      <c r="H269" s="35">
        <v>5.9405004674034272</v>
      </c>
      <c r="I269" s="35">
        <v>6.0805263919598334</v>
      </c>
      <c r="J269" s="35">
        <v>5.7482783498946102</v>
      </c>
      <c r="K269" s="104">
        <f t="shared" si="9"/>
        <v>2037</v>
      </c>
      <c r="L269" s="3"/>
      <c r="M269" s="3"/>
    </row>
    <row r="270" spans="7:13">
      <c r="G270" s="31">
        <v>50072</v>
      </c>
      <c r="H270" s="35">
        <v>5.9236698884720669</v>
      </c>
      <c r="I270" s="35">
        <v>5.8997065373156623</v>
      </c>
      <c r="J270" s="35">
        <v>5.7316167017966473</v>
      </c>
      <c r="K270" s="104">
        <f t="shared" si="9"/>
        <v>2037</v>
      </c>
      <c r="L270" s="3"/>
      <c r="M270" s="3"/>
    </row>
    <row r="271" spans="7:13">
      <c r="G271" s="31">
        <v>50100</v>
      </c>
      <c r="H271" s="35">
        <v>5.7044668062455646</v>
      </c>
      <c r="I271" s="35">
        <v>5.5810969824400658</v>
      </c>
      <c r="J271" s="35">
        <v>5.5547623406604432</v>
      </c>
      <c r="K271" s="104">
        <f t="shared" si="9"/>
        <v>2037</v>
      </c>
      <c r="L271" s="3"/>
      <c r="M271" s="3"/>
    </row>
    <row r="272" spans="7:13">
      <c r="G272" s="31">
        <v>50131</v>
      </c>
      <c r="H272" s="35">
        <v>5.5021956919801278</v>
      </c>
      <c r="I272" s="35">
        <v>5.3400038429145038</v>
      </c>
      <c r="J272" s="35">
        <v>5.3896514302920799</v>
      </c>
      <c r="K272" s="104">
        <f t="shared" si="9"/>
        <v>2037</v>
      </c>
      <c r="L272" s="3"/>
      <c r="M272" s="3"/>
    </row>
    <row r="273" spans="7:13">
      <c r="G273" s="31">
        <v>50161</v>
      </c>
      <c r="H273" s="35">
        <v>5.5021956919801278</v>
      </c>
      <c r="I273" s="35">
        <v>5.3485995175625369</v>
      </c>
      <c r="J273" s="35">
        <v>5.331937890193716</v>
      </c>
      <c r="K273" s="104">
        <f t="shared" si="9"/>
        <v>2037</v>
      </c>
      <c r="L273" s="3"/>
      <c r="M273" s="3"/>
    </row>
    <row r="274" spans="7:13">
      <c r="G274" s="31">
        <v>50192</v>
      </c>
      <c r="H274" s="35">
        <v>5.5358568498428475</v>
      </c>
      <c r="I274" s="35">
        <v>5.4002771277958939</v>
      </c>
      <c r="J274" s="35">
        <v>5.3803168925022584</v>
      </c>
      <c r="K274" s="104">
        <f t="shared" si="9"/>
        <v>2037</v>
      </c>
      <c r="L274" s="3"/>
      <c r="M274" s="3"/>
    </row>
    <row r="275" spans="7:13">
      <c r="G275" s="31">
        <v>50222</v>
      </c>
      <c r="H275" s="35">
        <v>5.7382293531379913</v>
      </c>
      <c r="I275" s="35">
        <v>5.5466625026753533</v>
      </c>
      <c r="J275" s="35">
        <v>5.500361055906855</v>
      </c>
      <c r="K275" s="104">
        <f t="shared" si="9"/>
        <v>2037</v>
      </c>
      <c r="L275" s="3"/>
      <c r="M275" s="3"/>
    </row>
    <row r="276" spans="7:13">
      <c r="G276" s="31">
        <v>50253</v>
      </c>
      <c r="H276" s="35">
        <v>5.7888224789617757</v>
      </c>
      <c r="I276" s="35">
        <v>5.5982883317361321</v>
      </c>
      <c r="J276" s="35">
        <v>5.5680113620395462</v>
      </c>
      <c r="K276" s="104">
        <f t="shared" si="9"/>
        <v>2037</v>
      </c>
      <c r="L276" s="3"/>
      <c r="M276" s="3"/>
    </row>
    <row r="277" spans="7:13">
      <c r="G277" s="31">
        <v>50284</v>
      </c>
      <c r="H277" s="35">
        <v>5.7888224789617757</v>
      </c>
      <c r="I277" s="35">
        <v>5.4777417619733511</v>
      </c>
      <c r="J277" s="35">
        <v>5.5956134899126768</v>
      </c>
      <c r="K277" s="104">
        <f t="shared" si="9"/>
        <v>2037</v>
      </c>
      <c r="L277" s="3"/>
      <c r="M277" s="3"/>
    </row>
    <row r="278" spans="7:13">
      <c r="G278" s="31">
        <v>50314</v>
      </c>
      <c r="H278" s="35">
        <v>5.7718905110007102</v>
      </c>
      <c r="I278" s="35">
        <v>5.4949848924419964</v>
      </c>
      <c r="J278" s="35">
        <v>5.6390742948910964</v>
      </c>
      <c r="K278" s="104">
        <f t="shared" si="9"/>
        <v>2037</v>
      </c>
      <c r="L278" s="3"/>
      <c r="M278" s="3"/>
    </row>
    <row r="279" spans="7:13">
      <c r="G279" s="31">
        <v>50345</v>
      </c>
      <c r="H279" s="35">
        <v>5.9574324353644936</v>
      </c>
      <c r="I279" s="35">
        <v>5.9083022119636963</v>
      </c>
      <c r="J279" s="35">
        <v>5.7976610659439922</v>
      </c>
      <c r="K279" s="104">
        <f t="shared" si="9"/>
        <v>2037</v>
      </c>
      <c r="L279" s="3"/>
      <c r="M279" s="3"/>
    </row>
    <row r="280" spans="7:13">
      <c r="G280" s="31">
        <v>50375</v>
      </c>
      <c r="H280" s="35">
        <v>6.311482927101288</v>
      </c>
      <c r="I280" s="35">
        <v>6.4594092317168208</v>
      </c>
      <c r="J280" s="35">
        <v>6.1356114824851948</v>
      </c>
      <c r="K280" s="104">
        <f t="shared" si="9"/>
        <v>2037</v>
      </c>
      <c r="L280" s="3"/>
      <c r="M280" s="3"/>
    </row>
    <row r="281" spans="7:13">
      <c r="G281" s="31">
        <v>50406</v>
      </c>
      <c r="H281" s="35">
        <v>6.3471718655581473</v>
      </c>
      <c r="I281" s="35">
        <v>6.4164826396492325</v>
      </c>
      <c r="J281" s="35">
        <v>6.1508679313459798</v>
      </c>
      <c r="K281" s="104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6.2954634604075848</v>
      </c>
      <c r="I282" s="35">
        <v>6.2140700360398213</v>
      </c>
      <c r="J282" s="35">
        <v>6.0996785305630841</v>
      </c>
      <c r="K282" s="104">
        <f t="shared" si="10"/>
        <v>2038</v>
      </c>
      <c r="L282" s="3"/>
      <c r="M282" s="3"/>
    </row>
    <row r="283" spans="7:13">
      <c r="G283" s="31">
        <v>50465</v>
      </c>
      <c r="H283" s="35">
        <v>6.0197866886342899</v>
      </c>
      <c r="I283" s="35">
        <v>5.8268504274976927</v>
      </c>
      <c r="J283" s="35">
        <v>5.8669173140620297</v>
      </c>
      <c r="K283" s="104">
        <f t="shared" si="10"/>
        <v>2038</v>
      </c>
      <c r="L283" s="3"/>
      <c r="M283" s="3"/>
    </row>
    <row r="284" spans="7:13">
      <c r="G284" s="31">
        <v>50496</v>
      </c>
      <c r="H284" s="35">
        <v>5.7441099168609959</v>
      </c>
      <c r="I284" s="35">
        <v>5.5716728090307761</v>
      </c>
      <c r="J284" s="35">
        <v>5.6291375288567691</v>
      </c>
      <c r="K284" s="104">
        <f t="shared" si="10"/>
        <v>2038</v>
      </c>
      <c r="L284" s="3"/>
      <c r="M284" s="3"/>
    </row>
    <row r="285" spans="7:13">
      <c r="G285" s="31">
        <v>50526</v>
      </c>
      <c r="H285" s="35">
        <v>5.7441099168609959</v>
      </c>
      <c r="I285" s="35">
        <v>5.5892784077074706</v>
      </c>
      <c r="J285" s="35">
        <v>5.5714239887584061</v>
      </c>
      <c r="K285" s="104">
        <f t="shared" si="10"/>
        <v>2038</v>
      </c>
      <c r="L285" s="3"/>
      <c r="M285" s="3"/>
    </row>
    <row r="286" spans="7:13">
      <c r="G286" s="31">
        <v>50557</v>
      </c>
      <c r="H286" s="35">
        <v>5.7784807979316639</v>
      </c>
      <c r="I286" s="35">
        <v>5.6156868057225129</v>
      </c>
      <c r="J286" s="35">
        <v>5.6205055906855366</v>
      </c>
      <c r="K286" s="104">
        <f t="shared" si="10"/>
        <v>2038</v>
      </c>
      <c r="L286" s="3"/>
      <c r="M286" s="3"/>
    </row>
    <row r="287" spans="7:13">
      <c r="G287" s="31">
        <v>50587</v>
      </c>
      <c r="H287" s="35">
        <v>5.9853144185339149</v>
      </c>
      <c r="I287" s="35">
        <v>5.7828364308059559</v>
      </c>
      <c r="J287" s="35">
        <v>5.7449660945498344</v>
      </c>
      <c r="K287" s="104">
        <f t="shared" si="10"/>
        <v>2038</v>
      </c>
      <c r="L287" s="3"/>
      <c r="M287" s="3"/>
    </row>
    <row r="288" spans="7:13">
      <c r="G288" s="31">
        <v>50618</v>
      </c>
      <c r="H288" s="35">
        <v>6.0542589587346649</v>
      </c>
      <c r="I288" s="35">
        <v>5.8444560261743881</v>
      </c>
      <c r="J288" s="35">
        <v>5.8307836193917497</v>
      </c>
      <c r="K288" s="104">
        <f t="shared" si="10"/>
        <v>2038</v>
      </c>
      <c r="L288" s="3"/>
      <c r="M288" s="3"/>
    </row>
    <row r="289" spans="7:13">
      <c r="G289" s="31">
        <v>50649</v>
      </c>
      <c r="H289" s="35">
        <v>6.0197866886342899</v>
      </c>
      <c r="I289" s="35">
        <v>5.7036630179334074</v>
      </c>
      <c r="J289" s="35">
        <v>5.8242594800762824</v>
      </c>
      <c r="K289" s="104">
        <f t="shared" si="10"/>
        <v>2038</v>
      </c>
      <c r="L289" s="3"/>
      <c r="M289" s="3"/>
    </row>
    <row r="290" spans="7:13">
      <c r="G290" s="31">
        <v>50679</v>
      </c>
      <c r="H290" s="35">
        <v>5.9680782834837265</v>
      </c>
      <c r="I290" s="35">
        <v>5.7300714159484505</v>
      </c>
      <c r="J290" s="35">
        <v>5.8332929037438523</v>
      </c>
      <c r="K290" s="104">
        <f t="shared" si="10"/>
        <v>2038</v>
      </c>
      <c r="L290" s="3"/>
      <c r="M290" s="3"/>
    </row>
    <row r="291" spans="7:13">
      <c r="G291" s="31">
        <v>50710</v>
      </c>
      <c r="H291" s="35">
        <v>6.1575743800060838</v>
      </c>
      <c r="I291" s="35">
        <v>6.0996854258138837</v>
      </c>
      <c r="J291" s="35">
        <v>5.9957941583860279</v>
      </c>
      <c r="K291" s="104">
        <f t="shared" si="10"/>
        <v>2038</v>
      </c>
      <c r="L291" s="3"/>
      <c r="M291" s="3"/>
    </row>
    <row r="292" spans="7:13">
      <c r="G292" s="31">
        <v>50740</v>
      </c>
      <c r="H292" s="35">
        <v>6.5366679620805028</v>
      </c>
      <c r="I292" s="35">
        <v>6.6365008419353391</v>
      </c>
      <c r="J292" s="35">
        <v>6.3585363043260061</v>
      </c>
      <c r="K292" s="104">
        <f t="shared" si="10"/>
        <v>2038</v>
      </c>
      <c r="L292" s="3"/>
      <c r="M292" s="3"/>
    </row>
    <row r="293" spans="7:13">
      <c r="G293" s="31">
        <v>50771</v>
      </c>
      <c r="H293" s="35">
        <v>6.5750944043394508</v>
      </c>
      <c r="I293" s="35">
        <v>6.5934189063500144</v>
      </c>
      <c r="J293" s="35">
        <v>6.376502780287062</v>
      </c>
      <c r="K293" s="104">
        <f t="shared" si="10"/>
        <v>2039</v>
      </c>
      <c r="L293" s="3"/>
      <c r="M293" s="3"/>
    </row>
    <row r="294" spans="7:13">
      <c r="G294" s="31">
        <v>50802</v>
      </c>
      <c r="H294" s="35">
        <v>6.522270719862111</v>
      </c>
      <c r="I294" s="35">
        <v>6.386553121898852</v>
      </c>
      <c r="J294" s="35">
        <v>6.3242092943892407</v>
      </c>
      <c r="K294" s="104">
        <f t="shared" si="10"/>
        <v>2039</v>
      </c>
      <c r="L294" s="3"/>
      <c r="M294" s="3"/>
    </row>
    <row r="295" spans="7:13">
      <c r="G295" s="31">
        <v>50830</v>
      </c>
      <c r="H295" s="35">
        <v>6.2228689151373828</v>
      </c>
      <c r="I295" s="35">
        <v>6.0088094679385922</v>
      </c>
      <c r="J295" s="35">
        <v>6.0679611763525045</v>
      </c>
      <c r="K295" s="104">
        <f t="shared" si="10"/>
        <v>2039</v>
      </c>
      <c r="L295" s="3"/>
      <c r="M295" s="3"/>
    </row>
    <row r="296" spans="7:13">
      <c r="G296" s="31">
        <v>50861</v>
      </c>
      <c r="H296" s="35">
        <v>5.958750492750684</v>
      </c>
      <c r="I296" s="35">
        <v>5.774965692574022</v>
      </c>
      <c r="J296" s="35">
        <v>5.8416237277928333</v>
      </c>
      <c r="K296" s="104">
        <f t="shared" si="10"/>
        <v>2039</v>
      </c>
      <c r="L296" s="3"/>
      <c r="M296" s="3"/>
    </row>
    <row r="297" spans="7:13">
      <c r="G297" s="31">
        <v>50891</v>
      </c>
      <c r="H297" s="35">
        <v>5.958750492750684</v>
      </c>
      <c r="I297" s="35">
        <v>5.747987701660616</v>
      </c>
      <c r="J297" s="35">
        <v>5.7839101876944694</v>
      </c>
      <c r="K297" s="104">
        <f t="shared" si="10"/>
        <v>2039</v>
      </c>
      <c r="L297" s="3"/>
      <c r="M297" s="3"/>
    </row>
    <row r="298" spans="7:13">
      <c r="G298" s="31">
        <v>50922</v>
      </c>
      <c r="H298" s="35">
        <v>5.9763921839197005</v>
      </c>
      <c r="I298" s="35">
        <v>5.7929337594587658</v>
      </c>
      <c r="J298" s="35">
        <v>5.8164305128977212</v>
      </c>
      <c r="K298" s="104">
        <f t="shared" si="10"/>
        <v>2039</v>
      </c>
      <c r="L298" s="3"/>
      <c r="M298" s="3"/>
    </row>
    <row r="299" spans="7:13">
      <c r="G299" s="31">
        <v>50952</v>
      </c>
      <c r="H299" s="35">
        <v>6.2581522974754131</v>
      </c>
      <c r="I299" s="35">
        <v>6.0177676107946745</v>
      </c>
      <c r="J299" s="35">
        <v>6.0150654622101776</v>
      </c>
      <c r="K299" s="104">
        <f t="shared" si="10"/>
        <v>2039</v>
      </c>
      <c r="L299" s="3"/>
      <c r="M299" s="3"/>
    </row>
    <row r="300" spans="7:13">
      <c r="G300" s="31">
        <v>50983</v>
      </c>
      <c r="H300" s="35">
        <v>6.3285162840920615</v>
      </c>
      <c r="I300" s="35">
        <v>6.1077632887361322</v>
      </c>
      <c r="J300" s="35">
        <v>6.1022881862892699</v>
      </c>
      <c r="K300" s="104">
        <f t="shared" si="10"/>
        <v>2039</v>
      </c>
      <c r="L300" s="3"/>
      <c r="M300" s="3"/>
    </row>
    <row r="301" spans="7:13">
      <c r="G301" s="31">
        <v>51014</v>
      </c>
      <c r="H301" s="35">
        <v>6.2581522974754131</v>
      </c>
      <c r="I301" s="35">
        <v>6.0178193919672527</v>
      </c>
      <c r="J301" s="35">
        <v>6.0602325805480275</v>
      </c>
      <c r="K301" s="104">
        <f t="shared" si="10"/>
        <v>2039</v>
      </c>
      <c r="L301" s="3"/>
      <c r="M301" s="3"/>
    </row>
    <row r="302" spans="7:13">
      <c r="G302" s="31">
        <v>51044</v>
      </c>
      <c r="H302" s="35">
        <v>6.2405106063063975</v>
      </c>
      <c r="I302" s="35">
        <v>6.0538073069093201</v>
      </c>
      <c r="J302" s="35">
        <v>6.1029907859078589</v>
      </c>
      <c r="K302" s="104">
        <f t="shared" si="10"/>
        <v>2039</v>
      </c>
      <c r="L302" s="3"/>
      <c r="M302" s="3"/>
    </row>
    <row r="303" spans="7:13">
      <c r="G303" s="31">
        <v>51075</v>
      </c>
      <c r="H303" s="35">
        <v>6.5046290286930954</v>
      </c>
      <c r="I303" s="35">
        <v>6.4315509608695809</v>
      </c>
      <c r="J303" s="35">
        <v>6.3393653718759406</v>
      </c>
      <c r="K303" s="104">
        <f t="shared" si="10"/>
        <v>2039</v>
      </c>
      <c r="L303" s="3"/>
      <c r="M303" s="3"/>
    </row>
    <row r="304" spans="7:13">
      <c r="G304" s="31">
        <v>51105</v>
      </c>
      <c r="H304" s="35">
        <v>6.786389142248809</v>
      </c>
      <c r="I304" s="35">
        <v>6.8722605206853142</v>
      </c>
      <c r="J304" s="35">
        <v>6.6057509986951723</v>
      </c>
      <c r="K304" s="104">
        <f t="shared" si="10"/>
        <v>2039</v>
      </c>
      <c r="L304" s="3"/>
      <c r="M304" s="3"/>
    </row>
    <row r="305" spans="7:13">
      <c r="G305" s="31">
        <v>51136</v>
      </c>
      <c r="H305" s="35">
        <v>6.8279586444286728</v>
      </c>
      <c r="I305" s="35">
        <v>6.8485965248169327</v>
      </c>
      <c r="J305" s="35">
        <v>6.6268289872528356</v>
      </c>
      <c r="K305" s="104">
        <f t="shared" si="9"/>
        <v>2040</v>
      </c>
      <c r="L305" s="3"/>
      <c r="M305" s="3"/>
    </row>
    <row r="306" spans="7:13">
      <c r="G306" s="31">
        <v>51167</v>
      </c>
      <c r="H306" s="35">
        <v>6.7199793277907327</v>
      </c>
      <c r="I306" s="35">
        <v>6.5911923159291392</v>
      </c>
      <c r="J306" s="35">
        <v>6.5199334738532571</v>
      </c>
      <c r="K306" s="104">
        <f t="shared" si="9"/>
        <v>2040</v>
      </c>
      <c r="L306" s="3"/>
      <c r="M306" s="3"/>
    </row>
    <row r="307" spans="7:13">
      <c r="G307" s="31">
        <v>51196</v>
      </c>
      <c r="H307" s="35">
        <v>6.4500817307107372</v>
      </c>
      <c r="I307" s="35">
        <v>6.2694758906988302</v>
      </c>
      <c r="J307" s="35">
        <v>6.2928934256749978</v>
      </c>
      <c r="K307" s="104">
        <f t="shared" si="9"/>
        <v>2040</v>
      </c>
      <c r="L307" s="3"/>
      <c r="M307" s="3"/>
    </row>
    <row r="308" spans="7:13">
      <c r="G308" s="31">
        <v>51227</v>
      </c>
      <c r="H308" s="35">
        <v>6.1440896390550543</v>
      </c>
      <c r="I308" s="35">
        <v>5.9937411467182447</v>
      </c>
      <c r="J308" s="35">
        <v>6.025102599618589</v>
      </c>
      <c r="K308" s="104">
        <f t="shared" si="9"/>
        <v>2040</v>
      </c>
      <c r="L308" s="3"/>
      <c r="M308" s="3"/>
    </row>
    <row r="309" spans="7:13">
      <c r="G309" s="31">
        <v>51257</v>
      </c>
      <c r="H309" s="35">
        <v>6.162035497313191</v>
      </c>
      <c r="I309" s="35">
        <v>6.0029064142646416</v>
      </c>
      <c r="J309" s="35">
        <v>5.9851547927331126</v>
      </c>
      <c r="K309" s="104">
        <f t="shared" si="9"/>
        <v>2040</v>
      </c>
      <c r="L309" s="3"/>
      <c r="M309" s="3"/>
    </row>
    <row r="310" spans="7:13">
      <c r="G310" s="31">
        <v>51288</v>
      </c>
      <c r="H310" s="35">
        <v>6.1980286028591713</v>
      </c>
      <c r="I310" s="35">
        <v>6.0396710467953856</v>
      </c>
      <c r="J310" s="35">
        <v>6.0358423366455884</v>
      </c>
      <c r="K310" s="104">
        <f t="shared" si="9"/>
        <v>2040</v>
      </c>
      <c r="L310" s="3"/>
      <c r="M310" s="3"/>
    </row>
    <row r="311" spans="7:13">
      <c r="G311" s="31">
        <v>51318</v>
      </c>
      <c r="H311" s="35">
        <v>6.4500817307107372</v>
      </c>
      <c r="I311" s="35">
        <v>6.269475890698831</v>
      </c>
      <c r="J311" s="35">
        <v>6.2050684733513997</v>
      </c>
      <c r="K311" s="104">
        <f t="shared" si="9"/>
        <v>2040</v>
      </c>
      <c r="L311" s="3"/>
      <c r="M311" s="3"/>
    </row>
    <row r="312" spans="7:13">
      <c r="G312" s="31">
        <v>51349</v>
      </c>
      <c r="H312" s="35">
        <v>6.576006905606814</v>
      </c>
      <c r="I312" s="35">
        <v>6.3797697882910667</v>
      </c>
      <c r="J312" s="35">
        <v>6.347294710428586</v>
      </c>
      <c r="K312" s="104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6.5040206945148533</v>
      </c>
      <c r="I313" s="35">
        <v>6.2235459906216892</v>
      </c>
      <c r="J313" s="35">
        <v>6.3036331627019973</v>
      </c>
      <c r="K313" s="104">
        <f t="shared" si="11"/>
        <v>2040</v>
      </c>
      <c r="L313" s="3"/>
      <c r="M313" s="3"/>
    </row>
    <row r="314" spans="7:13">
      <c r="G314" s="31">
        <v>51410</v>
      </c>
      <c r="H314" s="35">
        <v>6.4500817307107372</v>
      </c>
      <c r="I314" s="35">
        <v>6.2143289419027132</v>
      </c>
      <c r="J314" s="35">
        <v>6.310458416139717</v>
      </c>
      <c r="K314" s="104">
        <f t="shared" si="11"/>
        <v>2040</v>
      </c>
      <c r="L314" s="3"/>
      <c r="M314" s="3"/>
    </row>
    <row r="315" spans="7:13">
      <c r="G315" s="31">
        <v>51441</v>
      </c>
      <c r="H315" s="35">
        <v>6.6300472584406371</v>
      </c>
      <c r="I315" s="35">
        <v>6.5820270483827414</v>
      </c>
      <c r="J315" s="35">
        <v>6.4635247616179869</v>
      </c>
      <c r="K315" s="104">
        <f t="shared" si="11"/>
        <v>2040</v>
      </c>
      <c r="L315" s="3"/>
      <c r="M315" s="3"/>
    </row>
    <row r="316" spans="7:13">
      <c r="G316" s="31">
        <v>51471</v>
      </c>
      <c r="H316" s="35">
        <v>7.0259714194464156</v>
      </c>
      <c r="I316" s="35">
        <v>7.142713585062892</v>
      </c>
      <c r="J316" s="35">
        <v>6.8429285556559272</v>
      </c>
      <c r="K316" s="104">
        <f t="shared" si="11"/>
        <v>2040</v>
      </c>
      <c r="L316" s="3"/>
      <c r="M316" s="3"/>
    </row>
    <row r="317" spans="7:13">
      <c r="G317" s="31">
        <v>51502</v>
      </c>
      <c r="H317" s="35">
        <v>7.1071840322417117</v>
      </c>
      <c r="I317" s="35">
        <v>7.1305450095069425</v>
      </c>
      <c r="J317" s="35">
        <v>6.903251751480477</v>
      </c>
      <c r="K317" s="104">
        <f t="shared" si="11"/>
        <v>2041</v>
      </c>
      <c r="L317" s="3"/>
      <c r="M317" s="3"/>
    </row>
    <row r="318" spans="7:13">
      <c r="G318" s="31">
        <v>51533</v>
      </c>
      <c r="H318" s="35" t="e">
        <v>#N/A</v>
      </c>
      <c r="I318" s="35" t="e">
        <v>#N/A</v>
      </c>
      <c r="J318" s="35" t="e">
        <v>#N/A</v>
      </c>
      <c r="K318" s="104">
        <f t="shared" si="11"/>
        <v>2041</v>
      </c>
      <c r="L318" s="3"/>
      <c r="M318" s="3"/>
    </row>
    <row r="319" spans="7:13">
      <c r="G319" s="31">
        <v>51561</v>
      </c>
      <c r="H319" s="35" t="e">
        <v>#N/A</v>
      </c>
      <c r="I319" s="35" t="e">
        <v>#N/A</v>
      </c>
      <c r="J319" s="35" t="e">
        <v>#N/A</v>
      </c>
      <c r="K319" s="104">
        <f t="shared" si="11"/>
        <v>2041</v>
      </c>
      <c r="L319" s="3"/>
      <c r="M319" s="3"/>
    </row>
    <row r="320" spans="7:13">
      <c r="G320" s="31">
        <v>51592</v>
      </c>
      <c r="H320" s="35" t="e">
        <v>#N/A</v>
      </c>
      <c r="I320" s="35" t="e">
        <v>#N/A</v>
      </c>
      <c r="J320" s="35" t="e">
        <v>#N/A</v>
      </c>
      <c r="K320" s="104">
        <f t="shared" si="11"/>
        <v>2041</v>
      </c>
      <c r="L320" s="3"/>
      <c r="M320" s="3"/>
    </row>
    <row r="321" spans="7:13">
      <c r="G321" s="31">
        <v>51622</v>
      </c>
      <c r="H321" s="35" t="e">
        <v>#N/A</v>
      </c>
      <c r="I321" s="35" t="e">
        <v>#N/A</v>
      </c>
      <c r="J321" s="35" t="e">
        <v>#N/A</v>
      </c>
      <c r="K321" s="104">
        <f t="shared" si="11"/>
        <v>2041</v>
      </c>
      <c r="L321" s="3"/>
      <c r="M321" s="3"/>
    </row>
    <row r="322" spans="7:13">
      <c r="G322" s="31">
        <v>51653</v>
      </c>
      <c r="H322" s="35" t="e">
        <v>#N/A</v>
      </c>
      <c r="I322" s="35" t="e">
        <v>#N/A</v>
      </c>
      <c r="J322" s="35" t="e">
        <v>#N/A</v>
      </c>
      <c r="K322" s="104">
        <f t="shared" si="11"/>
        <v>2041</v>
      </c>
      <c r="L322" s="3"/>
      <c r="M322" s="3"/>
    </row>
    <row r="323" spans="7:13">
      <c r="G323" s="31">
        <v>51683</v>
      </c>
      <c r="H323" s="35" t="e">
        <v>#N/A</v>
      </c>
      <c r="I323" s="35" t="e">
        <v>#N/A</v>
      </c>
      <c r="J323" s="35" t="e">
        <v>#N/A</v>
      </c>
      <c r="K323" s="104">
        <f t="shared" si="11"/>
        <v>2041</v>
      </c>
      <c r="L323" s="3"/>
      <c r="M323" s="3"/>
    </row>
    <row r="324" spans="7:13">
      <c r="G324" s="31">
        <v>51714</v>
      </c>
      <c r="H324" s="35" t="e">
        <v>#N/A</v>
      </c>
      <c r="I324" s="35" t="e">
        <v>#N/A</v>
      </c>
      <c r="J324" s="35" t="e">
        <v>#N/A</v>
      </c>
      <c r="K324" s="104">
        <f t="shared" si="11"/>
        <v>2041</v>
      </c>
      <c r="L324" s="3"/>
      <c r="M324" s="3"/>
    </row>
    <row r="325" spans="7:13">
      <c r="G325" s="31">
        <v>51745</v>
      </c>
      <c r="H325" s="35" t="e">
        <v>#N/A</v>
      </c>
      <c r="I325" s="35" t="e">
        <v>#N/A</v>
      </c>
      <c r="J325" s="35" t="e">
        <v>#N/A</v>
      </c>
      <c r="K325" s="104">
        <f t="shared" si="11"/>
        <v>2041</v>
      </c>
      <c r="L325" s="3"/>
      <c r="M325" s="3"/>
    </row>
    <row r="326" spans="7:13">
      <c r="G326" s="31">
        <v>51775</v>
      </c>
      <c r="H326" s="35" t="e">
        <v>#N/A</v>
      </c>
      <c r="I326" s="35" t="e">
        <v>#N/A</v>
      </c>
      <c r="J326" s="35" t="e">
        <v>#N/A</v>
      </c>
      <c r="K326" s="104">
        <f t="shared" si="11"/>
        <v>2041</v>
      </c>
      <c r="L326" s="3"/>
      <c r="M326" s="3"/>
    </row>
    <row r="327" spans="7:13">
      <c r="G327" s="31">
        <v>51806</v>
      </c>
      <c r="H327" s="35" t="e">
        <v>#N/A</v>
      </c>
      <c r="I327" s="35" t="e">
        <v>#N/A</v>
      </c>
      <c r="J327" s="35" t="e">
        <v>#N/A</v>
      </c>
      <c r="K327" s="104">
        <f t="shared" si="11"/>
        <v>2041</v>
      </c>
      <c r="L327" s="3"/>
      <c r="M327" s="3"/>
    </row>
    <row r="328" spans="7:13">
      <c r="G328" s="31">
        <v>51836</v>
      </c>
      <c r="H328" s="35" t="e">
        <v>#N/A</v>
      </c>
      <c r="I328" s="35" t="e">
        <v>#N/A</v>
      </c>
      <c r="J328" s="35" t="e">
        <v>#N/A</v>
      </c>
      <c r="K328" s="104">
        <f t="shared" si="11"/>
        <v>2041</v>
      </c>
      <c r="L328" s="3"/>
      <c r="M328" s="3"/>
    </row>
    <row r="329" spans="7:13">
      <c r="G329" s="31">
        <v>51867</v>
      </c>
      <c r="H329" s="35" t="e">
        <v>#N/A</v>
      </c>
      <c r="I329" s="35" t="e">
        <v>#N/A</v>
      </c>
      <c r="J329" s="35" t="e">
        <v>#N/A</v>
      </c>
      <c r="K329" s="104">
        <f t="shared" ref="K329:K340" si="12">YEAR(G329)</f>
        <v>2042</v>
      </c>
    </row>
    <row r="330" spans="7:13">
      <c r="G330" s="31">
        <v>51898</v>
      </c>
      <c r="H330" s="35" t="e">
        <v>#N/A</v>
      </c>
      <c r="I330" s="35" t="e">
        <v>#N/A</v>
      </c>
      <c r="J330" s="35" t="e">
        <v>#N/A</v>
      </c>
      <c r="K330" s="104">
        <f t="shared" si="12"/>
        <v>2042</v>
      </c>
    </row>
    <row r="331" spans="7:13">
      <c r="G331" s="31">
        <v>51926</v>
      </c>
      <c r="H331" s="35" t="e">
        <v>#N/A</v>
      </c>
      <c r="I331" s="35" t="e">
        <v>#N/A</v>
      </c>
      <c r="J331" s="35" t="e">
        <v>#N/A</v>
      </c>
      <c r="K331" s="104">
        <f t="shared" si="12"/>
        <v>2042</v>
      </c>
    </row>
    <row r="332" spans="7:13">
      <c r="G332" s="31">
        <v>51957</v>
      </c>
      <c r="H332" s="35" t="e">
        <v>#N/A</v>
      </c>
      <c r="I332" s="35" t="e">
        <v>#N/A</v>
      </c>
      <c r="J332" s="35" t="e">
        <v>#N/A</v>
      </c>
      <c r="K332" s="104">
        <f t="shared" si="12"/>
        <v>2042</v>
      </c>
    </row>
    <row r="333" spans="7:13">
      <c r="G333" s="31">
        <v>51987</v>
      </c>
      <c r="H333" s="35" t="e">
        <v>#N/A</v>
      </c>
      <c r="I333" s="35" t="e">
        <v>#N/A</v>
      </c>
      <c r="J333" s="35" t="e">
        <v>#N/A</v>
      </c>
      <c r="K333" s="104">
        <f t="shared" si="12"/>
        <v>2042</v>
      </c>
    </row>
    <row r="334" spans="7:13">
      <c r="G334" s="31">
        <v>52018</v>
      </c>
      <c r="H334" s="35" t="e">
        <v>#N/A</v>
      </c>
      <c r="I334" s="35" t="e">
        <v>#N/A</v>
      </c>
      <c r="J334" s="35" t="e">
        <v>#N/A</v>
      </c>
      <c r="K334" s="104">
        <f t="shared" si="12"/>
        <v>2042</v>
      </c>
    </row>
    <row r="335" spans="7:13">
      <c r="G335" s="31">
        <v>52048</v>
      </c>
      <c r="H335" s="35" t="e">
        <v>#N/A</v>
      </c>
      <c r="I335" s="35" t="e">
        <v>#N/A</v>
      </c>
      <c r="J335" s="35" t="e">
        <v>#N/A</v>
      </c>
      <c r="K335" s="104">
        <f t="shared" si="12"/>
        <v>2042</v>
      </c>
    </row>
    <row r="336" spans="7:13">
      <c r="G336" s="31">
        <v>52079</v>
      </c>
      <c r="H336" s="35" t="e">
        <v>#N/A</v>
      </c>
      <c r="I336" s="35" t="e">
        <v>#N/A</v>
      </c>
      <c r="J336" s="35" t="e">
        <v>#N/A</v>
      </c>
      <c r="K336" s="104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4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4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4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4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4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4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4">
        <f t="shared" si="13"/>
        <v>1900</v>
      </c>
    </row>
    <row r="344" spans="7:11">
      <c r="G344" s="31"/>
      <c r="H344" s="35"/>
      <c r="K344" s="104"/>
    </row>
    <row r="345" spans="7:11">
      <c r="G345" s="31"/>
      <c r="H345" s="35"/>
      <c r="K345" s="104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80" zoomScaleNormal="80" zoomScaleSheetLayoutView="80" workbookViewId="0">
      <selection activeCell="A11" sqref="A11:XFD12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36</v>
      </c>
      <c r="C1" s="1"/>
      <c r="D1" s="11"/>
      <c r="E1" s="11"/>
      <c r="F1" s="11"/>
      <c r="G1" s="11"/>
      <c r="H1" s="32"/>
      <c r="I1" s="94"/>
      <c r="J1" s="94"/>
      <c r="K1" s="94"/>
    </row>
    <row r="2" spans="1:18" ht="5.25" customHeight="1"/>
    <row r="3" spans="1:18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56</v>
      </c>
      <c r="O3" s="118"/>
    </row>
    <row r="4" spans="1:18" ht="38.25">
      <c r="B4" s="83" t="str">
        <f ca="1">'Table 1'!B5</f>
        <v>Utah 2019.Q2 - 100.0 MW and 100.0% CF</v>
      </c>
      <c r="C4" s="83"/>
      <c r="D4" s="83"/>
      <c r="E4" s="83"/>
      <c r="F4" s="83"/>
      <c r="G4" s="83"/>
      <c r="K4" s="56">
        <f>MIN(K13:K24)</f>
        <v>43466</v>
      </c>
      <c r="M4" s="57" t="s">
        <v>190</v>
      </c>
      <c r="P4" s="252" t="s">
        <v>174</v>
      </c>
      <c r="Q4" s="252" t="s">
        <v>162</v>
      </c>
      <c r="R4" s="252" t="s">
        <v>188</v>
      </c>
    </row>
    <row r="5" spans="1:18">
      <c r="B5" s="83" t="str">
        <f>TEXT($K$5,"MMMM YYYY")&amp;"  through  "&amp;TEXT($K$6,"MMMM YYYY")</f>
        <v>January 2019  through  December 2038</v>
      </c>
      <c r="C5" s="83"/>
      <c r="D5" s="83"/>
      <c r="E5" s="83"/>
      <c r="F5" s="83"/>
      <c r="G5" s="83"/>
      <c r="J5" s="56" t="s">
        <v>39</v>
      </c>
      <c r="K5" s="210">
        <f>MIN(K13:K24)</f>
        <v>43466</v>
      </c>
      <c r="M5" s="56" t="s">
        <v>40</v>
      </c>
      <c r="O5" s="3" t="s">
        <v>98</v>
      </c>
      <c r="P5" s="5">
        <v>13</v>
      </c>
      <c r="Q5" s="5">
        <f>P5+12</f>
        <v>25</v>
      </c>
      <c r="R5" s="5">
        <f t="shared" ref="R5:R6" si="0">Q5+12</f>
        <v>37</v>
      </c>
    </row>
    <row r="6" spans="1:18">
      <c r="B6" s="83" t="s">
        <v>41</v>
      </c>
      <c r="C6" s="83"/>
      <c r="D6" s="83"/>
      <c r="E6" s="83"/>
      <c r="F6" s="83"/>
      <c r="G6" s="83"/>
      <c r="J6" s="56" t="s">
        <v>42</v>
      </c>
      <c r="K6" s="210">
        <f>EDATE(K5,20*12-1)</f>
        <v>50740</v>
      </c>
      <c r="M6" s="57">
        <v>100</v>
      </c>
      <c r="N6" s="56" t="s">
        <v>33</v>
      </c>
      <c r="O6" s="5" t="s">
        <v>99</v>
      </c>
      <c r="P6">
        <f>P5+179</f>
        <v>192</v>
      </c>
      <c r="Q6" s="5">
        <f t="shared" ref="Q6" si="1">P6+12</f>
        <v>204</v>
      </c>
      <c r="R6" s="5">
        <f t="shared" si="0"/>
        <v>216</v>
      </c>
    </row>
    <row r="7" spans="1:18">
      <c r="B7" s="107" t="str">
        <f>"Nominal NPV at "&amp;TEXT(J9,"0.00%")&amp;" Discount Rate"</f>
        <v>Nominal NPV at 6.91% Discount Rate</v>
      </c>
      <c r="M7" s="111">
        <f ca="1">SUM(OFFSET(F12,MATCH(K5,B13:B24,0),0,12))/(EDATE(K5,12)-K5)/24/Study_MW</f>
        <v>1</v>
      </c>
      <c r="N7" s="88" t="s">
        <v>35</v>
      </c>
    </row>
    <row r="8" spans="1:18">
      <c r="A8" s="107" t="str">
        <f>P4</f>
        <v>15 Year Starting 2019</v>
      </c>
      <c r="C8" s="58">
        <f ca="1">NPV($K$9,INDIRECT("C"&amp;$P$5&amp;":C"&amp;$P$6))</f>
        <v>228224367.52956587</v>
      </c>
      <c r="D8" s="58">
        <f ca="1">NPV($K$9,INDIRECT("d"&amp;$P$5&amp;":d"&amp;$P$6))</f>
        <v>0</v>
      </c>
      <c r="E8" s="58">
        <f ca="1">NPV($K$9,INDIRECT("e"&amp;$P$5&amp;":e"&amp;$P$6))</f>
        <v>228224367.52956587</v>
      </c>
      <c r="F8" s="58">
        <f ca="1">NPV($K$9,INDIRECT("f"&amp;$P$5&amp;":f"&amp;$P$6))</f>
        <v>8280162.7134648198</v>
      </c>
      <c r="G8" s="91">
        <f ca="1">($C8+D8)/$F8</f>
        <v>27.562787764839197</v>
      </c>
      <c r="J8" s="56" t="str">
        <f>'Table 1'!I38</f>
        <v>Discount Rate - 2017 IRP Update</v>
      </c>
    </row>
    <row r="9" spans="1:18">
      <c r="A9" s="107" t="str">
        <f>Q4</f>
        <v>15 Year Starting 2020</v>
      </c>
      <c r="B9" s="190"/>
      <c r="C9" s="58">
        <f ca="1">NPV($K$9,INDIRECT("C"&amp;$Q$5&amp;":C"&amp;$Q$6))</f>
        <v>243015055.01418334</v>
      </c>
      <c r="D9" s="58">
        <f ca="1">NPV($K$9,INDIRECT("d"&amp;$Q$5&amp;":d"&amp;$Q$6))</f>
        <v>0</v>
      </c>
      <c r="E9" s="58">
        <f ca="1">NPV($K$9,INDIRECT("e"&amp;$Q$5&amp;":e"&amp;$Q$6))</f>
        <v>243015055.01418334</v>
      </c>
      <c r="F9" s="58">
        <f ca="1">NPV($K$9,INDIRECT("f"&amp;$Q$5&amp;":f"&amp;$Q$6))</f>
        <v>8280592.2311982317</v>
      </c>
      <c r="G9" s="91">
        <f ca="1">($C9+D9)/$F9</f>
        <v>29.34754522733191</v>
      </c>
      <c r="J9" s="110">
        <f>'Table 1'!I39</f>
        <v>6.9099999999999995E-2</v>
      </c>
      <c r="K9" s="93">
        <f>((1+J9)^(1/12))-1</f>
        <v>5.5836284214501042E-3</v>
      </c>
    </row>
    <row r="10" spans="1:18">
      <c r="A10" s="107" t="str">
        <f>R4</f>
        <v>15 Year Starting 2021</v>
      </c>
      <c r="C10" s="58">
        <f ca="1">NPV($K$9,INDIRECT("C"&amp;$R$5&amp;":C"&amp;$R$6))</f>
        <v>263058933.51142141</v>
      </c>
      <c r="D10" s="58">
        <f ca="1">NPV($K$9,INDIRECT("d"&amp;$R$5&amp;":d"&amp;$R$6))</f>
        <v>0</v>
      </c>
      <c r="E10" s="58">
        <f ca="1">NPV($K$9,INDIRECT("e"&amp;$R$5&amp;":e"&amp;$R$6))</f>
        <v>263058933.51142141</v>
      </c>
      <c r="F10" s="58">
        <f ca="1">NPV($K$9,INDIRECT("f"&amp;$R$5&amp;":f"&amp;$R$6))</f>
        <v>8278514.0037907204</v>
      </c>
      <c r="G10" s="91">
        <f ca="1">($C10+D10)/$F10</f>
        <v>31.776105396568404</v>
      </c>
      <c r="N10" s="59"/>
    </row>
    <row r="11" spans="1:18">
      <c r="B11" s="92"/>
      <c r="C11" s="61" t="s">
        <v>19</v>
      </c>
      <c r="D11" s="62" t="s">
        <v>43</v>
      </c>
      <c r="E11" s="62" t="s">
        <v>44</v>
      </c>
      <c r="F11" s="62" t="s">
        <v>44</v>
      </c>
      <c r="G11" s="63" t="s">
        <v>52</v>
      </c>
    </row>
    <row r="12" spans="1:18">
      <c r="B12" s="67" t="s">
        <v>45</v>
      </c>
      <c r="C12" s="61" t="s">
        <v>46</v>
      </c>
      <c r="D12" s="65" t="str">
        <f>TEXT((SUM(F25:F72)/(8760*3+8784))/Study_MW,"0.0%")&amp;" CF"</f>
        <v>100.0% CF</v>
      </c>
      <c r="E12" s="66" t="s">
        <v>51</v>
      </c>
      <c r="F12" s="67" t="s">
        <v>47</v>
      </c>
      <c r="G12" s="65" t="str">
        <f>D12</f>
        <v>100.0% CF</v>
      </c>
      <c r="I12" s="62" t="s">
        <v>48</v>
      </c>
      <c r="J12" s="68" t="s">
        <v>0</v>
      </c>
      <c r="K12" s="68" t="s">
        <v>49</v>
      </c>
      <c r="L12" s="68" t="s">
        <v>48</v>
      </c>
      <c r="M12" s="68"/>
      <c r="N12" s="63"/>
      <c r="P12" s="56" t="s">
        <v>44</v>
      </c>
      <c r="Q12" s="56" t="s">
        <v>83</v>
      </c>
      <c r="R12" s="56" t="s">
        <v>84</v>
      </c>
    </row>
    <row r="13" spans="1:18">
      <c r="B13" s="74">
        <v>43466</v>
      </c>
      <c r="C13" s="69">
        <v>1648180.1911145002</v>
      </c>
      <c r="D13" s="70">
        <f>IF(ISNUMBER($F13),VLOOKUP($J13,'Table 1'!$B$13:$C$33,2,FALSE)/12*1000*Study_MW,"")</f>
        <v>0</v>
      </c>
      <c r="E13" s="71">
        <f t="shared" ref="E13:E17" si="2">IF(ISNUMBER(C13+D13),C13+D13,"")</f>
        <v>1648180.1911145002</v>
      </c>
      <c r="F13" s="69">
        <v>74400</v>
      </c>
      <c r="G13" s="72">
        <f t="shared" ref="G13:G17" si="3">IF(ISNUMBER($F13),E13/$F13,"")</f>
        <v>22.152959557990595</v>
      </c>
      <c r="I13" s="60">
        <v>1</v>
      </c>
      <c r="J13" s="73">
        <f>YEAR(B13)</f>
        <v>2019</v>
      </c>
      <c r="K13" s="74">
        <f t="shared" ref="K13:K24" si="4">IF(ISNUMBER(F13),B13,"")</f>
        <v>43466</v>
      </c>
      <c r="L13" s="56">
        <v>283</v>
      </c>
      <c r="M13" s="56" t="s">
        <v>50</v>
      </c>
    </row>
    <row r="14" spans="1:18">
      <c r="B14" s="78">
        <f t="shared" ref="B14:B77" si="5">EDATE(B13,1)</f>
        <v>43497</v>
      </c>
      <c r="C14" s="75">
        <v>2841029.3512725532</v>
      </c>
      <c r="D14" s="71">
        <f>IF(ISNUMBER($F14),VLOOKUP($J14,'Table 1'!$B$13:$C$33,2,FALSE)/12*1000*Study_MW,"")</f>
        <v>0</v>
      </c>
      <c r="E14" s="71">
        <f t="shared" si="2"/>
        <v>2841029.3512725532</v>
      </c>
      <c r="F14" s="75">
        <v>67200</v>
      </c>
      <c r="G14" s="76">
        <f t="shared" si="3"/>
        <v>42.277222489174896</v>
      </c>
      <c r="I14" s="77">
        <f>I13+1</f>
        <v>2</v>
      </c>
      <c r="J14" s="73">
        <f t="shared" ref="J14:J77" si="6">YEAR(B14)</f>
        <v>2019</v>
      </c>
      <c r="K14" s="78">
        <f t="shared" si="4"/>
        <v>43497</v>
      </c>
      <c r="L14" s="56">
        <v>379</v>
      </c>
      <c r="M14" s="90" t="s">
        <v>204</v>
      </c>
    </row>
    <row r="15" spans="1:18">
      <c r="B15" s="78">
        <f t="shared" si="5"/>
        <v>43525</v>
      </c>
      <c r="C15" s="75">
        <v>1733008.1365216076</v>
      </c>
      <c r="D15" s="71">
        <f>IF(ISNUMBER($F15),VLOOKUP($J15,'Table 1'!$B$13:$C$33,2,FALSE)/12*1000*Study_MW,"")</f>
        <v>0</v>
      </c>
      <c r="E15" s="71">
        <f t="shared" si="2"/>
        <v>1733008.1365216076</v>
      </c>
      <c r="F15" s="75">
        <v>74400</v>
      </c>
      <c r="G15" s="76">
        <f t="shared" si="3"/>
        <v>23.293120114537736</v>
      </c>
      <c r="I15" s="77">
        <f t="shared" ref="I15:I24" si="7">I14+1</f>
        <v>3</v>
      </c>
      <c r="J15" s="73">
        <f t="shared" si="6"/>
        <v>2019</v>
      </c>
      <c r="K15" s="78">
        <f t="shared" si="4"/>
        <v>43525</v>
      </c>
    </row>
    <row r="16" spans="1:18">
      <c r="B16" s="78">
        <f t="shared" si="5"/>
        <v>43556</v>
      </c>
      <c r="C16" s="75">
        <v>1215888.5377517641</v>
      </c>
      <c r="D16" s="71">
        <f>IF(ISNUMBER($F16),VLOOKUP($J16,'Table 1'!$B$13:$C$33,2,FALSE)/12*1000*Study_MW,"")</f>
        <v>0</v>
      </c>
      <c r="E16" s="71">
        <f t="shared" si="2"/>
        <v>1215888.5377517641</v>
      </c>
      <c r="F16" s="75">
        <v>72000</v>
      </c>
      <c r="G16" s="76">
        <f t="shared" si="3"/>
        <v>16.887340802107833</v>
      </c>
      <c r="I16" s="77">
        <f t="shared" si="7"/>
        <v>4</v>
      </c>
      <c r="J16" s="73">
        <f t="shared" si="6"/>
        <v>2019</v>
      </c>
      <c r="K16" s="78">
        <f t="shared" si="4"/>
        <v>43556</v>
      </c>
      <c r="L16" s="73">
        <f>YEAR(B13)</f>
        <v>2019</v>
      </c>
      <c r="M16" s="56">
        <f>SUMIF($J$13:$J$264,L16,$C$13:$C$264)</f>
        <v>18888873.740895256</v>
      </c>
      <c r="N16" s="56">
        <f>SUMIF($J$13:$J$264,L16,$D$13:$D$264)</f>
        <v>0</v>
      </c>
      <c r="O16" s="56">
        <f t="shared" ref="O16:O25" si="8">SUMIF($J$13:$J$264,L16,$F$13:$F$264)</f>
        <v>876000</v>
      </c>
      <c r="P16" s="117">
        <f t="shared" ref="P16:P25" si="9">(M16+N16)/O16</f>
        <v>21.562641256729744</v>
      </c>
      <c r="Q16" s="180">
        <f>M16/O16</f>
        <v>21.562641256729744</v>
      </c>
      <c r="R16" s="180">
        <f>IFERROR(N16/O16,0)</f>
        <v>0</v>
      </c>
    </row>
    <row r="17" spans="2:18">
      <c r="B17" s="78">
        <f t="shared" si="5"/>
        <v>43586</v>
      </c>
      <c r="C17" s="75">
        <v>974948.7338322401</v>
      </c>
      <c r="D17" s="71">
        <f>IF(ISNUMBER($F17),VLOOKUP($J17,'Table 1'!$B$13:$C$33,2,FALSE)/12*1000*Study_MW,"")</f>
        <v>0</v>
      </c>
      <c r="E17" s="71">
        <f t="shared" si="2"/>
        <v>974948.7338322401</v>
      </c>
      <c r="F17" s="75">
        <v>74400</v>
      </c>
      <c r="G17" s="76">
        <f t="shared" si="3"/>
        <v>13.104149648282798</v>
      </c>
      <c r="I17" s="77">
        <f t="shared" si="7"/>
        <v>5</v>
      </c>
      <c r="J17" s="73">
        <f t="shared" si="6"/>
        <v>2019</v>
      </c>
      <c r="K17" s="78">
        <f t="shared" si="4"/>
        <v>43586</v>
      </c>
      <c r="L17" s="73">
        <f>L16+1</f>
        <v>2020</v>
      </c>
      <c r="M17" s="56">
        <f>SUMIF($J$13:$J$264,L17,$C$13:$C$264)</f>
        <v>16072200.721885115</v>
      </c>
      <c r="N17" s="56">
        <f t="shared" ref="N17:N36" si="10">SUMIF($J$13:$J$264,L17,$D$13:$D$264)</f>
        <v>0</v>
      </c>
      <c r="O17" s="56">
        <f t="shared" si="8"/>
        <v>878400</v>
      </c>
      <c r="P17" s="117">
        <f t="shared" si="9"/>
        <v>18.297131969359192</v>
      </c>
      <c r="Q17" s="180">
        <f t="shared" ref="Q17:Q33" si="11">M17/O17</f>
        <v>18.297131969359192</v>
      </c>
      <c r="R17" s="180">
        <f t="shared" ref="R17:R33" si="12">IFERROR(N17/O17,0)</f>
        <v>0</v>
      </c>
    </row>
    <row r="18" spans="2:18">
      <c r="B18" s="78">
        <f t="shared" si="5"/>
        <v>43617</v>
      </c>
      <c r="C18" s="75">
        <v>1044916.5829109848</v>
      </c>
      <c r="D18" s="71">
        <f>IF(ISNUMBER($F18),VLOOKUP($J18,'Table 1'!$B$13:$C$33,2,FALSE)/12*1000*Study_MW,"")</f>
        <v>0</v>
      </c>
      <c r="E18" s="71">
        <f t="shared" ref="E18:E19" si="13">IF(ISNUMBER(C18+D18),C18+D18,"")</f>
        <v>1044916.5829109848</v>
      </c>
      <c r="F18" s="75">
        <v>72000</v>
      </c>
      <c r="G18" s="76">
        <f t="shared" ref="G18:G19" si="14">IF(ISNUMBER($F18),E18/$F18,"")</f>
        <v>14.512730318208122</v>
      </c>
      <c r="I18" s="77">
        <f t="shared" si="7"/>
        <v>6</v>
      </c>
      <c r="J18" s="73">
        <f t="shared" si="6"/>
        <v>2019</v>
      </c>
      <c r="K18" s="78">
        <f t="shared" si="4"/>
        <v>43617</v>
      </c>
      <c r="L18" s="73">
        <f t="shared" ref="L18:L37" si="15">L17+1</f>
        <v>2021</v>
      </c>
      <c r="M18" s="56">
        <f t="shared" ref="M18:M36" si="16">SUMIF($J$13:$J$264,L18,$C$13:$C$264)</f>
        <v>15088537.005473182</v>
      </c>
      <c r="N18" s="56">
        <f t="shared" si="10"/>
        <v>0</v>
      </c>
      <c r="O18" s="56">
        <f t="shared" si="8"/>
        <v>876000</v>
      </c>
      <c r="P18" s="117">
        <f t="shared" si="9"/>
        <v>17.224357312183997</v>
      </c>
      <c r="Q18" s="180">
        <f t="shared" si="11"/>
        <v>17.224357312183997</v>
      </c>
      <c r="R18" s="180">
        <f t="shared" si="12"/>
        <v>0</v>
      </c>
    </row>
    <row r="19" spans="2:18">
      <c r="B19" s="78">
        <f t="shared" si="5"/>
        <v>43647</v>
      </c>
      <c r="C19" s="75">
        <v>2980299.4820977151</v>
      </c>
      <c r="D19" s="71">
        <f>IF(ISNUMBER($F19),VLOOKUP($J19,'Table 1'!$B$13:$C$33,2,FALSE)/12*1000*Study_MW,"")</f>
        <v>0</v>
      </c>
      <c r="E19" s="71">
        <f t="shared" si="13"/>
        <v>2980299.4820977151</v>
      </c>
      <c r="F19" s="75">
        <v>74400</v>
      </c>
      <c r="G19" s="76">
        <f t="shared" si="14"/>
        <v>40.057788737872514</v>
      </c>
      <c r="I19" s="77">
        <f t="shared" si="7"/>
        <v>7</v>
      </c>
      <c r="J19" s="73">
        <f t="shared" si="6"/>
        <v>2019</v>
      </c>
      <c r="K19" s="78">
        <f t="shared" si="4"/>
        <v>43647</v>
      </c>
      <c r="L19" s="73">
        <f t="shared" si="15"/>
        <v>2022</v>
      </c>
      <c r="M19" s="56">
        <f t="shared" si="16"/>
        <v>16346994.237898394</v>
      </c>
      <c r="N19" s="56">
        <f t="shared" si="10"/>
        <v>0</v>
      </c>
      <c r="O19" s="56">
        <f t="shared" si="8"/>
        <v>876000</v>
      </c>
      <c r="P19" s="117">
        <f t="shared" si="9"/>
        <v>18.660952326368029</v>
      </c>
      <c r="Q19" s="180">
        <f t="shared" si="11"/>
        <v>18.660952326368029</v>
      </c>
      <c r="R19" s="180">
        <f t="shared" si="12"/>
        <v>0</v>
      </c>
    </row>
    <row r="20" spans="2:18">
      <c r="B20" s="78">
        <f t="shared" si="5"/>
        <v>43678</v>
      </c>
      <c r="C20" s="75">
        <v>2189259.5989171267</v>
      </c>
      <c r="D20" s="71">
        <f>IF(ISNUMBER($F20),VLOOKUP($J20,'Table 1'!$B$13:$C$33,2,FALSE)/12*1000*Study_MW,"")</f>
        <v>0</v>
      </c>
      <c r="E20" s="71">
        <f t="shared" ref="E20:E22" si="17">IF(ISNUMBER(C20+D20),C20+D20,"")</f>
        <v>2189259.5989171267</v>
      </c>
      <c r="F20" s="75">
        <v>74400</v>
      </c>
      <c r="G20" s="76">
        <f t="shared" ref="G20:G77" si="18">IF(ISNUMBER($F20),E20/$F20,"")</f>
        <v>29.425532243509767</v>
      </c>
      <c r="I20" s="77">
        <f t="shared" si="7"/>
        <v>8</v>
      </c>
      <c r="J20" s="73">
        <f t="shared" si="6"/>
        <v>2019</v>
      </c>
      <c r="K20" s="78">
        <f t="shared" si="4"/>
        <v>43678</v>
      </c>
      <c r="L20" s="73">
        <f t="shared" si="15"/>
        <v>2023</v>
      </c>
      <c r="M20" s="56">
        <f t="shared" si="16"/>
        <v>17039500.88242285</v>
      </c>
      <c r="N20" s="56">
        <f t="shared" si="10"/>
        <v>0</v>
      </c>
      <c r="O20" s="56">
        <f t="shared" si="8"/>
        <v>876000</v>
      </c>
      <c r="P20" s="117">
        <f t="shared" si="9"/>
        <v>19.45148502559686</v>
      </c>
      <c r="Q20" s="180">
        <f t="shared" si="11"/>
        <v>19.45148502559686</v>
      </c>
      <c r="R20" s="180">
        <f t="shared" si="12"/>
        <v>0</v>
      </c>
    </row>
    <row r="21" spans="2:18">
      <c r="B21" s="78">
        <f t="shared" si="5"/>
        <v>43709</v>
      </c>
      <c r="C21" s="75">
        <v>1123406.8121955544</v>
      </c>
      <c r="D21" s="71">
        <f>IF(ISNUMBER($F21),VLOOKUP($J21,'Table 1'!$B$13:$C$33,2,FALSE)/12*1000*Study_MW,"")</f>
        <v>0</v>
      </c>
      <c r="E21" s="71">
        <f t="shared" si="17"/>
        <v>1123406.8121955544</v>
      </c>
      <c r="F21" s="75">
        <v>72000</v>
      </c>
      <c r="G21" s="76">
        <f t="shared" si="18"/>
        <v>15.602872391604922</v>
      </c>
      <c r="I21" s="77">
        <f t="shared" si="7"/>
        <v>9</v>
      </c>
      <c r="J21" s="73">
        <f t="shared" si="6"/>
        <v>2019</v>
      </c>
      <c r="K21" s="78">
        <f t="shared" si="4"/>
        <v>43709</v>
      </c>
      <c r="L21" s="73">
        <f t="shared" si="15"/>
        <v>2024</v>
      </c>
      <c r="M21" s="56">
        <f t="shared" si="16"/>
        <v>18910326.293455109</v>
      </c>
      <c r="N21" s="56">
        <f t="shared" si="10"/>
        <v>0</v>
      </c>
      <c r="O21" s="56">
        <f t="shared" si="8"/>
        <v>878400</v>
      </c>
      <c r="P21" s="117">
        <f t="shared" si="9"/>
        <v>21.528149241182955</v>
      </c>
      <c r="Q21" s="180">
        <f t="shared" si="11"/>
        <v>21.528149241182955</v>
      </c>
      <c r="R21" s="180">
        <f t="shared" si="12"/>
        <v>0</v>
      </c>
    </row>
    <row r="22" spans="2:18">
      <c r="B22" s="78">
        <f t="shared" si="5"/>
        <v>43739</v>
      </c>
      <c r="C22" s="75">
        <v>932518.57404887676</v>
      </c>
      <c r="D22" s="71">
        <f>IF(ISNUMBER($F22),VLOOKUP($J22,'Table 1'!$B$13:$C$33,2,FALSE)/12*1000*Study_MW,"")</f>
        <v>0</v>
      </c>
      <c r="E22" s="71">
        <f t="shared" si="17"/>
        <v>932518.57404887676</v>
      </c>
      <c r="F22" s="75">
        <v>74400</v>
      </c>
      <c r="G22" s="76">
        <f t="shared" si="18"/>
        <v>12.533851801732215</v>
      </c>
      <c r="I22" s="77">
        <f t="shared" si="7"/>
        <v>10</v>
      </c>
      <c r="J22" s="73">
        <f t="shared" si="6"/>
        <v>2019</v>
      </c>
      <c r="K22" s="78">
        <f t="shared" si="4"/>
        <v>43739</v>
      </c>
      <c r="L22" s="73">
        <f t="shared" si="15"/>
        <v>2025</v>
      </c>
      <c r="M22" s="56">
        <f t="shared" si="16"/>
        <v>21166059.082727522</v>
      </c>
      <c r="N22" s="56">
        <f t="shared" si="10"/>
        <v>0</v>
      </c>
      <c r="O22" s="56">
        <f t="shared" si="8"/>
        <v>876000</v>
      </c>
      <c r="P22" s="117">
        <f t="shared" si="9"/>
        <v>24.162167902656989</v>
      </c>
      <c r="Q22" s="180">
        <f t="shared" si="11"/>
        <v>24.162167902656989</v>
      </c>
      <c r="R22" s="180">
        <f t="shared" si="12"/>
        <v>0</v>
      </c>
    </row>
    <row r="23" spans="2:18">
      <c r="B23" s="78">
        <f t="shared" si="5"/>
        <v>43770</v>
      </c>
      <c r="C23" s="75">
        <v>936541.73502443731</v>
      </c>
      <c r="D23" s="71">
        <f>IF(ISNUMBER($F23),VLOOKUP($J23,'Table 1'!$B$13:$C$33,2,FALSE)/12*1000*Study_MW,"")</f>
        <v>0</v>
      </c>
      <c r="E23" s="71">
        <f t="shared" ref="E23" si="19">IF(ISNUMBER(C23+D23),C23+D23,"")</f>
        <v>936541.73502443731</v>
      </c>
      <c r="F23" s="75">
        <v>72000</v>
      </c>
      <c r="G23" s="76">
        <f t="shared" ref="G23" si="20">IF(ISNUMBER($F23),E23/$F23,"")</f>
        <v>13.00752409756163</v>
      </c>
      <c r="I23" s="77">
        <f t="shared" si="7"/>
        <v>11</v>
      </c>
      <c r="J23" s="73">
        <f t="shared" si="6"/>
        <v>2019</v>
      </c>
      <c r="K23" s="78">
        <f t="shared" si="4"/>
        <v>43770</v>
      </c>
      <c r="L23" s="73">
        <f t="shared" si="15"/>
        <v>2026</v>
      </c>
      <c r="M23" s="56">
        <f t="shared" si="16"/>
        <v>25095203.178047478</v>
      </c>
      <c r="N23" s="56">
        <f t="shared" si="10"/>
        <v>0</v>
      </c>
      <c r="O23" s="56">
        <f t="shared" si="8"/>
        <v>876000</v>
      </c>
      <c r="P23" s="117">
        <f t="shared" si="9"/>
        <v>28.647492212382964</v>
      </c>
      <c r="Q23" s="180">
        <f t="shared" si="11"/>
        <v>28.647492212382964</v>
      </c>
      <c r="R23" s="180">
        <f t="shared" si="12"/>
        <v>0</v>
      </c>
    </row>
    <row r="24" spans="2:18">
      <c r="B24" s="82">
        <f t="shared" si="5"/>
        <v>43800</v>
      </c>
      <c r="C24" s="79">
        <v>1268876.0052078962</v>
      </c>
      <c r="D24" s="80">
        <f>IF(F24&lt;&gt;0,VLOOKUP($J24,'Table 1'!$B$13:$C$33,2,FALSE)/12*1000*Study_MW,0)</f>
        <v>0</v>
      </c>
      <c r="E24" s="80">
        <f t="shared" ref="E24" si="21">IF(ISNUMBER(C24+D24),C24+D24,"")</f>
        <v>1268876.0052078962</v>
      </c>
      <c r="F24" s="79">
        <v>74400</v>
      </c>
      <c r="G24" s="81">
        <f t="shared" ref="G24" si="22">IF(ISNUMBER($F24),E24/$F24,"")</f>
        <v>17.054785016235165</v>
      </c>
      <c r="I24" s="64">
        <f t="shared" si="7"/>
        <v>12</v>
      </c>
      <c r="J24" s="73">
        <f t="shared" si="6"/>
        <v>2019</v>
      </c>
      <c r="K24" s="82">
        <f t="shared" si="4"/>
        <v>43800</v>
      </c>
      <c r="L24" s="73">
        <f t="shared" si="15"/>
        <v>2027</v>
      </c>
      <c r="M24" s="56">
        <f t="shared" si="16"/>
        <v>26330494.622418985</v>
      </c>
      <c r="N24" s="56">
        <f t="shared" si="10"/>
        <v>0</v>
      </c>
      <c r="O24" s="56">
        <f t="shared" si="8"/>
        <v>876000</v>
      </c>
      <c r="P24" s="117">
        <f t="shared" si="9"/>
        <v>30.057642263035369</v>
      </c>
      <c r="Q24" s="180">
        <f t="shared" si="11"/>
        <v>30.057642263035369</v>
      </c>
      <c r="R24" s="180">
        <f t="shared" si="12"/>
        <v>0</v>
      </c>
    </row>
    <row r="25" spans="2:18">
      <c r="B25" s="74">
        <f t="shared" si="5"/>
        <v>43831</v>
      </c>
      <c r="C25" s="69">
        <v>1394946.1101626158</v>
      </c>
      <c r="D25" s="70">
        <f>IF(F25&lt;&gt;0,VLOOKUP($J25,'Table 1'!$B$13:$C$33,2,FALSE)/12*1000*Study_MW,0)</f>
        <v>0</v>
      </c>
      <c r="E25" s="70">
        <f t="shared" ref="E25:E77" si="23">C25+D25</f>
        <v>1394946.1101626158</v>
      </c>
      <c r="F25" s="69">
        <v>74400</v>
      </c>
      <c r="G25" s="72">
        <f t="shared" si="18"/>
        <v>18.749275674228706</v>
      </c>
      <c r="I25" s="60">
        <f>I13+13</f>
        <v>14</v>
      </c>
      <c r="J25" s="73">
        <f t="shared" si="6"/>
        <v>2020</v>
      </c>
      <c r="K25" s="74">
        <f>IF(ISNUMBER(F25),IF(F25&lt;&gt;0,B25,""),"")</f>
        <v>43831</v>
      </c>
      <c r="L25" s="73">
        <f t="shared" si="15"/>
        <v>2028</v>
      </c>
      <c r="M25" s="56">
        <f t="shared" si="16"/>
        <v>29271130.779886052</v>
      </c>
      <c r="N25" s="56">
        <f t="shared" si="10"/>
        <v>0</v>
      </c>
      <c r="O25" s="56">
        <f t="shared" si="8"/>
        <v>878400</v>
      </c>
      <c r="P25" s="117">
        <f t="shared" si="9"/>
        <v>33.323236315899422</v>
      </c>
      <c r="Q25" s="180">
        <f t="shared" si="11"/>
        <v>33.323236315899422</v>
      </c>
      <c r="R25" s="180">
        <f t="shared" si="12"/>
        <v>0</v>
      </c>
    </row>
    <row r="26" spans="2:18">
      <c r="B26" s="78">
        <f t="shared" si="5"/>
        <v>43862</v>
      </c>
      <c r="C26" s="75">
        <v>1106265.1050565243</v>
      </c>
      <c r="D26" s="71">
        <f>IF(F26&lt;&gt;0,VLOOKUP($J26,'Table 1'!$B$13:$C$33,2,FALSE)/12*1000*Study_MW,0)</f>
        <v>0</v>
      </c>
      <c r="E26" s="71">
        <f t="shared" si="23"/>
        <v>1106265.1050565243</v>
      </c>
      <c r="F26" s="75">
        <v>69600</v>
      </c>
      <c r="G26" s="76">
        <f t="shared" si="18"/>
        <v>15.894613578398337</v>
      </c>
      <c r="I26" s="77">
        <f t="shared" ref="I26:I89" si="24">I14+13</f>
        <v>15</v>
      </c>
      <c r="J26" s="73">
        <f t="shared" si="6"/>
        <v>2020</v>
      </c>
      <c r="K26" s="78">
        <f t="shared" ref="K26:K89" si="25">IF(ISNUMBER(F26),IF(F26&lt;&gt;0,B26,""),"")</f>
        <v>43862</v>
      </c>
      <c r="L26" s="73">
        <f t="shared" si="15"/>
        <v>2029</v>
      </c>
      <c r="M26" s="56">
        <f t="shared" si="16"/>
        <v>32625637.77810587</v>
      </c>
      <c r="N26" s="56">
        <f t="shared" si="10"/>
        <v>0</v>
      </c>
      <c r="O26" s="56">
        <f>SUMIF($J$13:$J$264,L26,$F$13:$F$264)</f>
        <v>876000</v>
      </c>
      <c r="P26" s="117">
        <f>(M26+N26)/O26</f>
        <v>37.243878742129986</v>
      </c>
      <c r="Q26" s="180">
        <f t="shared" si="11"/>
        <v>37.243878742129986</v>
      </c>
      <c r="R26" s="180">
        <f t="shared" si="12"/>
        <v>0</v>
      </c>
    </row>
    <row r="27" spans="2:18">
      <c r="B27" s="78">
        <f t="shared" si="5"/>
        <v>43891</v>
      </c>
      <c r="C27" s="75">
        <v>1045619.0074514747</v>
      </c>
      <c r="D27" s="71">
        <f>IF(F27&lt;&gt;0,VLOOKUP($J27,'Table 1'!$B$13:$C$33,2,FALSE)/12*1000*Study_MW,0)</f>
        <v>0</v>
      </c>
      <c r="E27" s="71">
        <f t="shared" si="23"/>
        <v>1045619.0074514747</v>
      </c>
      <c r="F27" s="75">
        <v>74400</v>
      </c>
      <c r="G27" s="76">
        <f t="shared" si="18"/>
        <v>14.05401891735853</v>
      </c>
      <c r="I27" s="77">
        <f t="shared" si="24"/>
        <v>16</v>
      </c>
      <c r="J27" s="73">
        <f t="shared" si="6"/>
        <v>2020</v>
      </c>
      <c r="K27" s="78">
        <f t="shared" si="25"/>
        <v>43891</v>
      </c>
      <c r="L27" s="73">
        <f t="shared" si="15"/>
        <v>2030</v>
      </c>
      <c r="M27" s="56">
        <f t="shared" si="16"/>
        <v>36691703.337359294</v>
      </c>
      <c r="N27" s="56">
        <f t="shared" si="10"/>
        <v>0</v>
      </c>
      <c r="O27" s="56">
        <f t="shared" ref="O27:O31" si="26">SUMIF($J$13:$J$264,L27,$F$13:$F$264)</f>
        <v>876000</v>
      </c>
      <c r="P27" s="117">
        <f t="shared" ref="P27:P31" si="27">(M27+N27)/O27</f>
        <v>41.885506092875907</v>
      </c>
      <c r="Q27" s="180">
        <f t="shared" si="11"/>
        <v>41.885506092875907</v>
      </c>
      <c r="R27" s="180">
        <f t="shared" si="12"/>
        <v>0</v>
      </c>
    </row>
    <row r="28" spans="2:18">
      <c r="B28" s="78">
        <f t="shared" si="5"/>
        <v>43922</v>
      </c>
      <c r="C28" s="75">
        <v>921143.85439650714</v>
      </c>
      <c r="D28" s="71">
        <f>IF(F28&lt;&gt;0,VLOOKUP($J28,'Table 1'!$B$13:$C$33,2,FALSE)/12*1000*Study_MW,0)</f>
        <v>0</v>
      </c>
      <c r="E28" s="71">
        <f t="shared" si="23"/>
        <v>921143.85439650714</v>
      </c>
      <c r="F28" s="75">
        <v>72000</v>
      </c>
      <c r="G28" s="76">
        <f t="shared" si="18"/>
        <v>12.793664644395932</v>
      </c>
      <c r="I28" s="77">
        <f t="shared" si="24"/>
        <v>17</v>
      </c>
      <c r="J28" s="73">
        <f t="shared" si="6"/>
        <v>2020</v>
      </c>
      <c r="K28" s="78">
        <f t="shared" si="25"/>
        <v>43922</v>
      </c>
      <c r="L28" s="73">
        <f t="shared" si="15"/>
        <v>2031</v>
      </c>
      <c r="M28" s="56">
        <f t="shared" si="16"/>
        <v>40039984.129764795</v>
      </c>
      <c r="N28" s="56">
        <f t="shared" si="10"/>
        <v>0</v>
      </c>
      <c r="O28" s="56">
        <f t="shared" si="26"/>
        <v>876000</v>
      </c>
      <c r="P28" s="117">
        <f t="shared" si="27"/>
        <v>45.707744440370774</v>
      </c>
      <c r="Q28" s="180">
        <f t="shared" si="11"/>
        <v>45.707744440370774</v>
      </c>
      <c r="R28" s="180">
        <f t="shared" si="12"/>
        <v>0</v>
      </c>
    </row>
    <row r="29" spans="2:18">
      <c r="B29" s="78">
        <f t="shared" si="5"/>
        <v>43952</v>
      </c>
      <c r="C29" s="75">
        <v>1054211.6775767058</v>
      </c>
      <c r="D29" s="71">
        <f>IF(F29&lt;&gt;0,VLOOKUP($J29,'Table 1'!$B$13:$C$33,2,FALSE)/12*1000*Study_MW,0)</f>
        <v>0</v>
      </c>
      <c r="E29" s="71">
        <f t="shared" si="23"/>
        <v>1054211.6775767058</v>
      </c>
      <c r="F29" s="75">
        <v>74400</v>
      </c>
      <c r="G29" s="76">
        <f t="shared" si="18"/>
        <v>14.16951179538583</v>
      </c>
      <c r="I29" s="77">
        <f t="shared" si="24"/>
        <v>18</v>
      </c>
      <c r="J29" s="73">
        <f t="shared" si="6"/>
        <v>2020</v>
      </c>
      <c r="K29" s="78">
        <f t="shared" si="25"/>
        <v>43952</v>
      </c>
      <c r="L29" s="73">
        <f t="shared" si="15"/>
        <v>2032</v>
      </c>
      <c r="M29" s="56">
        <f t="shared" si="16"/>
        <v>42090044.647667915</v>
      </c>
      <c r="N29" s="56">
        <f t="shared" si="10"/>
        <v>0</v>
      </c>
      <c r="O29" s="56">
        <f t="shared" si="26"/>
        <v>878400</v>
      </c>
      <c r="P29" s="117">
        <f t="shared" si="27"/>
        <v>47.916717495068205</v>
      </c>
      <c r="Q29" s="180">
        <f t="shared" si="11"/>
        <v>47.916717495068205</v>
      </c>
      <c r="R29" s="180">
        <f t="shared" si="12"/>
        <v>0</v>
      </c>
    </row>
    <row r="30" spans="2:18">
      <c r="B30" s="78">
        <f t="shared" si="5"/>
        <v>43983</v>
      </c>
      <c r="C30" s="75">
        <v>1032887.9643969238</v>
      </c>
      <c r="D30" s="71">
        <f>IF(F30&lt;&gt;0,VLOOKUP($J30,'Table 1'!$B$13:$C$33,2,FALSE)/12*1000*Study_MW,0)</f>
        <v>0</v>
      </c>
      <c r="E30" s="71">
        <f t="shared" si="23"/>
        <v>1032887.9643969238</v>
      </c>
      <c r="F30" s="75">
        <v>72000</v>
      </c>
      <c r="G30" s="76">
        <f t="shared" si="18"/>
        <v>14.345666172179497</v>
      </c>
      <c r="I30" s="77">
        <f t="shared" si="24"/>
        <v>19</v>
      </c>
      <c r="J30" s="73">
        <f t="shared" si="6"/>
        <v>2020</v>
      </c>
      <c r="K30" s="78">
        <f t="shared" si="25"/>
        <v>43983</v>
      </c>
      <c r="L30" s="73">
        <f t="shared" si="15"/>
        <v>2033</v>
      </c>
      <c r="M30" s="56">
        <f t="shared" si="16"/>
        <v>46836444.69459559</v>
      </c>
      <c r="N30" s="56">
        <f t="shared" si="10"/>
        <v>0</v>
      </c>
      <c r="O30" s="56">
        <f t="shared" si="26"/>
        <v>876000</v>
      </c>
      <c r="P30" s="117">
        <f t="shared" si="27"/>
        <v>53.466261066889942</v>
      </c>
      <c r="Q30" s="180">
        <f t="shared" si="11"/>
        <v>53.466261066889942</v>
      </c>
      <c r="R30" s="180">
        <f t="shared" si="12"/>
        <v>0</v>
      </c>
    </row>
    <row r="31" spans="2:18">
      <c r="B31" s="78">
        <f t="shared" si="5"/>
        <v>44013</v>
      </c>
      <c r="C31" s="75">
        <v>3246111.6561819315</v>
      </c>
      <c r="D31" s="71">
        <f>IF(F31&lt;&gt;0,VLOOKUP($J31,'Table 1'!$B$13:$C$33,2,FALSE)/12*1000*Study_MW,0)</f>
        <v>0</v>
      </c>
      <c r="E31" s="71">
        <f t="shared" si="23"/>
        <v>3246111.6561819315</v>
      </c>
      <c r="F31" s="75">
        <v>74400</v>
      </c>
      <c r="G31" s="76">
        <f t="shared" si="18"/>
        <v>43.630533013198004</v>
      </c>
      <c r="I31" s="77">
        <f t="shared" si="24"/>
        <v>20</v>
      </c>
      <c r="J31" s="73">
        <f t="shared" si="6"/>
        <v>2020</v>
      </c>
      <c r="K31" s="78">
        <f t="shared" si="25"/>
        <v>44013</v>
      </c>
      <c r="L31" s="73">
        <f t="shared" si="15"/>
        <v>2034</v>
      </c>
      <c r="M31" s="56">
        <f t="shared" si="16"/>
        <v>49127562.15712221</v>
      </c>
      <c r="N31" s="56">
        <f t="shared" si="10"/>
        <v>0</v>
      </c>
      <c r="O31" s="56">
        <f t="shared" si="26"/>
        <v>876000</v>
      </c>
      <c r="P31" s="117">
        <f t="shared" si="27"/>
        <v>56.081691960185168</v>
      </c>
      <c r="Q31" s="180">
        <f t="shared" si="11"/>
        <v>56.081691960185168</v>
      </c>
      <c r="R31" s="180">
        <f t="shared" si="12"/>
        <v>0</v>
      </c>
    </row>
    <row r="32" spans="2:18">
      <c r="B32" s="78">
        <f t="shared" si="5"/>
        <v>44044</v>
      </c>
      <c r="C32" s="75">
        <v>2151215.3296159208</v>
      </c>
      <c r="D32" s="71">
        <f>IF(F32&lt;&gt;0,VLOOKUP($J32,'Table 1'!$B$13:$C$33,2,FALSE)/12*1000*Study_MW,0)</f>
        <v>0</v>
      </c>
      <c r="E32" s="71">
        <f t="shared" si="23"/>
        <v>2151215.3296159208</v>
      </c>
      <c r="F32" s="75">
        <v>74400</v>
      </c>
      <c r="G32" s="76">
        <f t="shared" si="18"/>
        <v>28.914184537848399</v>
      </c>
      <c r="I32" s="77">
        <f t="shared" si="24"/>
        <v>21</v>
      </c>
      <c r="J32" s="73">
        <f t="shared" si="6"/>
        <v>2020</v>
      </c>
      <c r="K32" s="78">
        <f t="shared" si="25"/>
        <v>44044</v>
      </c>
      <c r="L32" s="73">
        <f t="shared" si="15"/>
        <v>2035</v>
      </c>
      <c r="M32" s="56">
        <f t="shared" si="16"/>
        <v>52471388.416986719</v>
      </c>
      <c r="N32" s="56">
        <f t="shared" si="10"/>
        <v>0</v>
      </c>
      <c r="O32" s="56">
        <f t="shared" ref="O32:O35" si="28">SUMIF($J$13:$J$264,L32,$F$13:$F$264)</f>
        <v>876000</v>
      </c>
      <c r="P32" s="117">
        <f t="shared" ref="P32:P34" si="29">(M32+N32)/O32</f>
        <v>59.898845224870684</v>
      </c>
      <c r="Q32" s="180">
        <f t="shared" si="11"/>
        <v>59.898845224870684</v>
      </c>
      <c r="R32" s="180">
        <f t="shared" si="12"/>
        <v>0</v>
      </c>
    </row>
    <row r="33" spans="2:20">
      <c r="B33" s="78">
        <f t="shared" si="5"/>
        <v>44075</v>
      </c>
      <c r="C33" s="75">
        <v>1047609.5234736502</v>
      </c>
      <c r="D33" s="71">
        <f>IF(F33&lt;&gt;0,VLOOKUP($J33,'Table 1'!$B$13:$C$33,2,FALSE)/12*1000*Study_MW,0)</f>
        <v>0</v>
      </c>
      <c r="E33" s="71">
        <f t="shared" si="23"/>
        <v>1047609.5234736502</v>
      </c>
      <c r="F33" s="75">
        <v>72000</v>
      </c>
      <c r="G33" s="76">
        <f t="shared" si="18"/>
        <v>14.550132270467364</v>
      </c>
      <c r="I33" s="77">
        <f t="shared" si="24"/>
        <v>22</v>
      </c>
      <c r="J33" s="73">
        <f t="shared" si="6"/>
        <v>2020</v>
      </c>
      <c r="K33" s="78">
        <f t="shared" si="25"/>
        <v>44075</v>
      </c>
      <c r="L33" s="73">
        <f t="shared" si="15"/>
        <v>2036</v>
      </c>
      <c r="M33" s="56">
        <f t="shared" si="16"/>
        <v>54379790.673800886</v>
      </c>
      <c r="N33" s="56">
        <f t="shared" si="10"/>
        <v>0</v>
      </c>
      <c r="O33" s="56">
        <f t="shared" si="28"/>
        <v>878400</v>
      </c>
      <c r="P33" s="117">
        <f t="shared" si="29"/>
        <v>61.907776267988261</v>
      </c>
      <c r="Q33" s="180">
        <f t="shared" si="11"/>
        <v>61.907776267988261</v>
      </c>
      <c r="R33" s="180">
        <f t="shared" si="12"/>
        <v>0</v>
      </c>
    </row>
    <row r="34" spans="2:20">
      <c r="B34" s="78">
        <f t="shared" si="5"/>
        <v>44105</v>
      </c>
      <c r="C34" s="75">
        <v>932997.15286037326</v>
      </c>
      <c r="D34" s="71">
        <f>IF(F34&lt;&gt;0,VLOOKUP($J34,'Table 1'!$B$13:$C$33,2,FALSE)/12*1000*Study_MW,0)</f>
        <v>0</v>
      </c>
      <c r="E34" s="71">
        <f t="shared" si="23"/>
        <v>932997.15286037326</v>
      </c>
      <c r="F34" s="75">
        <v>74400</v>
      </c>
      <c r="G34" s="76">
        <f t="shared" si="18"/>
        <v>12.540284312639425</v>
      </c>
      <c r="I34" s="77">
        <f t="shared" si="24"/>
        <v>23</v>
      </c>
      <c r="J34" s="73">
        <f t="shared" si="6"/>
        <v>2020</v>
      </c>
      <c r="K34" s="78">
        <f t="shared" si="25"/>
        <v>44105</v>
      </c>
      <c r="L34" s="73">
        <f t="shared" si="15"/>
        <v>2037</v>
      </c>
      <c r="M34" s="56">
        <f t="shared" si="16"/>
        <v>55459983.865395963</v>
      </c>
      <c r="N34" s="56">
        <f t="shared" si="10"/>
        <v>0</v>
      </c>
      <c r="O34" s="56">
        <f t="shared" si="28"/>
        <v>876000</v>
      </c>
      <c r="P34" s="117">
        <f t="shared" si="29"/>
        <v>63.310483864607264</v>
      </c>
      <c r="Q34" s="180">
        <f t="shared" ref="Q34" si="30">M34/O34</f>
        <v>63.310483864607264</v>
      </c>
      <c r="R34" s="180">
        <f t="shared" ref="R34" si="31">IFERROR(N34/O34,0)</f>
        <v>0</v>
      </c>
    </row>
    <row r="35" spans="2:20">
      <c r="B35" s="78">
        <f t="shared" si="5"/>
        <v>44136</v>
      </c>
      <c r="C35" s="75">
        <v>922318.84408786893</v>
      </c>
      <c r="D35" s="71">
        <f>IF(F35&lt;&gt;0,VLOOKUP($J35,'Table 1'!$B$13:$C$33,2,FALSE)/12*1000*Study_MW,0)</f>
        <v>0</v>
      </c>
      <c r="E35" s="71">
        <f t="shared" si="23"/>
        <v>922318.84408786893</v>
      </c>
      <c r="F35" s="75">
        <v>72000</v>
      </c>
      <c r="G35" s="76">
        <f t="shared" si="18"/>
        <v>12.809983945664847</v>
      </c>
      <c r="I35" s="77">
        <f t="shared" si="24"/>
        <v>24</v>
      </c>
      <c r="J35" s="73">
        <f t="shared" si="6"/>
        <v>2020</v>
      </c>
      <c r="K35" s="78">
        <f t="shared" si="25"/>
        <v>44136</v>
      </c>
      <c r="L35" s="73">
        <f t="shared" si="15"/>
        <v>2038</v>
      </c>
      <c r="M35" s="56">
        <f t="shared" si="16"/>
        <v>56680103.510434672</v>
      </c>
      <c r="N35" s="56">
        <f t="shared" si="10"/>
        <v>0</v>
      </c>
      <c r="O35" s="56">
        <f t="shared" si="28"/>
        <v>876000</v>
      </c>
      <c r="P35" s="117">
        <f t="shared" ref="P35" si="32">(M35+N35)/O35</f>
        <v>64.703314509628626</v>
      </c>
      <c r="Q35" s="180">
        <f t="shared" ref="Q35" si="33">M35/O35</f>
        <v>64.703314509628626</v>
      </c>
      <c r="R35" s="180">
        <f t="shared" ref="R35" si="34">IFERROR(N35/O35,0)</f>
        <v>0</v>
      </c>
    </row>
    <row r="36" spans="2:20">
      <c r="B36" s="82">
        <f t="shared" si="5"/>
        <v>44166</v>
      </c>
      <c r="C36" s="79">
        <v>1216874.4966246188</v>
      </c>
      <c r="D36" s="80">
        <f>IF(F36&lt;&gt;0,VLOOKUP($J36,'Table 1'!$B$13:$C$33,2,FALSE)/12*1000*Study_MW,0)</f>
        <v>0</v>
      </c>
      <c r="E36" s="80">
        <f t="shared" si="23"/>
        <v>1216874.4966246188</v>
      </c>
      <c r="F36" s="79">
        <v>74400</v>
      </c>
      <c r="G36" s="81">
        <f t="shared" si="18"/>
        <v>16.355840008395415</v>
      </c>
      <c r="I36" s="64">
        <f t="shared" si="24"/>
        <v>25</v>
      </c>
      <c r="J36" s="73">
        <f t="shared" si="6"/>
        <v>2020</v>
      </c>
      <c r="K36" s="82">
        <f t="shared" si="25"/>
        <v>44166</v>
      </c>
      <c r="L36" s="73">
        <f t="shared" si="15"/>
        <v>2039</v>
      </c>
      <c r="M36" s="56">
        <f t="shared" si="16"/>
        <v>57927065.787664242</v>
      </c>
      <c r="N36" s="56">
        <f t="shared" si="10"/>
        <v>0</v>
      </c>
      <c r="O36" s="56">
        <f t="shared" ref="O36" si="35">SUMIF($J$13:$J$264,L36,$F$13:$F$264)</f>
        <v>876000</v>
      </c>
      <c r="P36" s="117">
        <f t="shared" ref="P36" si="36">(M36+N36)/O36</f>
        <v>66.126787428840458</v>
      </c>
      <c r="Q36" s="180">
        <f t="shared" ref="Q36" si="37">M36/O36</f>
        <v>66.126787428840458</v>
      </c>
      <c r="R36" s="180">
        <f t="shared" ref="R36" si="38">IFERROR(N36/O36,0)</f>
        <v>0</v>
      </c>
    </row>
    <row r="37" spans="2:20" outlineLevel="1">
      <c r="B37" s="74">
        <f t="shared" si="5"/>
        <v>44197</v>
      </c>
      <c r="C37" s="69">
        <v>1449932.1478714645</v>
      </c>
      <c r="D37" s="70">
        <f>IF(F37&lt;&gt;0,VLOOKUP($J37,'Table 1'!$B$13:$C$33,2,FALSE)/12*1000*Study_MW,0)</f>
        <v>0</v>
      </c>
      <c r="E37" s="70">
        <f t="shared" si="23"/>
        <v>1449932.1478714645</v>
      </c>
      <c r="F37" s="69">
        <v>74400</v>
      </c>
      <c r="G37" s="72">
        <f t="shared" si="18"/>
        <v>19.488335320853018</v>
      </c>
      <c r="I37" s="60">
        <f>I25+13</f>
        <v>27</v>
      </c>
      <c r="J37" s="73">
        <f t="shared" si="6"/>
        <v>2021</v>
      </c>
      <c r="K37" s="74">
        <f t="shared" si="25"/>
        <v>44197</v>
      </c>
      <c r="L37" s="73">
        <f t="shared" si="15"/>
        <v>2040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7" t="e">
        <f t="shared" ref="P37" si="39">(M37+N37)/O37</f>
        <v>#DIV/0!</v>
      </c>
      <c r="Q37" s="180" t="e">
        <f t="shared" ref="Q37" si="40">M37/O37</f>
        <v>#DIV/0!</v>
      </c>
      <c r="R37" s="180">
        <f t="shared" ref="R37" si="41">IFERROR(N37/O37,0)</f>
        <v>0</v>
      </c>
    </row>
    <row r="38" spans="2:20" outlineLevel="1">
      <c r="B38" s="78">
        <f t="shared" si="5"/>
        <v>44228</v>
      </c>
      <c r="C38" s="75">
        <v>1006697.5556515455</v>
      </c>
      <c r="D38" s="71">
        <f>IF(F38&lt;&gt;0,VLOOKUP($J38,'Table 1'!$B$13:$C$33,2,FALSE)/12*1000*Study_MW,0)</f>
        <v>0</v>
      </c>
      <c r="E38" s="71">
        <f t="shared" si="23"/>
        <v>1006697.5556515455</v>
      </c>
      <c r="F38" s="75">
        <v>67200</v>
      </c>
      <c r="G38" s="76">
        <f t="shared" si="18"/>
        <v>14.980618387671809</v>
      </c>
      <c r="I38" s="77">
        <f t="shared" si="24"/>
        <v>28</v>
      </c>
      <c r="J38" s="73">
        <f t="shared" si="6"/>
        <v>2021</v>
      </c>
      <c r="K38" s="78">
        <f t="shared" si="25"/>
        <v>44228</v>
      </c>
      <c r="M38" s="191"/>
    </row>
    <row r="39" spans="2:20" outlineLevel="1">
      <c r="B39" s="78">
        <f t="shared" si="5"/>
        <v>44256</v>
      </c>
      <c r="C39" s="75">
        <v>1157503.9077537656</v>
      </c>
      <c r="D39" s="71">
        <f>IF(F39&lt;&gt;0,VLOOKUP($J39,'Table 1'!$B$13:$C$33,2,FALSE)/12*1000*Study_MW,0)</f>
        <v>0</v>
      </c>
      <c r="E39" s="71">
        <f t="shared" si="23"/>
        <v>1157503.9077537656</v>
      </c>
      <c r="F39" s="75">
        <v>74400</v>
      </c>
      <c r="G39" s="76">
        <f t="shared" si="18"/>
        <v>15.557848222496849</v>
      </c>
      <c r="I39" s="77">
        <f t="shared" si="24"/>
        <v>29</v>
      </c>
      <c r="J39" s="73">
        <f t="shared" si="6"/>
        <v>2021</v>
      </c>
      <c r="K39" s="78">
        <f t="shared" si="25"/>
        <v>44256</v>
      </c>
    </row>
    <row r="40" spans="2:20" outlineLevel="1">
      <c r="B40" s="78">
        <f t="shared" si="5"/>
        <v>44287</v>
      </c>
      <c r="C40" s="75">
        <v>1147425.4949804693</v>
      </c>
      <c r="D40" s="71">
        <f>IF(F40&lt;&gt;0,VLOOKUP($J40,'Table 1'!$B$13:$C$33,2,FALSE)/12*1000*Study_MW,0)</f>
        <v>0</v>
      </c>
      <c r="E40" s="71">
        <f t="shared" si="23"/>
        <v>1147425.4949804693</v>
      </c>
      <c r="F40" s="75">
        <v>72000</v>
      </c>
      <c r="G40" s="76">
        <f t="shared" si="18"/>
        <v>15.936465208062074</v>
      </c>
      <c r="I40" s="77">
        <f t="shared" si="24"/>
        <v>30</v>
      </c>
      <c r="J40" s="73">
        <f t="shared" si="6"/>
        <v>2021</v>
      </c>
      <c r="K40" s="78">
        <f t="shared" si="25"/>
        <v>44287</v>
      </c>
      <c r="O40" s="218"/>
      <c r="P40" s="58"/>
      <c r="Q40" s="58"/>
      <c r="R40" s="58"/>
      <c r="S40" s="58"/>
      <c r="T40" s="91"/>
    </row>
    <row r="41" spans="2:20" outlineLevel="1">
      <c r="B41" s="78">
        <f t="shared" si="5"/>
        <v>44317</v>
      </c>
      <c r="C41" s="75">
        <v>1119779.8924741</v>
      </c>
      <c r="D41" s="71">
        <f>IF(F41&lt;&gt;0,VLOOKUP($J41,'Table 1'!$B$13:$C$33,2,FALSE)/12*1000*Study_MW,0)</f>
        <v>0</v>
      </c>
      <c r="E41" s="71">
        <f t="shared" si="23"/>
        <v>1119779.8924741</v>
      </c>
      <c r="F41" s="75">
        <v>74400</v>
      </c>
      <c r="G41" s="76">
        <f t="shared" si="18"/>
        <v>15.050805006372311</v>
      </c>
      <c r="I41" s="77">
        <f t="shared" si="24"/>
        <v>31</v>
      </c>
      <c r="J41" s="73">
        <f t="shared" si="6"/>
        <v>2021</v>
      </c>
      <c r="K41" s="78">
        <f t="shared" si="25"/>
        <v>44317</v>
      </c>
      <c r="O41" s="218"/>
      <c r="P41" s="58"/>
      <c r="Q41" s="58"/>
      <c r="R41" s="58"/>
      <c r="S41" s="58"/>
      <c r="T41" s="91"/>
    </row>
    <row r="42" spans="2:20" outlineLevel="1">
      <c r="B42" s="78">
        <f t="shared" si="5"/>
        <v>44348</v>
      </c>
      <c r="C42" s="75">
        <v>1146864.4790606648</v>
      </c>
      <c r="D42" s="71">
        <f>IF(F42&lt;&gt;0,VLOOKUP($J42,'Table 1'!$B$13:$C$33,2,FALSE)/12*1000*Study_MW,0)</f>
        <v>0</v>
      </c>
      <c r="E42" s="71">
        <f t="shared" si="23"/>
        <v>1146864.4790606648</v>
      </c>
      <c r="F42" s="75">
        <v>72000</v>
      </c>
      <c r="G42" s="76">
        <f t="shared" si="18"/>
        <v>15.928673320287011</v>
      </c>
      <c r="I42" s="77">
        <f t="shared" si="24"/>
        <v>32</v>
      </c>
      <c r="J42" s="73">
        <f t="shared" si="6"/>
        <v>2021</v>
      </c>
      <c r="K42" s="78">
        <f t="shared" si="25"/>
        <v>44348</v>
      </c>
    </row>
    <row r="43" spans="2:20" outlineLevel="1">
      <c r="B43" s="78">
        <f t="shared" si="5"/>
        <v>44378</v>
      </c>
      <c r="C43" s="75">
        <v>2152823.1147161424</v>
      </c>
      <c r="D43" s="71">
        <f>IF(F43&lt;&gt;0,VLOOKUP($J43,'Table 1'!$B$13:$C$33,2,FALSE)/12*1000*Study_MW,0)</f>
        <v>0</v>
      </c>
      <c r="E43" s="71">
        <f t="shared" si="23"/>
        <v>2152823.1147161424</v>
      </c>
      <c r="F43" s="75">
        <v>74400</v>
      </c>
      <c r="G43" s="76">
        <f t="shared" si="18"/>
        <v>28.935794552636324</v>
      </c>
      <c r="I43" s="77">
        <f t="shared" si="24"/>
        <v>33</v>
      </c>
      <c r="J43" s="73">
        <f t="shared" si="6"/>
        <v>2021</v>
      </c>
      <c r="K43" s="78">
        <f t="shared" si="25"/>
        <v>44378</v>
      </c>
    </row>
    <row r="44" spans="2:20" outlineLevel="1">
      <c r="B44" s="78">
        <f t="shared" si="5"/>
        <v>44409</v>
      </c>
      <c r="C44" s="75">
        <v>1668005.0718298554</v>
      </c>
      <c r="D44" s="71">
        <f>IF(F44&lt;&gt;0,VLOOKUP($J44,'Table 1'!$B$13:$C$33,2,FALSE)/12*1000*Study_MW,0)</f>
        <v>0</v>
      </c>
      <c r="E44" s="71">
        <f t="shared" si="23"/>
        <v>1668005.0718298554</v>
      </c>
      <c r="F44" s="75">
        <v>74400</v>
      </c>
      <c r="G44" s="76">
        <f t="shared" si="18"/>
        <v>22.419423008465799</v>
      </c>
      <c r="I44" s="77">
        <f t="shared" si="24"/>
        <v>34</v>
      </c>
      <c r="J44" s="73">
        <f t="shared" si="6"/>
        <v>2021</v>
      </c>
      <c r="K44" s="78">
        <f t="shared" si="25"/>
        <v>44409</v>
      </c>
    </row>
    <row r="45" spans="2:20" outlineLevel="1">
      <c r="B45" s="78">
        <f t="shared" si="5"/>
        <v>44440</v>
      </c>
      <c r="C45" s="75">
        <v>1122756.7526408881</v>
      </c>
      <c r="D45" s="71">
        <f>IF(F45&lt;&gt;0,VLOOKUP($J45,'Table 1'!$B$13:$C$33,2,FALSE)/12*1000*Study_MW,0)</f>
        <v>0</v>
      </c>
      <c r="E45" s="71">
        <f t="shared" si="23"/>
        <v>1122756.7526408881</v>
      </c>
      <c r="F45" s="75">
        <v>72000</v>
      </c>
      <c r="G45" s="76">
        <f t="shared" si="18"/>
        <v>15.593843786679001</v>
      </c>
      <c r="I45" s="77">
        <f t="shared" si="24"/>
        <v>35</v>
      </c>
      <c r="J45" s="73">
        <f t="shared" si="6"/>
        <v>2021</v>
      </c>
      <c r="K45" s="78">
        <f t="shared" si="25"/>
        <v>44440</v>
      </c>
    </row>
    <row r="46" spans="2:20" outlineLevel="1">
      <c r="B46" s="78">
        <f t="shared" si="5"/>
        <v>44470</v>
      </c>
      <c r="C46" s="75">
        <v>1038200.4851997197</v>
      </c>
      <c r="D46" s="71">
        <f>IF(F46&lt;&gt;0,VLOOKUP($J46,'Table 1'!$B$13:$C$33,2,FALSE)/12*1000*Study_MW,0)</f>
        <v>0</v>
      </c>
      <c r="E46" s="71">
        <f t="shared" si="23"/>
        <v>1038200.4851997197</v>
      </c>
      <c r="F46" s="75">
        <v>74400</v>
      </c>
      <c r="G46" s="76">
        <f t="shared" si="18"/>
        <v>13.954307596770425</v>
      </c>
      <c r="I46" s="77">
        <f t="shared" si="24"/>
        <v>36</v>
      </c>
      <c r="J46" s="73">
        <f t="shared" si="6"/>
        <v>2021</v>
      </c>
      <c r="K46" s="78">
        <f t="shared" si="25"/>
        <v>44470</v>
      </c>
    </row>
    <row r="47" spans="2:20" outlineLevel="1">
      <c r="B47" s="78">
        <f t="shared" si="5"/>
        <v>44501</v>
      </c>
      <c r="C47" s="75">
        <v>1011030.678248331</v>
      </c>
      <c r="D47" s="71">
        <f>IF(F47&lt;&gt;0,VLOOKUP($J47,'Table 1'!$B$13:$C$33,2,FALSE)/12*1000*Study_MW,0)</f>
        <v>0</v>
      </c>
      <c r="E47" s="71">
        <f t="shared" si="23"/>
        <v>1011030.678248331</v>
      </c>
      <c r="F47" s="75">
        <v>72000</v>
      </c>
      <c r="G47" s="76">
        <f t="shared" si="18"/>
        <v>14.04209275344904</v>
      </c>
      <c r="I47" s="77">
        <f t="shared" si="24"/>
        <v>37</v>
      </c>
      <c r="J47" s="73">
        <f t="shared" si="6"/>
        <v>2021</v>
      </c>
      <c r="K47" s="78">
        <f t="shared" si="25"/>
        <v>44501</v>
      </c>
    </row>
    <row r="48" spans="2:20" outlineLevel="1">
      <c r="B48" s="82">
        <f t="shared" si="5"/>
        <v>44531</v>
      </c>
      <c r="C48" s="79">
        <v>1067517.4250462353</v>
      </c>
      <c r="D48" s="80">
        <f>IF(F48&lt;&gt;0,VLOOKUP($J48,'Table 1'!$B$13:$C$33,2,FALSE)/12*1000*Study_MW,0)</f>
        <v>0</v>
      </c>
      <c r="E48" s="80">
        <f t="shared" si="23"/>
        <v>1067517.4250462353</v>
      </c>
      <c r="F48" s="79">
        <v>74400</v>
      </c>
      <c r="G48" s="81">
        <f t="shared" si="18"/>
        <v>14.348352487180582</v>
      </c>
      <c r="I48" s="64">
        <f t="shared" si="24"/>
        <v>38</v>
      </c>
      <c r="J48" s="73">
        <f t="shared" si="6"/>
        <v>2021</v>
      </c>
      <c r="K48" s="82">
        <f t="shared" si="25"/>
        <v>44531</v>
      </c>
    </row>
    <row r="49" spans="2:11" outlineLevel="1">
      <c r="B49" s="74">
        <f t="shared" si="5"/>
        <v>44562</v>
      </c>
      <c r="C49" s="69">
        <v>1356615.3292502463</v>
      </c>
      <c r="D49" s="70">
        <f>IF(F49&lt;&gt;0,VLOOKUP($J49,'Table 1'!$B$13:$C$33,2,FALSE)/12*1000*Study_MW,0)</f>
        <v>0</v>
      </c>
      <c r="E49" s="70">
        <f t="shared" si="23"/>
        <v>1356615.3292502463</v>
      </c>
      <c r="F49" s="69">
        <v>74400</v>
      </c>
      <c r="G49" s="72">
        <f t="shared" si="18"/>
        <v>18.234077006051699</v>
      </c>
      <c r="I49" s="60">
        <f>I37+13</f>
        <v>40</v>
      </c>
      <c r="J49" s="73">
        <f t="shared" si="6"/>
        <v>2022</v>
      </c>
      <c r="K49" s="74">
        <f t="shared" si="25"/>
        <v>44562</v>
      </c>
    </row>
    <row r="50" spans="2:11" outlineLevel="1">
      <c r="B50" s="78">
        <f t="shared" si="5"/>
        <v>44593</v>
      </c>
      <c r="C50" s="75">
        <v>1303092.4670155495</v>
      </c>
      <c r="D50" s="71">
        <f>IF(F50&lt;&gt;0,VLOOKUP($J50,'Table 1'!$B$13:$C$33,2,FALSE)/12*1000*Study_MW,0)</f>
        <v>0</v>
      </c>
      <c r="E50" s="71">
        <f t="shared" si="23"/>
        <v>1303092.4670155495</v>
      </c>
      <c r="F50" s="75">
        <v>67200</v>
      </c>
      <c r="G50" s="76">
        <f t="shared" si="18"/>
        <v>19.391256949636155</v>
      </c>
      <c r="I50" s="77">
        <f t="shared" si="24"/>
        <v>41</v>
      </c>
      <c r="J50" s="73">
        <f t="shared" si="6"/>
        <v>2022</v>
      </c>
      <c r="K50" s="78">
        <f t="shared" si="25"/>
        <v>44593</v>
      </c>
    </row>
    <row r="51" spans="2:11" outlineLevel="1">
      <c r="B51" s="78">
        <f t="shared" si="5"/>
        <v>44621</v>
      </c>
      <c r="C51" s="75">
        <v>1337046.5401046127</v>
      </c>
      <c r="D51" s="71">
        <f>IF(F51&lt;&gt;0,VLOOKUP($J51,'Table 1'!$B$13:$C$33,2,FALSE)/12*1000*Study_MW,0)</f>
        <v>0</v>
      </c>
      <c r="E51" s="71">
        <f t="shared" si="23"/>
        <v>1337046.5401046127</v>
      </c>
      <c r="F51" s="75">
        <v>74400</v>
      </c>
      <c r="G51" s="76">
        <f t="shared" si="18"/>
        <v>17.971055646567375</v>
      </c>
      <c r="I51" s="77">
        <f t="shared" si="24"/>
        <v>42</v>
      </c>
      <c r="J51" s="73">
        <f t="shared" si="6"/>
        <v>2022</v>
      </c>
      <c r="K51" s="78">
        <f t="shared" si="25"/>
        <v>44621</v>
      </c>
    </row>
    <row r="52" spans="2:11" outlineLevel="1">
      <c r="B52" s="78">
        <f t="shared" si="5"/>
        <v>44652</v>
      </c>
      <c r="C52" s="75">
        <v>1229922.6687283069</v>
      </c>
      <c r="D52" s="71">
        <f>IF(F52&lt;&gt;0,VLOOKUP($J52,'Table 1'!$B$13:$C$33,2,FALSE)/12*1000*Study_MW,0)</f>
        <v>0</v>
      </c>
      <c r="E52" s="71">
        <f t="shared" si="23"/>
        <v>1229922.6687283069</v>
      </c>
      <c r="F52" s="75">
        <v>72000</v>
      </c>
      <c r="G52" s="76">
        <f t="shared" si="18"/>
        <v>17.082259287893152</v>
      </c>
      <c r="I52" s="77">
        <f t="shared" si="24"/>
        <v>43</v>
      </c>
      <c r="J52" s="73">
        <f t="shared" si="6"/>
        <v>2022</v>
      </c>
      <c r="K52" s="78">
        <f t="shared" si="25"/>
        <v>44652</v>
      </c>
    </row>
    <row r="53" spans="2:11" outlineLevel="1">
      <c r="B53" s="78">
        <f t="shared" si="5"/>
        <v>44682</v>
      </c>
      <c r="C53" s="75">
        <v>1130545.289598152</v>
      </c>
      <c r="D53" s="71">
        <f>IF(F53&lt;&gt;0,VLOOKUP($J53,'Table 1'!$B$13:$C$33,2,FALSE)/12*1000*Study_MW,0)</f>
        <v>0</v>
      </c>
      <c r="E53" s="71">
        <f t="shared" si="23"/>
        <v>1130545.289598152</v>
      </c>
      <c r="F53" s="75">
        <v>74400</v>
      </c>
      <c r="G53" s="76">
        <f t="shared" si="18"/>
        <v>15.195501204276237</v>
      </c>
      <c r="I53" s="77">
        <f t="shared" si="24"/>
        <v>44</v>
      </c>
      <c r="J53" s="73">
        <f t="shared" si="6"/>
        <v>2022</v>
      </c>
      <c r="K53" s="78">
        <f t="shared" si="25"/>
        <v>44682</v>
      </c>
    </row>
    <row r="54" spans="2:11" outlineLevel="1">
      <c r="B54" s="78">
        <f t="shared" si="5"/>
        <v>44713</v>
      </c>
      <c r="C54" s="75">
        <v>1037246.3978744745</v>
      </c>
      <c r="D54" s="71">
        <f>IF(F54&lt;&gt;0,VLOOKUP($J54,'Table 1'!$B$13:$C$33,2,FALSE)/12*1000*Study_MW,0)</f>
        <v>0</v>
      </c>
      <c r="E54" s="71">
        <f t="shared" si="23"/>
        <v>1037246.3978744745</v>
      </c>
      <c r="F54" s="75">
        <v>72000</v>
      </c>
      <c r="G54" s="76">
        <f t="shared" si="18"/>
        <v>14.406199970478813</v>
      </c>
      <c r="I54" s="77">
        <f t="shared" si="24"/>
        <v>45</v>
      </c>
      <c r="J54" s="73">
        <f t="shared" si="6"/>
        <v>2022</v>
      </c>
      <c r="K54" s="78">
        <f t="shared" si="25"/>
        <v>44713</v>
      </c>
    </row>
    <row r="55" spans="2:11" outlineLevel="1">
      <c r="B55" s="78">
        <f t="shared" si="5"/>
        <v>44743</v>
      </c>
      <c r="C55" s="75">
        <v>2337476.1029497385</v>
      </c>
      <c r="D55" s="71">
        <f>IF(F55&lt;&gt;0,VLOOKUP($J55,'Table 1'!$B$13:$C$33,2,FALSE)/12*1000*Study_MW,0)</f>
        <v>0</v>
      </c>
      <c r="E55" s="71">
        <f t="shared" si="23"/>
        <v>2337476.1029497385</v>
      </c>
      <c r="F55" s="75">
        <v>74400</v>
      </c>
      <c r="G55" s="76">
        <f t="shared" si="18"/>
        <v>31.417689555776054</v>
      </c>
      <c r="I55" s="77">
        <f t="shared" si="24"/>
        <v>46</v>
      </c>
      <c r="J55" s="73">
        <f t="shared" si="6"/>
        <v>2022</v>
      </c>
      <c r="K55" s="78">
        <f t="shared" si="25"/>
        <v>44743</v>
      </c>
    </row>
    <row r="56" spans="2:11" outlineLevel="1">
      <c r="B56" s="78">
        <f t="shared" si="5"/>
        <v>44774</v>
      </c>
      <c r="C56" s="75">
        <v>2049986.1951520145</v>
      </c>
      <c r="D56" s="71">
        <f>IF(F56&lt;&gt;0,VLOOKUP($J56,'Table 1'!$B$13:$C$33,2,FALSE)/12*1000*Study_MW,0)</f>
        <v>0</v>
      </c>
      <c r="E56" s="71">
        <f t="shared" si="23"/>
        <v>2049986.1951520145</v>
      </c>
      <c r="F56" s="75">
        <v>74400</v>
      </c>
      <c r="G56" s="76">
        <f t="shared" si="18"/>
        <v>27.553577891828152</v>
      </c>
      <c r="I56" s="77">
        <f t="shared" si="24"/>
        <v>47</v>
      </c>
      <c r="J56" s="73">
        <f t="shared" si="6"/>
        <v>2022</v>
      </c>
      <c r="K56" s="78">
        <f t="shared" si="25"/>
        <v>44774</v>
      </c>
    </row>
    <row r="57" spans="2:11" outlineLevel="1">
      <c r="B57" s="78">
        <f t="shared" si="5"/>
        <v>44805</v>
      </c>
      <c r="C57" s="75">
        <v>1159673.6989528686</v>
      </c>
      <c r="D57" s="71">
        <f>IF(F57&lt;&gt;0,VLOOKUP($J57,'Table 1'!$B$13:$C$33,2,FALSE)/12*1000*Study_MW,0)</f>
        <v>0</v>
      </c>
      <c r="E57" s="71">
        <f t="shared" si="23"/>
        <v>1159673.6989528686</v>
      </c>
      <c r="F57" s="75">
        <v>72000</v>
      </c>
      <c r="G57" s="76">
        <f t="shared" si="18"/>
        <v>16.106579152123174</v>
      </c>
      <c r="I57" s="77">
        <f t="shared" si="24"/>
        <v>48</v>
      </c>
      <c r="J57" s="73">
        <f t="shared" si="6"/>
        <v>2022</v>
      </c>
      <c r="K57" s="78">
        <f t="shared" si="25"/>
        <v>44805</v>
      </c>
    </row>
    <row r="58" spans="2:11" outlineLevel="1">
      <c r="B58" s="78">
        <f t="shared" si="5"/>
        <v>44835</v>
      </c>
      <c r="C58" s="75">
        <v>1095095.5116201341</v>
      </c>
      <c r="D58" s="71">
        <f>IF(F58&lt;&gt;0,VLOOKUP($J58,'Table 1'!$B$13:$C$33,2,FALSE)/12*1000*Study_MW,0)</f>
        <v>0</v>
      </c>
      <c r="E58" s="71">
        <f t="shared" si="23"/>
        <v>1095095.5116201341</v>
      </c>
      <c r="F58" s="75">
        <v>74400</v>
      </c>
      <c r="G58" s="76">
        <f t="shared" si="18"/>
        <v>14.719025693819006</v>
      </c>
      <c r="I58" s="77">
        <f t="shared" si="24"/>
        <v>49</v>
      </c>
      <c r="J58" s="73">
        <f t="shared" si="6"/>
        <v>2022</v>
      </c>
      <c r="K58" s="78">
        <f t="shared" si="25"/>
        <v>44835</v>
      </c>
    </row>
    <row r="59" spans="2:11" outlineLevel="1">
      <c r="B59" s="78">
        <f t="shared" si="5"/>
        <v>44866</v>
      </c>
      <c r="C59" s="75">
        <v>1117363.7927506268</v>
      </c>
      <c r="D59" s="71">
        <f>IF(F59&lt;&gt;0,VLOOKUP($J59,'Table 1'!$B$13:$C$33,2,FALSE)/12*1000*Study_MW,0)</f>
        <v>0</v>
      </c>
      <c r="E59" s="71">
        <f t="shared" si="23"/>
        <v>1117363.7927506268</v>
      </c>
      <c r="F59" s="75">
        <v>72000</v>
      </c>
      <c r="G59" s="76">
        <f t="shared" si="18"/>
        <v>15.518941565980928</v>
      </c>
      <c r="I59" s="77">
        <f t="shared" si="24"/>
        <v>50</v>
      </c>
      <c r="J59" s="73">
        <f t="shared" si="6"/>
        <v>2022</v>
      </c>
      <c r="K59" s="78">
        <f t="shared" si="25"/>
        <v>44866</v>
      </c>
    </row>
    <row r="60" spans="2:11" outlineLevel="1">
      <c r="B60" s="82">
        <f t="shared" si="5"/>
        <v>44896</v>
      </c>
      <c r="C60" s="79">
        <v>1192930.24390167</v>
      </c>
      <c r="D60" s="80">
        <f>IF(F60&lt;&gt;0,VLOOKUP($J60,'Table 1'!$B$13:$C$33,2,FALSE)/12*1000*Study_MW,0)</f>
        <v>0</v>
      </c>
      <c r="E60" s="80">
        <f t="shared" si="23"/>
        <v>1192930.24390167</v>
      </c>
      <c r="F60" s="79">
        <v>74400</v>
      </c>
      <c r="G60" s="81">
        <f t="shared" si="18"/>
        <v>16.034008654592338</v>
      </c>
      <c r="I60" s="64">
        <f t="shared" si="24"/>
        <v>51</v>
      </c>
      <c r="J60" s="73">
        <f t="shared" si="6"/>
        <v>2022</v>
      </c>
      <c r="K60" s="82">
        <f t="shared" si="25"/>
        <v>44896</v>
      </c>
    </row>
    <row r="61" spans="2:11" outlineLevel="1">
      <c r="B61" s="74">
        <f t="shared" si="5"/>
        <v>44927</v>
      </c>
      <c r="C61" s="69">
        <v>1364735.3700021058</v>
      </c>
      <c r="D61" s="70">
        <f>IF(F61&lt;&gt;0,VLOOKUP($J61,'Table 1'!$B$13:$C$33,2,FALSE)/12*1000*Study_MW,0)</f>
        <v>0</v>
      </c>
      <c r="E61" s="70">
        <f t="shared" si="23"/>
        <v>1364735.3700021058</v>
      </c>
      <c r="F61" s="69">
        <v>74400</v>
      </c>
      <c r="G61" s="72">
        <f t="shared" si="18"/>
        <v>18.343217338737983</v>
      </c>
      <c r="I61" s="60">
        <f>I49+13</f>
        <v>53</v>
      </c>
      <c r="J61" s="73">
        <f t="shared" si="6"/>
        <v>2023</v>
      </c>
      <c r="K61" s="74">
        <f t="shared" si="25"/>
        <v>44927</v>
      </c>
    </row>
    <row r="62" spans="2:11" outlineLevel="1">
      <c r="B62" s="78">
        <f t="shared" si="5"/>
        <v>44958</v>
      </c>
      <c r="C62" s="75">
        <v>1120018.1632753164</v>
      </c>
      <c r="D62" s="71">
        <f>IF(F62&lt;&gt;0,VLOOKUP($J62,'Table 1'!$B$13:$C$33,2,FALSE)/12*1000*Study_MW,0)</f>
        <v>0</v>
      </c>
      <c r="E62" s="71">
        <f t="shared" si="23"/>
        <v>1120018.1632753164</v>
      </c>
      <c r="F62" s="75">
        <v>67200</v>
      </c>
      <c r="G62" s="76">
        <f t="shared" si="18"/>
        <v>16.666936953501732</v>
      </c>
      <c r="I62" s="77">
        <f t="shared" si="24"/>
        <v>54</v>
      </c>
      <c r="J62" s="73">
        <f t="shared" si="6"/>
        <v>2023</v>
      </c>
      <c r="K62" s="78">
        <f t="shared" si="25"/>
        <v>44958</v>
      </c>
    </row>
    <row r="63" spans="2:11" outlineLevel="1">
      <c r="B63" s="78">
        <f t="shared" si="5"/>
        <v>44986</v>
      </c>
      <c r="C63" s="75">
        <v>1407473.1244400889</v>
      </c>
      <c r="D63" s="71">
        <f>IF(F63&lt;&gt;0,VLOOKUP($J63,'Table 1'!$B$13:$C$33,2,FALSE)/12*1000*Study_MW,0)</f>
        <v>0</v>
      </c>
      <c r="E63" s="71">
        <f t="shared" si="23"/>
        <v>1407473.1244400889</v>
      </c>
      <c r="F63" s="75">
        <v>74400</v>
      </c>
      <c r="G63" s="76">
        <f t="shared" si="18"/>
        <v>18.917649522044204</v>
      </c>
      <c r="I63" s="77">
        <f t="shared" si="24"/>
        <v>55</v>
      </c>
      <c r="J63" s="73">
        <f t="shared" si="6"/>
        <v>2023</v>
      </c>
      <c r="K63" s="78">
        <f t="shared" si="25"/>
        <v>44986</v>
      </c>
    </row>
    <row r="64" spans="2:11" outlineLevel="1">
      <c r="B64" s="78">
        <f t="shared" si="5"/>
        <v>45017</v>
      </c>
      <c r="C64" s="75">
        <v>1319803.885701701</v>
      </c>
      <c r="D64" s="71">
        <f>IF(F64&lt;&gt;0,VLOOKUP($J64,'Table 1'!$B$13:$C$33,2,FALSE)/12*1000*Study_MW,0)</f>
        <v>0</v>
      </c>
      <c r="E64" s="71">
        <f t="shared" si="23"/>
        <v>1319803.885701701</v>
      </c>
      <c r="F64" s="75">
        <v>72000</v>
      </c>
      <c r="G64" s="76">
        <f t="shared" si="18"/>
        <v>18.330609523634738</v>
      </c>
      <c r="I64" s="77">
        <f t="shared" si="24"/>
        <v>56</v>
      </c>
      <c r="J64" s="73">
        <f t="shared" si="6"/>
        <v>2023</v>
      </c>
      <c r="K64" s="78">
        <f t="shared" si="25"/>
        <v>45017</v>
      </c>
    </row>
    <row r="65" spans="2:11" outlineLevel="1">
      <c r="B65" s="78">
        <f t="shared" si="5"/>
        <v>45047</v>
      </c>
      <c r="C65" s="75">
        <v>1231666.7042265236</v>
      </c>
      <c r="D65" s="71">
        <f>IF(F65&lt;&gt;0,VLOOKUP($J65,'Table 1'!$B$13:$C$33,2,FALSE)/12*1000*Study_MW,0)</f>
        <v>0</v>
      </c>
      <c r="E65" s="71">
        <f t="shared" si="23"/>
        <v>1231666.7042265236</v>
      </c>
      <c r="F65" s="75">
        <v>74400</v>
      </c>
      <c r="G65" s="76">
        <f t="shared" si="18"/>
        <v>16.554660003044674</v>
      </c>
      <c r="I65" s="77">
        <f t="shared" si="24"/>
        <v>57</v>
      </c>
      <c r="J65" s="73">
        <f t="shared" si="6"/>
        <v>2023</v>
      </c>
      <c r="K65" s="78">
        <f t="shared" si="25"/>
        <v>45047</v>
      </c>
    </row>
    <row r="66" spans="2:11" outlineLevel="1">
      <c r="B66" s="78">
        <f t="shared" si="5"/>
        <v>45078</v>
      </c>
      <c r="C66" s="75">
        <v>1287689.2479376793</v>
      </c>
      <c r="D66" s="71">
        <f>IF(F66&lt;&gt;0,VLOOKUP($J66,'Table 1'!$B$13:$C$33,2,FALSE)/12*1000*Study_MW,0)</f>
        <v>0</v>
      </c>
      <c r="E66" s="71">
        <f t="shared" si="23"/>
        <v>1287689.2479376793</v>
      </c>
      <c r="F66" s="75">
        <v>72000</v>
      </c>
      <c r="G66" s="76">
        <f t="shared" si="18"/>
        <v>17.884572888023325</v>
      </c>
      <c r="I66" s="77">
        <f t="shared" si="24"/>
        <v>58</v>
      </c>
      <c r="J66" s="73">
        <f t="shared" si="6"/>
        <v>2023</v>
      </c>
      <c r="K66" s="78">
        <f t="shared" si="25"/>
        <v>45078</v>
      </c>
    </row>
    <row r="67" spans="2:11" outlineLevel="1">
      <c r="B67" s="78">
        <f t="shared" si="5"/>
        <v>45108</v>
      </c>
      <c r="C67" s="75">
        <v>2360661.7093851566</v>
      </c>
      <c r="D67" s="71">
        <f>IF(F67&lt;&gt;0,VLOOKUP($J67,'Table 1'!$B$13:$C$33,2,FALSE)/12*1000*Study_MW,0)</f>
        <v>0</v>
      </c>
      <c r="E67" s="71">
        <f t="shared" si="23"/>
        <v>2360661.7093851566</v>
      </c>
      <c r="F67" s="75">
        <v>74400</v>
      </c>
      <c r="G67" s="76">
        <f t="shared" si="18"/>
        <v>31.729324050875761</v>
      </c>
      <c r="I67" s="77">
        <f t="shared" si="24"/>
        <v>59</v>
      </c>
      <c r="J67" s="73">
        <f t="shared" si="6"/>
        <v>2023</v>
      </c>
      <c r="K67" s="78">
        <f t="shared" si="25"/>
        <v>45108</v>
      </c>
    </row>
    <row r="68" spans="2:11" outlineLevel="1">
      <c r="B68" s="78">
        <f t="shared" si="5"/>
        <v>45139</v>
      </c>
      <c r="C68" s="75">
        <v>2079859.8946811557</v>
      </c>
      <c r="D68" s="71">
        <f>IF(F68&lt;&gt;0,VLOOKUP($J68,'Table 1'!$B$13:$C$33,2,FALSE)/12*1000*Study_MW,0)</f>
        <v>0</v>
      </c>
      <c r="E68" s="71">
        <f t="shared" si="23"/>
        <v>2079859.8946811557</v>
      </c>
      <c r="F68" s="75">
        <v>74400</v>
      </c>
      <c r="G68" s="76">
        <f t="shared" si="18"/>
        <v>27.955106111305856</v>
      </c>
      <c r="I68" s="77">
        <f t="shared" si="24"/>
        <v>60</v>
      </c>
      <c r="J68" s="73">
        <f t="shared" si="6"/>
        <v>2023</v>
      </c>
      <c r="K68" s="78">
        <f t="shared" si="25"/>
        <v>45139</v>
      </c>
    </row>
    <row r="69" spans="2:11" outlineLevel="1">
      <c r="B69" s="78">
        <f t="shared" si="5"/>
        <v>45170</v>
      </c>
      <c r="C69" s="75">
        <v>1110628.1176869869</v>
      </c>
      <c r="D69" s="71">
        <f>IF(F69&lt;&gt;0,VLOOKUP($J69,'Table 1'!$B$13:$C$33,2,FALSE)/12*1000*Study_MW,0)</f>
        <v>0</v>
      </c>
      <c r="E69" s="71">
        <f t="shared" si="23"/>
        <v>1110628.1176869869</v>
      </c>
      <c r="F69" s="75">
        <v>72000</v>
      </c>
      <c r="G69" s="76">
        <f t="shared" si="18"/>
        <v>15.425390523430375</v>
      </c>
      <c r="I69" s="77">
        <f t="shared" si="24"/>
        <v>61</v>
      </c>
      <c r="J69" s="73">
        <f t="shared" si="6"/>
        <v>2023</v>
      </c>
      <c r="K69" s="78">
        <f t="shared" si="25"/>
        <v>45170</v>
      </c>
    </row>
    <row r="70" spans="2:11" outlineLevel="1">
      <c r="B70" s="78">
        <f t="shared" si="5"/>
        <v>45200</v>
      </c>
      <c r="C70" s="75">
        <v>1259867.7871349603</v>
      </c>
      <c r="D70" s="71">
        <f>IF(F70&lt;&gt;0,VLOOKUP($J70,'Table 1'!$B$13:$C$33,2,FALSE)/12*1000*Study_MW,0)</f>
        <v>0</v>
      </c>
      <c r="E70" s="71">
        <f t="shared" si="23"/>
        <v>1259867.7871349603</v>
      </c>
      <c r="F70" s="75">
        <v>74400</v>
      </c>
      <c r="G70" s="76">
        <f t="shared" si="18"/>
        <v>16.933706816330112</v>
      </c>
      <c r="I70" s="77">
        <f t="shared" si="24"/>
        <v>62</v>
      </c>
      <c r="J70" s="73">
        <f t="shared" si="6"/>
        <v>2023</v>
      </c>
      <c r="K70" s="78">
        <f t="shared" si="25"/>
        <v>45200</v>
      </c>
    </row>
    <row r="71" spans="2:11" outlineLevel="1">
      <c r="B71" s="78">
        <f t="shared" si="5"/>
        <v>45231</v>
      </c>
      <c r="C71" s="75">
        <v>1230400.3069408089</v>
      </c>
      <c r="D71" s="71">
        <f>IF(F71&lt;&gt;0,VLOOKUP($J71,'Table 1'!$B$13:$C$33,2,FALSE)/12*1000*Study_MW,0)</f>
        <v>0</v>
      </c>
      <c r="E71" s="71">
        <f t="shared" si="23"/>
        <v>1230400.3069408089</v>
      </c>
      <c r="F71" s="75">
        <v>72000</v>
      </c>
      <c r="G71" s="76">
        <f t="shared" si="18"/>
        <v>17.088893151955681</v>
      </c>
      <c r="I71" s="77">
        <f t="shared" si="24"/>
        <v>63</v>
      </c>
      <c r="J71" s="73">
        <f t="shared" si="6"/>
        <v>2023</v>
      </c>
      <c r="K71" s="78">
        <f t="shared" si="25"/>
        <v>45231</v>
      </c>
    </row>
    <row r="72" spans="2:11" outlineLevel="1">
      <c r="B72" s="82">
        <f t="shared" si="5"/>
        <v>45261</v>
      </c>
      <c r="C72" s="79">
        <v>1266696.5710103661</v>
      </c>
      <c r="D72" s="80">
        <f>IF(F72&lt;&gt;0,VLOOKUP($J72,'Table 1'!$B$13:$C$33,2,FALSE)/12*1000*Study_MW,0)</f>
        <v>0</v>
      </c>
      <c r="E72" s="80">
        <f t="shared" si="23"/>
        <v>1266696.5710103661</v>
      </c>
      <c r="F72" s="79">
        <v>74400</v>
      </c>
      <c r="G72" s="81">
        <f t="shared" si="18"/>
        <v>17.025491545838253</v>
      </c>
      <c r="I72" s="64">
        <f t="shared" si="24"/>
        <v>64</v>
      </c>
      <c r="J72" s="73">
        <f t="shared" si="6"/>
        <v>2023</v>
      </c>
      <c r="K72" s="82">
        <f t="shared" si="25"/>
        <v>45261</v>
      </c>
    </row>
    <row r="73" spans="2:11" outlineLevel="1">
      <c r="B73" s="74">
        <f t="shared" si="5"/>
        <v>45292</v>
      </c>
      <c r="C73" s="69">
        <v>1338465.9547423571</v>
      </c>
      <c r="D73" s="70">
        <f>IF(F73&lt;&gt;0,VLOOKUP($J73,'Table 1'!$B$13:$C$33,2,FALSE)/12*1000*Study_MW,0)</f>
        <v>0</v>
      </c>
      <c r="E73" s="70">
        <f t="shared" si="23"/>
        <v>1338465.9547423571</v>
      </c>
      <c r="F73" s="69">
        <v>74400</v>
      </c>
      <c r="G73" s="72">
        <f t="shared" si="18"/>
        <v>17.990133800300498</v>
      </c>
      <c r="I73" s="60">
        <f>I61+13</f>
        <v>66</v>
      </c>
      <c r="J73" s="73">
        <f t="shared" si="6"/>
        <v>2024</v>
      </c>
      <c r="K73" s="74">
        <f t="shared" si="25"/>
        <v>45292</v>
      </c>
    </row>
    <row r="74" spans="2:11" outlineLevel="1">
      <c r="B74" s="78">
        <f t="shared" si="5"/>
        <v>45323</v>
      </c>
      <c r="C74" s="75">
        <v>1292535.2157137543</v>
      </c>
      <c r="D74" s="71">
        <f>IF(F74&lt;&gt;0,VLOOKUP($J74,'Table 1'!$B$13:$C$33,2,FALSE)/12*1000*Study_MW,0)</f>
        <v>0</v>
      </c>
      <c r="E74" s="71">
        <f t="shared" si="23"/>
        <v>1292535.2157137543</v>
      </c>
      <c r="F74" s="75">
        <v>69600</v>
      </c>
      <c r="G74" s="76">
        <f t="shared" si="18"/>
        <v>18.570908271749342</v>
      </c>
      <c r="I74" s="77">
        <f t="shared" si="24"/>
        <v>67</v>
      </c>
      <c r="J74" s="73">
        <f t="shared" si="6"/>
        <v>2024</v>
      </c>
      <c r="K74" s="78">
        <f t="shared" si="25"/>
        <v>45323</v>
      </c>
    </row>
    <row r="75" spans="2:11" outlineLevel="1">
      <c r="B75" s="78">
        <f t="shared" si="5"/>
        <v>45352</v>
      </c>
      <c r="C75" s="75">
        <v>1563855.2997466475</v>
      </c>
      <c r="D75" s="71">
        <f>IF(F75&lt;&gt;0,VLOOKUP($J75,'Table 1'!$B$13:$C$33,2,FALSE)/12*1000*Study_MW,0)</f>
        <v>0</v>
      </c>
      <c r="E75" s="71">
        <f t="shared" si="23"/>
        <v>1563855.2997466475</v>
      </c>
      <c r="F75" s="75">
        <v>74400</v>
      </c>
      <c r="G75" s="76">
        <f t="shared" si="18"/>
        <v>21.019560480465692</v>
      </c>
      <c r="I75" s="77">
        <f t="shared" si="24"/>
        <v>68</v>
      </c>
      <c r="J75" s="73">
        <f t="shared" si="6"/>
        <v>2024</v>
      </c>
      <c r="K75" s="78">
        <f t="shared" si="25"/>
        <v>45352</v>
      </c>
    </row>
    <row r="76" spans="2:11" outlineLevel="1">
      <c r="B76" s="78">
        <f t="shared" si="5"/>
        <v>45383</v>
      </c>
      <c r="C76" s="75">
        <v>1301490.9843786657</v>
      </c>
      <c r="D76" s="71">
        <f>IF(F76&lt;&gt;0,VLOOKUP($J76,'Table 1'!$B$13:$C$33,2,FALSE)/12*1000*Study_MW,0)</f>
        <v>0</v>
      </c>
      <c r="E76" s="71">
        <f t="shared" si="23"/>
        <v>1301490.9843786657</v>
      </c>
      <c r="F76" s="75">
        <v>72000</v>
      </c>
      <c r="G76" s="76">
        <f t="shared" si="18"/>
        <v>18.076263671925911</v>
      </c>
      <c r="I76" s="77">
        <f t="shared" si="24"/>
        <v>69</v>
      </c>
      <c r="J76" s="73">
        <f t="shared" si="6"/>
        <v>2024</v>
      </c>
      <c r="K76" s="78">
        <f t="shared" si="25"/>
        <v>45383</v>
      </c>
    </row>
    <row r="77" spans="2:11" outlineLevel="1">
      <c r="B77" s="78">
        <f t="shared" si="5"/>
        <v>45413</v>
      </c>
      <c r="C77" s="75">
        <v>1362873.9257354885</v>
      </c>
      <c r="D77" s="71">
        <f>IF(F77&lt;&gt;0,VLOOKUP($J77,'Table 1'!$B$13:$C$33,2,FALSE)/12*1000*Study_MW,0)</f>
        <v>0</v>
      </c>
      <c r="E77" s="71">
        <f t="shared" si="23"/>
        <v>1362873.9257354885</v>
      </c>
      <c r="F77" s="75">
        <v>74400</v>
      </c>
      <c r="G77" s="76">
        <f t="shared" si="18"/>
        <v>18.318197926552266</v>
      </c>
      <c r="I77" s="77">
        <f t="shared" si="24"/>
        <v>70</v>
      </c>
      <c r="J77" s="73">
        <f t="shared" si="6"/>
        <v>2024</v>
      </c>
      <c r="K77" s="78">
        <f t="shared" si="25"/>
        <v>45413</v>
      </c>
    </row>
    <row r="78" spans="2:11" outlineLevel="1">
      <c r="B78" s="78">
        <f t="shared" ref="B78:B141" si="42">EDATE(B77,1)</f>
        <v>45444</v>
      </c>
      <c r="C78" s="75">
        <v>1413173.8452625871</v>
      </c>
      <c r="D78" s="71">
        <f>IF(F78&lt;&gt;0,VLOOKUP($J78,'Table 1'!$B$13:$C$33,2,FALSE)/12*1000*Study_MW,0)</f>
        <v>0</v>
      </c>
      <c r="E78" s="71">
        <f t="shared" ref="E78:E141" si="43">C78+D78</f>
        <v>1413173.8452625871</v>
      </c>
      <c r="F78" s="75">
        <v>72000</v>
      </c>
      <c r="G78" s="76">
        <f t="shared" ref="G78:G141" si="44">IF(ISNUMBER($F78),E78/$F78,"")</f>
        <v>19.627414517535932</v>
      </c>
      <c r="I78" s="77">
        <f t="shared" si="24"/>
        <v>71</v>
      </c>
      <c r="J78" s="73">
        <f t="shared" ref="J78:J141" si="45">YEAR(B78)</f>
        <v>2024</v>
      </c>
      <c r="K78" s="78">
        <f t="shared" si="25"/>
        <v>45444</v>
      </c>
    </row>
    <row r="79" spans="2:11" outlineLevel="1">
      <c r="B79" s="78">
        <f t="shared" si="42"/>
        <v>45474</v>
      </c>
      <c r="C79" s="75">
        <v>2673534.3070568144</v>
      </c>
      <c r="D79" s="71">
        <f>IF(F79&lt;&gt;0,VLOOKUP($J79,'Table 1'!$B$13:$C$33,2,FALSE)/12*1000*Study_MW,0)</f>
        <v>0</v>
      </c>
      <c r="E79" s="71">
        <f t="shared" si="43"/>
        <v>2673534.3070568144</v>
      </c>
      <c r="F79" s="75">
        <v>74400</v>
      </c>
      <c r="G79" s="76">
        <f t="shared" si="44"/>
        <v>35.934600901301266</v>
      </c>
      <c r="I79" s="77">
        <f t="shared" si="24"/>
        <v>72</v>
      </c>
      <c r="J79" s="73">
        <f t="shared" si="45"/>
        <v>2024</v>
      </c>
      <c r="K79" s="78">
        <f t="shared" si="25"/>
        <v>45474</v>
      </c>
    </row>
    <row r="80" spans="2:11" outlineLevel="1">
      <c r="B80" s="78">
        <f t="shared" si="42"/>
        <v>45505</v>
      </c>
      <c r="C80" s="75">
        <v>2396599.2520919442</v>
      </c>
      <c r="D80" s="71">
        <f>IF(F80&lt;&gt;0,VLOOKUP($J80,'Table 1'!$B$13:$C$33,2,FALSE)/12*1000*Study_MW,0)</f>
        <v>0</v>
      </c>
      <c r="E80" s="71">
        <f t="shared" si="43"/>
        <v>2396599.2520919442</v>
      </c>
      <c r="F80" s="75">
        <v>74400</v>
      </c>
      <c r="G80" s="76">
        <f t="shared" si="44"/>
        <v>32.21235553887022</v>
      </c>
      <c r="I80" s="77">
        <f t="shared" si="24"/>
        <v>73</v>
      </c>
      <c r="J80" s="73">
        <f t="shared" si="45"/>
        <v>2024</v>
      </c>
      <c r="K80" s="78">
        <f t="shared" si="25"/>
        <v>45505</v>
      </c>
    </row>
    <row r="81" spans="2:11" outlineLevel="1">
      <c r="B81" s="78">
        <f t="shared" si="42"/>
        <v>45536</v>
      </c>
      <c r="C81" s="75">
        <v>1452540.2286818027</v>
      </c>
      <c r="D81" s="71">
        <f>IF(F81&lt;&gt;0,VLOOKUP($J81,'Table 1'!$B$13:$C$33,2,FALSE)/12*1000*Study_MW,0)</f>
        <v>0</v>
      </c>
      <c r="E81" s="71">
        <f t="shared" si="43"/>
        <v>1452540.2286818027</v>
      </c>
      <c r="F81" s="75">
        <v>72000</v>
      </c>
      <c r="G81" s="76">
        <f t="shared" si="44"/>
        <v>20.174169842802815</v>
      </c>
      <c r="I81" s="77">
        <f t="shared" si="24"/>
        <v>74</v>
      </c>
      <c r="J81" s="73">
        <f t="shared" si="45"/>
        <v>2024</v>
      </c>
      <c r="K81" s="78">
        <f t="shared" si="25"/>
        <v>45536</v>
      </c>
    </row>
    <row r="82" spans="2:11" outlineLevel="1">
      <c r="B82" s="78">
        <f t="shared" si="42"/>
        <v>45566</v>
      </c>
      <c r="C82" s="75">
        <v>1318410.8103237301</v>
      </c>
      <c r="D82" s="71">
        <f>IF(F82&lt;&gt;0,VLOOKUP($J82,'Table 1'!$B$13:$C$33,2,FALSE)/12*1000*Study_MW,0)</f>
        <v>0</v>
      </c>
      <c r="E82" s="71">
        <f t="shared" si="43"/>
        <v>1318410.8103237301</v>
      </c>
      <c r="F82" s="75">
        <v>74400</v>
      </c>
      <c r="G82" s="76">
        <f t="shared" si="44"/>
        <v>17.720575407577016</v>
      </c>
      <c r="I82" s="77">
        <f t="shared" si="24"/>
        <v>75</v>
      </c>
      <c r="J82" s="73">
        <f t="shared" si="45"/>
        <v>2024</v>
      </c>
      <c r="K82" s="78">
        <f t="shared" si="25"/>
        <v>45566</v>
      </c>
    </row>
    <row r="83" spans="2:11" outlineLevel="1">
      <c r="B83" s="78">
        <f t="shared" si="42"/>
        <v>45597</v>
      </c>
      <c r="C83" s="75">
        <v>1386611.1479933411</v>
      </c>
      <c r="D83" s="71">
        <f>IF(F83&lt;&gt;0,VLOOKUP($J83,'Table 1'!$B$13:$C$33,2,FALSE)/12*1000*Study_MW,0)</f>
        <v>0</v>
      </c>
      <c r="E83" s="71">
        <f t="shared" si="43"/>
        <v>1386611.1479933411</v>
      </c>
      <c r="F83" s="75">
        <v>72000</v>
      </c>
      <c r="G83" s="76">
        <f t="shared" si="44"/>
        <v>19.258488166574182</v>
      </c>
      <c r="I83" s="77">
        <f t="shared" si="24"/>
        <v>76</v>
      </c>
      <c r="J83" s="73">
        <f t="shared" si="45"/>
        <v>2024</v>
      </c>
      <c r="K83" s="78">
        <f t="shared" si="25"/>
        <v>45597</v>
      </c>
    </row>
    <row r="84" spans="2:11" outlineLevel="1">
      <c r="B84" s="82">
        <f t="shared" si="42"/>
        <v>45627</v>
      </c>
      <c r="C84" s="79">
        <v>1410235.3217279762</v>
      </c>
      <c r="D84" s="80">
        <f>IF(F84&lt;&gt;0,VLOOKUP($J84,'Table 1'!$B$13:$C$33,2,FALSE)/12*1000*Study_MW,0)</f>
        <v>0</v>
      </c>
      <c r="E84" s="80">
        <f t="shared" si="43"/>
        <v>1410235.3217279762</v>
      </c>
      <c r="F84" s="79">
        <v>74400</v>
      </c>
      <c r="G84" s="81">
        <f t="shared" si="44"/>
        <v>18.9547758296771</v>
      </c>
      <c r="I84" s="64">
        <f t="shared" si="24"/>
        <v>77</v>
      </c>
      <c r="J84" s="73">
        <f t="shared" si="45"/>
        <v>2024</v>
      </c>
      <c r="K84" s="82">
        <f t="shared" si="25"/>
        <v>45627</v>
      </c>
    </row>
    <row r="85" spans="2:11" outlineLevel="1">
      <c r="B85" s="74">
        <f t="shared" si="42"/>
        <v>45658</v>
      </c>
      <c r="C85" s="69">
        <v>1492276.0786570609</v>
      </c>
      <c r="D85" s="70">
        <f>IF(F85&lt;&gt;0,VLOOKUP($J85,'Table 1'!$B$13:$C$33,2,FALSE)/12*1000*Study_MW,0)</f>
        <v>0</v>
      </c>
      <c r="E85" s="70">
        <f t="shared" si="43"/>
        <v>1492276.0786570609</v>
      </c>
      <c r="F85" s="69">
        <v>74400</v>
      </c>
      <c r="G85" s="72">
        <f t="shared" si="44"/>
        <v>20.057474175498129</v>
      </c>
      <c r="I85" s="60">
        <f>I73+13</f>
        <v>79</v>
      </c>
      <c r="J85" s="73">
        <f t="shared" si="45"/>
        <v>2025</v>
      </c>
      <c r="K85" s="74">
        <f t="shared" si="25"/>
        <v>45658</v>
      </c>
    </row>
    <row r="86" spans="2:11" outlineLevel="1">
      <c r="B86" s="78">
        <f t="shared" si="42"/>
        <v>45689</v>
      </c>
      <c r="C86" s="75">
        <v>1460264.2081616074</v>
      </c>
      <c r="D86" s="71">
        <f>IF(F86&lt;&gt;0,VLOOKUP($J86,'Table 1'!$B$13:$C$33,2,FALSE)/12*1000*Study_MW,0)</f>
        <v>0</v>
      </c>
      <c r="E86" s="71">
        <f t="shared" si="43"/>
        <v>1460264.2081616074</v>
      </c>
      <c r="F86" s="75">
        <v>67200</v>
      </c>
      <c r="G86" s="76">
        <f t="shared" si="44"/>
        <v>21.730122145262015</v>
      </c>
      <c r="I86" s="77">
        <f t="shared" si="24"/>
        <v>80</v>
      </c>
      <c r="J86" s="73">
        <f t="shared" si="45"/>
        <v>2025</v>
      </c>
      <c r="K86" s="78">
        <f t="shared" si="25"/>
        <v>45689</v>
      </c>
    </row>
    <row r="87" spans="2:11" outlineLevel="1">
      <c r="B87" s="78">
        <f t="shared" si="42"/>
        <v>45717</v>
      </c>
      <c r="C87" s="75">
        <v>1696238.2324472815</v>
      </c>
      <c r="D87" s="71">
        <f>IF(F87&lt;&gt;0,VLOOKUP($J87,'Table 1'!$B$13:$C$33,2,FALSE)/12*1000*Study_MW,0)</f>
        <v>0</v>
      </c>
      <c r="E87" s="71">
        <f t="shared" si="43"/>
        <v>1696238.2324472815</v>
      </c>
      <c r="F87" s="75">
        <v>74400</v>
      </c>
      <c r="G87" s="76">
        <f t="shared" si="44"/>
        <v>22.798900973753785</v>
      </c>
      <c r="I87" s="77">
        <f t="shared" si="24"/>
        <v>81</v>
      </c>
      <c r="J87" s="73">
        <f t="shared" si="45"/>
        <v>2025</v>
      </c>
      <c r="K87" s="78">
        <f t="shared" si="25"/>
        <v>45717</v>
      </c>
    </row>
    <row r="88" spans="2:11" outlineLevel="1">
      <c r="B88" s="78">
        <f t="shared" si="42"/>
        <v>45748</v>
      </c>
      <c r="C88" s="75">
        <v>1544212.2677020133</v>
      </c>
      <c r="D88" s="71">
        <f>IF(F88&lt;&gt;0,VLOOKUP($J88,'Table 1'!$B$13:$C$33,2,FALSE)/12*1000*Study_MW,0)</f>
        <v>0</v>
      </c>
      <c r="E88" s="71">
        <f t="shared" si="43"/>
        <v>1544212.2677020133</v>
      </c>
      <c r="F88" s="75">
        <v>72000</v>
      </c>
      <c r="G88" s="76">
        <f t="shared" si="44"/>
        <v>21.447392606972407</v>
      </c>
      <c r="I88" s="77">
        <f t="shared" si="24"/>
        <v>82</v>
      </c>
      <c r="J88" s="73">
        <f t="shared" si="45"/>
        <v>2025</v>
      </c>
      <c r="K88" s="78">
        <f t="shared" si="25"/>
        <v>45748</v>
      </c>
    </row>
    <row r="89" spans="2:11" outlineLevel="1">
      <c r="B89" s="78">
        <f t="shared" si="42"/>
        <v>45778</v>
      </c>
      <c r="C89" s="75">
        <v>1469043.9743330479</v>
      </c>
      <c r="D89" s="71">
        <f>IF(F89&lt;&gt;0,VLOOKUP($J89,'Table 1'!$B$13:$C$33,2,FALSE)/12*1000*Study_MW,0)</f>
        <v>0</v>
      </c>
      <c r="E89" s="71">
        <f t="shared" si="43"/>
        <v>1469043.9743330479</v>
      </c>
      <c r="F89" s="75">
        <v>74400</v>
      </c>
      <c r="G89" s="76">
        <f t="shared" si="44"/>
        <v>19.745214708777524</v>
      </c>
      <c r="I89" s="77">
        <f t="shared" si="24"/>
        <v>83</v>
      </c>
      <c r="J89" s="73">
        <f t="shared" si="45"/>
        <v>2025</v>
      </c>
      <c r="K89" s="78">
        <f t="shared" si="25"/>
        <v>45778</v>
      </c>
    </row>
    <row r="90" spans="2:11" outlineLevel="1">
      <c r="B90" s="78">
        <f t="shared" si="42"/>
        <v>45809</v>
      </c>
      <c r="C90" s="75">
        <v>1542894.7660635561</v>
      </c>
      <c r="D90" s="71">
        <f>IF(F90&lt;&gt;0,VLOOKUP($J90,'Table 1'!$B$13:$C$33,2,FALSE)/12*1000*Study_MW,0)</f>
        <v>0</v>
      </c>
      <c r="E90" s="71">
        <f t="shared" si="43"/>
        <v>1542894.7660635561</v>
      </c>
      <c r="F90" s="75">
        <v>72000</v>
      </c>
      <c r="G90" s="76">
        <f t="shared" si="44"/>
        <v>21.429093973104944</v>
      </c>
      <c r="I90" s="77">
        <f t="shared" ref="I90:I96" si="46">I78+13</f>
        <v>84</v>
      </c>
      <c r="J90" s="73">
        <f t="shared" si="45"/>
        <v>2025</v>
      </c>
      <c r="K90" s="78">
        <f t="shared" ref="K90:K153" si="47">IF(ISNUMBER(F90),IF(F90&lt;&gt;0,B90,""),"")</f>
        <v>45809</v>
      </c>
    </row>
    <row r="91" spans="2:11" outlineLevel="1">
      <c r="B91" s="78">
        <f t="shared" si="42"/>
        <v>45839</v>
      </c>
      <c r="C91" s="75">
        <v>2815477.1718038023</v>
      </c>
      <c r="D91" s="71">
        <f>IF(F91&lt;&gt;0,VLOOKUP($J91,'Table 1'!$B$13:$C$33,2,FALSE)/12*1000*Study_MW,0)</f>
        <v>0</v>
      </c>
      <c r="E91" s="71">
        <f t="shared" si="43"/>
        <v>2815477.1718038023</v>
      </c>
      <c r="F91" s="75">
        <v>74400</v>
      </c>
      <c r="G91" s="76">
        <f t="shared" si="44"/>
        <v>37.842435104889816</v>
      </c>
      <c r="I91" s="77">
        <f t="shared" si="46"/>
        <v>85</v>
      </c>
      <c r="J91" s="73">
        <f t="shared" si="45"/>
        <v>2025</v>
      </c>
      <c r="K91" s="78">
        <f t="shared" si="47"/>
        <v>45839</v>
      </c>
    </row>
    <row r="92" spans="2:11" outlineLevel="1">
      <c r="B92" s="78">
        <f t="shared" si="42"/>
        <v>45870</v>
      </c>
      <c r="C92" s="75">
        <v>2856545.8987264633</v>
      </c>
      <c r="D92" s="71">
        <f>IF(F92&lt;&gt;0,VLOOKUP($J92,'Table 1'!$B$13:$C$33,2,FALSE)/12*1000*Study_MW,0)</f>
        <v>0</v>
      </c>
      <c r="E92" s="71">
        <f t="shared" si="43"/>
        <v>2856545.8987264633</v>
      </c>
      <c r="F92" s="75">
        <v>74400</v>
      </c>
      <c r="G92" s="76">
        <f t="shared" si="44"/>
        <v>38.394434122667519</v>
      </c>
      <c r="I92" s="77">
        <f t="shared" si="46"/>
        <v>86</v>
      </c>
      <c r="J92" s="73">
        <f t="shared" si="45"/>
        <v>2025</v>
      </c>
      <c r="K92" s="78">
        <f t="shared" si="47"/>
        <v>45870</v>
      </c>
    </row>
    <row r="93" spans="2:11" outlineLevel="1">
      <c r="B93" s="78">
        <f t="shared" si="42"/>
        <v>45901</v>
      </c>
      <c r="C93" s="75">
        <v>1607628.6430065185</v>
      </c>
      <c r="D93" s="71">
        <f>IF(F93&lt;&gt;0,VLOOKUP($J93,'Table 1'!$B$13:$C$33,2,FALSE)/12*1000*Study_MW,0)</f>
        <v>0</v>
      </c>
      <c r="E93" s="71">
        <f t="shared" si="43"/>
        <v>1607628.6430065185</v>
      </c>
      <c r="F93" s="75">
        <v>72000</v>
      </c>
      <c r="G93" s="76">
        <f t="shared" si="44"/>
        <v>22.328175597312757</v>
      </c>
      <c r="I93" s="77">
        <f t="shared" si="46"/>
        <v>87</v>
      </c>
      <c r="J93" s="73">
        <f t="shared" si="45"/>
        <v>2025</v>
      </c>
      <c r="K93" s="78">
        <f t="shared" si="47"/>
        <v>45901</v>
      </c>
    </row>
    <row r="94" spans="2:11" outlineLevel="1">
      <c r="B94" s="78">
        <f t="shared" si="42"/>
        <v>45931</v>
      </c>
      <c r="C94" s="75">
        <v>1695798.577318415</v>
      </c>
      <c r="D94" s="71">
        <f>IF(F94&lt;&gt;0,VLOOKUP($J94,'Table 1'!$B$13:$C$33,2,FALSE)/12*1000*Study_MW,0)</f>
        <v>0</v>
      </c>
      <c r="E94" s="71">
        <f t="shared" si="43"/>
        <v>1695798.577318415</v>
      </c>
      <c r="F94" s="75">
        <v>74400</v>
      </c>
      <c r="G94" s="76">
        <f t="shared" si="44"/>
        <v>22.79299163062386</v>
      </c>
      <c r="I94" s="77">
        <f t="shared" si="46"/>
        <v>88</v>
      </c>
      <c r="J94" s="73">
        <f t="shared" si="45"/>
        <v>2025</v>
      </c>
      <c r="K94" s="78">
        <f t="shared" si="47"/>
        <v>45931</v>
      </c>
    </row>
    <row r="95" spans="2:11" outlineLevel="1">
      <c r="B95" s="78">
        <f t="shared" si="42"/>
        <v>45962</v>
      </c>
      <c r="C95" s="75">
        <v>1483443.9673050195</v>
      </c>
      <c r="D95" s="71">
        <f>IF(F95&lt;&gt;0,VLOOKUP($J95,'Table 1'!$B$13:$C$33,2,FALSE)/12*1000*Study_MW,0)</f>
        <v>0</v>
      </c>
      <c r="E95" s="71">
        <f t="shared" si="43"/>
        <v>1483443.9673050195</v>
      </c>
      <c r="F95" s="75">
        <v>72000</v>
      </c>
      <c r="G95" s="76">
        <f t="shared" si="44"/>
        <v>20.603388434791938</v>
      </c>
      <c r="I95" s="77">
        <f t="shared" si="46"/>
        <v>89</v>
      </c>
      <c r="J95" s="73">
        <f t="shared" si="45"/>
        <v>2025</v>
      </c>
      <c r="K95" s="78">
        <f t="shared" si="47"/>
        <v>45962</v>
      </c>
    </row>
    <row r="96" spans="2:11" outlineLevel="1">
      <c r="B96" s="82">
        <f t="shared" si="42"/>
        <v>45992</v>
      </c>
      <c r="C96" s="79">
        <v>1502235.2972027361</v>
      </c>
      <c r="D96" s="80">
        <f>IF(F96&lt;&gt;0,VLOOKUP($J96,'Table 1'!$B$13:$C$33,2,FALSE)/12*1000*Study_MW,0)</f>
        <v>0</v>
      </c>
      <c r="E96" s="80">
        <f t="shared" si="43"/>
        <v>1502235.2972027361</v>
      </c>
      <c r="F96" s="79">
        <v>74400</v>
      </c>
      <c r="G96" s="81">
        <f t="shared" si="44"/>
        <v>20.191334639821722</v>
      </c>
      <c r="I96" s="64">
        <f t="shared" si="46"/>
        <v>90</v>
      </c>
      <c r="J96" s="73">
        <f t="shared" si="45"/>
        <v>2025</v>
      </c>
      <c r="K96" s="82">
        <f t="shared" si="47"/>
        <v>45992</v>
      </c>
    </row>
    <row r="97" spans="2:11" outlineLevel="1">
      <c r="B97" s="74">
        <f t="shared" si="42"/>
        <v>46023</v>
      </c>
      <c r="C97" s="69">
        <v>1987033.11750485</v>
      </c>
      <c r="D97" s="70">
        <f>IF(F97&lt;&gt;0,VLOOKUP($J97,'Table 1'!$B$13:$C$33,2,FALSE)/12*1000*Study_MW,0)</f>
        <v>0</v>
      </c>
      <c r="E97" s="70">
        <f t="shared" si="43"/>
        <v>1987033.11750485</v>
      </c>
      <c r="F97" s="69">
        <v>74400</v>
      </c>
      <c r="G97" s="72">
        <f t="shared" si="44"/>
        <v>26.707434375065187</v>
      </c>
      <c r="I97" s="60">
        <f>I85+13</f>
        <v>92</v>
      </c>
      <c r="J97" s="73">
        <f t="shared" si="45"/>
        <v>2026</v>
      </c>
      <c r="K97" s="74">
        <f t="shared" si="47"/>
        <v>46023</v>
      </c>
    </row>
    <row r="98" spans="2:11" outlineLevel="1">
      <c r="B98" s="78">
        <f t="shared" si="42"/>
        <v>46054</v>
      </c>
      <c r="C98" s="75">
        <v>1798878.7631670386</v>
      </c>
      <c r="D98" s="71">
        <f>IF(F98&lt;&gt;0,VLOOKUP($J98,'Table 1'!$B$13:$C$33,2,FALSE)/12*1000*Study_MW,0)</f>
        <v>0</v>
      </c>
      <c r="E98" s="71">
        <f t="shared" si="43"/>
        <v>1798878.7631670386</v>
      </c>
      <c r="F98" s="75">
        <v>67200</v>
      </c>
      <c r="G98" s="76">
        <f t="shared" si="44"/>
        <v>26.769029213795218</v>
      </c>
      <c r="I98" s="77">
        <f t="shared" ref="I98:I120" si="48">I86+13</f>
        <v>93</v>
      </c>
      <c r="J98" s="73">
        <f t="shared" si="45"/>
        <v>2026</v>
      </c>
      <c r="K98" s="78">
        <f t="shared" si="47"/>
        <v>46054</v>
      </c>
    </row>
    <row r="99" spans="2:11" outlineLevel="1">
      <c r="B99" s="78">
        <f t="shared" si="42"/>
        <v>46082</v>
      </c>
      <c r="C99" s="75">
        <v>1740021.8618779778</v>
      </c>
      <c r="D99" s="71">
        <f>IF(F99&lt;&gt;0,VLOOKUP($J99,'Table 1'!$B$13:$C$33,2,FALSE)/12*1000*Study_MW,0)</f>
        <v>0</v>
      </c>
      <c r="E99" s="71">
        <f t="shared" si="43"/>
        <v>1740021.8618779778</v>
      </c>
      <c r="F99" s="75">
        <v>74400</v>
      </c>
      <c r="G99" s="76">
        <f t="shared" si="44"/>
        <v>23.387390616639486</v>
      </c>
      <c r="I99" s="77">
        <f t="shared" si="48"/>
        <v>94</v>
      </c>
      <c r="J99" s="73">
        <f t="shared" si="45"/>
        <v>2026</v>
      </c>
      <c r="K99" s="78">
        <f t="shared" si="47"/>
        <v>46082</v>
      </c>
    </row>
    <row r="100" spans="2:11" outlineLevel="1">
      <c r="B100" s="78">
        <f t="shared" si="42"/>
        <v>46113</v>
      </c>
      <c r="C100" s="75">
        <v>1710911.9701223969</v>
      </c>
      <c r="D100" s="71">
        <f>IF(F100&lt;&gt;0,VLOOKUP($J100,'Table 1'!$B$13:$C$33,2,FALSE)/12*1000*Study_MW,0)</f>
        <v>0</v>
      </c>
      <c r="E100" s="71">
        <f t="shared" si="43"/>
        <v>1710911.9701223969</v>
      </c>
      <c r="F100" s="75">
        <v>72000</v>
      </c>
      <c r="G100" s="76">
        <f t="shared" si="44"/>
        <v>23.762666251699958</v>
      </c>
      <c r="I100" s="77">
        <f t="shared" si="48"/>
        <v>95</v>
      </c>
      <c r="J100" s="73">
        <f t="shared" si="45"/>
        <v>2026</v>
      </c>
      <c r="K100" s="78">
        <f t="shared" si="47"/>
        <v>46113</v>
      </c>
    </row>
    <row r="101" spans="2:11" outlineLevel="1">
      <c r="B101" s="78">
        <f t="shared" si="42"/>
        <v>46143</v>
      </c>
      <c r="C101" s="75">
        <v>1725734.4063227624</v>
      </c>
      <c r="D101" s="71">
        <f>IF(F101&lt;&gt;0,VLOOKUP($J101,'Table 1'!$B$13:$C$33,2,FALSE)/12*1000*Study_MW,0)</f>
        <v>0</v>
      </c>
      <c r="E101" s="71">
        <f t="shared" si="43"/>
        <v>1725734.4063227624</v>
      </c>
      <c r="F101" s="75">
        <v>74400</v>
      </c>
      <c r="G101" s="76">
        <f t="shared" si="44"/>
        <v>23.195354923693042</v>
      </c>
      <c r="I101" s="77">
        <f t="shared" si="48"/>
        <v>96</v>
      </c>
      <c r="J101" s="73">
        <f t="shared" si="45"/>
        <v>2026</v>
      </c>
      <c r="K101" s="78">
        <f t="shared" si="47"/>
        <v>46143</v>
      </c>
    </row>
    <row r="102" spans="2:11" outlineLevel="1">
      <c r="B102" s="78">
        <f t="shared" si="42"/>
        <v>46174</v>
      </c>
      <c r="C102" s="75">
        <v>1913802.523494035</v>
      </c>
      <c r="D102" s="71">
        <f>IF(F102&lt;&gt;0,VLOOKUP($J102,'Table 1'!$B$13:$C$33,2,FALSE)/12*1000*Study_MW,0)</f>
        <v>0</v>
      </c>
      <c r="E102" s="71">
        <f t="shared" si="43"/>
        <v>1913802.523494035</v>
      </c>
      <c r="F102" s="75">
        <v>72000</v>
      </c>
      <c r="G102" s="76">
        <f t="shared" si="44"/>
        <v>26.58059060408382</v>
      </c>
      <c r="I102" s="77">
        <f t="shared" si="48"/>
        <v>97</v>
      </c>
      <c r="J102" s="73">
        <f t="shared" si="45"/>
        <v>2026</v>
      </c>
      <c r="K102" s="78">
        <f t="shared" si="47"/>
        <v>46174</v>
      </c>
    </row>
    <row r="103" spans="2:11" outlineLevel="1">
      <c r="B103" s="78">
        <f t="shared" si="42"/>
        <v>46204</v>
      </c>
      <c r="C103" s="75">
        <v>3419788.2511845827</v>
      </c>
      <c r="D103" s="71">
        <f>IF(F103&lt;&gt;0,VLOOKUP($J103,'Table 1'!$B$13:$C$33,2,FALSE)/12*1000*Study_MW,0)</f>
        <v>0</v>
      </c>
      <c r="E103" s="71">
        <f t="shared" si="43"/>
        <v>3419788.2511845827</v>
      </c>
      <c r="F103" s="75">
        <v>74400</v>
      </c>
      <c r="G103" s="76">
        <f t="shared" si="44"/>
        <v>45.964895849255143</v>
      </c>
      <c r="I103" s="77">
        <f t="shared" si="48"/>
        <v>98</v>
      </c>
      <c r="J103" s="73">
        <f t="shared" si="45"/>
        <v>2026</v>
      </c>
      <c r="K103" s="78">
        <f t="shared" si="47"/>
        <v>46204</v>
      </c>
    </row>
    <row r="104" spans="2:11" outlineLevel="1">
      <c r="B104" s="78">
        <f t="shared" si="42"/>
        <v>46235</v>
      </c>
      <c r="C104" s="75">
        <v>3117550.3252526224</v>
      </c>
      <c r="D104" s="71">
        <f>IF(F104&lt;&gt;0,VLOOKUP($J104,'Table 1'!$B$13:$C$33,2,FALSE)/12*1000*Study_MW,0)</f>
        <v>0</v>
      </c>
      <c r="E104" s="71">
        <f t="shared" si="43"/>
        <v>3117550.3252526224</v>
      </c>
      <c r="F104" s="75">
        <v>74400</v>
      </c>
      <c r="G104" s="76">
        <f t="shared" si="44"/>
        <v>41.902558135115889</v>
      </c>
      <c r="I104" s="77">
        <f t="shared" si="48"/>
        <v>99</v>
      </c>
      <c r="J104" s="73">
        <f t="shared" si="45"/>
        <v>2026</v>
      </c>
      <c r="K104" s="78">
        <f t="shared" si="47"/>
        <v>46235</v>
      </c>
    </row>
    <row r="105" spans="2:11" outlineLevel="1">
      <c r="B105" s="78">
        <f t="shared" si="42"/>
        <v>46266</v>
      </c>
      <c r="C105" s="75">
        <v>1905984.0685848147</v>
      </c>
      <c r="D105" s="71">
        <f>IF(F105&lt;&gt;0,VLOOKUP($J105,'Table 1'!$B$13:$C$33,2,FALSE)/12*1000*Study_MW,0)</f>
        <v>0</v>
      </c>
      <c r="E105" s="71">
        <f t="shared" si="43"/>
        <v>1905984.0685848147</v>
      </c>
      <c r="F105" s="75">
        <v>72000</v>
      </c>
      <c r="G105" s="76">
        <f t="shared" si="44"/>
        <v>26.472000952566869</v>
      </c>
      <c r="I105" s="77">
        <f t="shared" si="48"/>
        <v>100</v>
      </c>
      <c r="J105" s="73">
        <f t="shared" si="45"/>
        <v>2026</v>
      </c>
      <c r="K105" s="78">
        <f t="shared" si="47"/>
        <v>46266</v>
      </c>
    </row>
    <row r="106" spans="2:11" outlineLevel="1">
      <c r="B106" s="78">
        <f t="shared" si="42"/>
        <v>46296</v>
      </c>
      <c r="C106" s="75">
        <v>1902082.4226490408</v>
      </c>
      <c r="D106" s="71">
        <f>IF(F106&lt;&gt;0,VLOOKUP($J106,'Table 1'!$B$13:$C$33,2,FALSE)/12*1000*Study_MW,0)</f>
        <v>0</v>
      </c>
      <c r="E106" s="71">
        <f t="shared" si="43"/>
        <v>1902082.4226490408</v>
      </c>
      <c r="F106" s="75">
        <v>74400</v>
      </c>
      <c r="G106" s="76">
        <f t="shared" si="44"/>
        <v>25.56562396033657</v>
      </c>
      <c r="I106" s="77">
        <f t="shared" si="48"/>
        <v>101</v>
      </c>
      <c r="J106" s="73">
        <f t="shared" si="45"/>
        <v>2026</v>
      </c>
      <c r="K106" s="78">
        <f t="shared" si="47"/>
        <v>46296</v>
      </c>
    </row>
    <row r="107" spans="2:11" outlineLevel="1">
      <c r="B107" s="78">
        <f t="shared" si="42"/>
        <v>46327</v>
      </c>
      <c r="C107" s="75">
        <v>1876898.3539635688</v>
      </c>
      <c r="D107" s="71">
        <f>IF(F107&lt;&gt;0,VLOOKUP($J107,'Table 1'!$B$13:$C$33,2,FALSE)/12*1000*Study_MW,0)</f>
        <v>0</v>
      </c>
      <c r="E107" s="71">
        <f t="shared" si="43"/>
        <v>1876898.3539635688</v>
      </c>
      <c r="F107" s="75">
        <v>72000</v>
      </c>
      <c r="G107" s="76">
        <f t="shared" si="44"/>
        <v>26.068032693938456</v>
      </c>
      <c r="I107" s="77">
        <f t="shared" si="48"/>
        <v>102</v>
      </c>
      <c r="J107" s="73">
        <f t="shared" si="45"/>
        <v>2026</v>
      </c>
      <c r="K107" s="78">
        <f t="shared" si="47"/>
        <v>46327</v>
      </c>
    </row>
    <row r="108" spans="2:11" outlineLevel="1">
      <c r="B108" s="82">
        <f t="shared" si="42"/>
        <v>46357</v>
      </c>
      <c r="C108" s="79">
        <v>1996517.1139237881</v>
      </c>
      <c r="D108" s="80">
        <f>IF(F108&lt;&gt;0,VLOOKUP($J108,'Table 1'!$B$13:$C$33,2,FALSE)/12*1000*Study_MW,0)</f>
        <v>0</v>
      </c>
      <c r="E108" s="80">
        <f t="shared" si="43"/>
        <v>1996517.1139237881</v>
      </c>
      <c r="F108" s="79">
        <v>74400</v>
      </c>
      <c r="G108" s="81">
        <f t="shared" si="44"/>
        <v>26.834907445212206</v>
      </c>
      <c r="I108" s="64">
        <f t="shared" si="48"/>
        <v>103</v>
      </c>
      <c r="J108" s="73">
        <f t="shared" si="45"/>
        <v>2026</v>
      </c>
      <c r="K108" s="82">
        <f t="shared" si="47"/>
        <v>46357</v>
      </c>
    </row>
    <row r="109" spans="2:11" outlineLevel="1">
      <c r="B109" s="74">
        <f t="shared" si="42"/>
        <v>46388</v>
      </c>
      <c r="C109" s="69">
        <v>2082731.6133842319</v>
      </c>
      <c r="D109" s="70">
        <f>IF(F109&lt;&gt;0,VLOOKUP($J109,'Table 1'!$B$13:$C$33,2,FALSE)/12*1000*Study_MW,0)</f>
        <v>0</v>
      </c>
      <c r="E109" s="70">
        <f t="shared" si="43"/>
        <v>2082731.6133842319</v>
      </c>
      <c r="F109" s="69">
        <v>74400</v>
      </c>
      <c r="G109" s="72">
        <f t="shared" si="44"/>
        <v>27.993704480970859</v>
      </c>
      <c r="I109" s="60">
        <f>I97+13</f>
        <v>105</v>
      </c>
      <c r="J109" s="73">
        <f t="shared" si="45"/>
        <v>2027</v>
      </c>
      <c r="K109" s="74">
        <f t="shared" si="47"/>
        <v>46388</v>
      </c>
    </row>
    <row r="110" spans="2:11" outlineLevel="1">
      <c r="B110" s="78">
        <f t="shared" si="42"/>
        <v>46419</v>
      </c>
      <c r="C110" s="75">
        <v>1897416.5351975262</v>
      </c>
      <c r="D110" s="71">
        <f>IF(F110&lt;&gt;0,VLOOKUP($J110,'Table 1'!$B$13:$C$33,2,FALSE)/12*1000*Study_MW,0)</f>
        <v>0</v>
      </c>
      <c r="E110" s="71">
        <f t="shared" si="43"/>
        <v>1897416.5351975262</v>
      </c>
      <c r="F110" s="75">
        <v>67200</v>
      </c>
      <c r="G110" s="76">
        <f t="shared" si="44"/>
        <v>28.235365107106045</v>
      </c>
      <c r="I110" s="77">
        <f t="shared" si="48"/>
        <v>106</v>
      </c>
      <c r="J110" s="73">
        <f t="shared" si="45"/>
        <v>2027</v>
      </c>
      <c r="K110" s="78">
        <f t="shared" si="47"/>
        <v>46419</v>
      </c>
    </row>
    <row r="111" spans="2:11" outlineLevel="1">
      <c r="B111" s="78">
        <f t="shared" si="42"/>
        <v>46447</v>
      </c>
      <c r="C111" s="75">
        <v>2007069.4036007375</v>
      </c>
      <c r="D111" s="71">
        <f>IF(F111&lt;&gt;0,VLOOKUP($J111,'Table 1'!$B$13:$C$33,2,FALSE)/12*1000*Study_MW,0)</f>
        <v>0</v>
      </c>
      <c r="E111" s="71">
        <f t="shared" si="43"/>
        <v>2007069.4036007375</v>
      </c>
      <c r="F111" s="75">
        <v>74400</v>
      </c>
      <c r="G111" s="76">
        <f t="shared" si="44"/>
        <v>26.976739295708835</v>
      </c>
      <c r="I111" s="77">
        <f t="shared" si="48"/>
        <v>107</v>
      </c>
      <c r="J111" s="73">
        <f t="shared" si="45"/>
        <v>2027</v>
      </c>
      <c r="K111" s="78">
        <f t="shared" si="47"/>
        <v>46447</v>
      </c>
    </row>
    <row r="112" spans="2:11" outlineLevel="1">
      <c r="B112" s="78">
        <f t="shared" si="42"/>
        <v>46478</v>
      </c>
      <c r="C112" s="75">
        <v>1890299.9818500131</v>
      </c>
      <c r="D112" s="71">
        <f>IF(F112&lt;&gt;0,VLOOKUP($J112,'Table 1'!$B$13:$C$33,2,FALSE)/12*1000*Study_MW,0)</f>
        <v>0</v>
      </c>
      <c r="E112" s="71">
        <f t="shared" si="43"/>
        <v>1890299.9818500131</v>
      </c>
      <c r="F112" s="75">
        <v>72000</v>
      </c>
      <c r="G112" s="76">
        <f t="shared" si="44"/>
        <v>26.254166414583516</v>
      </c>
      <c r="I112" s="77">
        <f t="shared" si="48"/>
        <v>108</v>
      </c>
      <c r="J112" s="73">
        <f t="shared" si="45"/>
        <v>2027</v>
      </c>
      <c r="K112" s="78">
        <f t="shared" si="47"/>
        <v>46478</v>
      </c>
    </row>
    <row r="113" spans="2:11" outlineLevel="1">
      <c r="B113" s="78">
        <f t="shared" si="42"/>
        <v>46508</v>
      </c>
      <c r="C113" s="75">
        <v>1756911.1861651987</v>
      </c>
      <c r="D113" s="71">
        <f>IF(F113&lt;&gt;0,VLOOKUP($J113,'Table 1'!$B$13:$C$33,2,FALSE)/12*1000*Study_MW,0)</f>
        <v>0</v>
      </c>
      <c r="E113" s="71">
        <f t="shared" si="43"/>
        <v>1756911.1861651987</v>
      </c>
      <c r="F113" s="75">
        <v>74400</v>
      </c>
      <c r="G113" s="76">
        <f t="shared" si="44"/>
        <v>23.614397663510736</v>
      </c>
      <c r="I113" s="77">
        <f t="shared" si="48"/>
        <v>109</v>
      </c>
      <c r="J113" s="73">
        <f t="shared" si="45"/>
        <v>2027</v>
      </c>
      <c r="K113" s="78">
        <f t="shared" si="47"/>
        <v>46508</v>
      </c>
    </row>
    <row r="114" spans="2:11" outlineLevel="1">
      <c r="B114" s="78">
        <f t="shared" si="42"/>
        <v>46539</v>
      </c>
      <c r="C114" s="75">
        <v>2069872.0532279909</v>
      </c>
      <c r="D114" s="71">
        <f>IF(F114&lt;&gt;0,VLOOKUP($J114,'Table 1'!$B$13:$C$33,2,FALSE)/12*1000*Study_MW,0)</f>
        <v>0</v>
      </c>
      <c r="E114" s="71">
        <f t="shared" si="43"/>
        <v>2069872.0532279909</v>
      </c>
      <c r="F114" s="75">
        <v>72000</v>
      </c>
      <c r="G114" s="76">
        <f t="shared" si="44"/>
        <v>28.748222961499874</v>
      </c>
      <c r="I114" s="77">
        <f t="shared" si="48"/>
        <v>110</v>
      </c>
      <c r="J114" s="73">
        <f t="shared" si="45"/>
        <v>2027</v>
      </c>
      <c r="K114" s="78">
        <f t="shared" si="47"/>
        <v>46539</v>
      </c>
    </row>
    <row r="115" spans="2:11" outlineLevel="1">
      <c r="B115" s="78">
        <f t="shared" si="42"/>
        <v>46569</v>
      </c>
      <c r="C115" s="75">
        <v>3444842.5031817853</v>
      </c>
      <c r="D115" s="71">
        <f>IF(F115&lt;&gt;0,VLOOKUP($J115,'Table 1'!$B$13:$C$33,2,FALSE)/12*1000*Study_MW,0)</f>
        <v>0</v>
      </c>
      <c r="E115" s="71">
        <f t="shared" si="43"/>
        <v>3444842.5031817853</v>
      </c>
      <c r="F115" s="75">
        <v>74400</v>
      </c>
      <c r="G115" s="76">
        <f t="shared" si="44"/>
        <v>46.301646548142273</v>
      </c>
      <c r="I115" s="77">
        <f t="shared" si="48"/>
        <v>111</v>
      </c>
      <c r="J115" s="73">
        <f t="shared" si="45"/>
        <v>2027</v>
      </c>
      <c r="K115" s="78">
        <f t="shared" si="47"/>
        <v>46569</v>
      </c>
    </row>
    <row r="116" spans="2:11" outlineLevel="1">
      <c r="B116" s="78">
        <f t="shared" si="42"/>
        <v>46600</v>
      </c>
      <c r="C116" s="75">
        <v>3171774.3157998621</v>
      </c>
      <c r="D116" s="71">
        <f>IF(F116&lt;&gt;0,VLOOKUP($J116,'Table 1'!$B$13:$C$33,2,FALSE)/12*1000*Study_MW,0)</f>
        <v>0</v>
      </c>
      <c r="E116" s="71">
        <f t="shared" si="43"/>
        <v>3171774.3157998621</v>
      </c>
      <c r="F116" s="75">
        <v>74400</v>
      </c>
      <c r="G116" s="76">
        <f t="shared" si="44"/>
        <v>42.631375212363736</v>
      </c>
      <c r="I116" s="77">
        <f t="shared" si="48"/>
        <v>112</v>
      </c>
      <c r="J116" s="73">
        <f t="shared" si="45"/>
        <v>2027</v>
      </c>
      <c r="K116" s="78">
        <f t="shared" si="47"/>
        <v>46600</v>
      </c>
    </row>
    <row r="117" spans="2:11" outlineLevel="1">
      <c r="B117" s="78">
        <f t="shared" si="42"/>
        <v>46631</v>
      </c>
      <c r="C117" s="75">
        <v>1990979.2162468284</v>
      </c>
      <c r="D117" s="71">
        <f>IF(F117&lt;&gt;0,VLOOKUP($J117,'Table 1'!$B$13:$C$33,2,FALSE)/12*1000*Study_MW,0)</f>
        <v>0</v>
      </c>
      <c r="E117" s="71">
        <f t="shared" si="43"/>
        <v>1990979.2162468284</v>
      </c>
      <c r="F117" s="75">
        <v>72000</v>
      </c>
      <c r="G117" s="76">
        <f t="shared" si="44"/>
        <v>27.652489114539282</v>
      </c>
      <c r="I117" s="77">
        <f t="shared" si="48"/>
        <v>113</v>
      </c>
      <c r="J117" s="73">
        <f t="shared" si="45"/>
        <v>2027</v>
      </c>
      <c r="K117" s="78">
        <f t="shared" si="47"/>
        <v>46631</v>
      </c>
    </row>
    <row r="118" spans="2:11" outlineLevel="1">
      <c r="B118" s="78">
        <f t="shared" si="42"/>
        <v>46661</v>
      </c>
      <c r="C118" s="75">
        <v>2013448.908562541</v>
      </c>
      <c r="D118" s="71">
        <f>IF(F118&lt;&gt;0,VLOOKUP($J118,'Table 1'!$B$13:$C$33,2,FALSE)/12*1000*Study_MW,0)</f>
        <v>0</v>
      </c>
      <c r="E118" s="71">
        <f t="shared" si="43"/>
        <v>2013448.908562541</v>
      </c>
      <c r="F118" s="75">
        <v>74400</v>
      </c>
      <c r="G118" s="76">
        <f t="shared" si="44"/>
        <v>27.06248533014168</v>
      </c>
      <c r="I118" s="77">
        <f t="shared" si="48"/>
        <v>114</v>
      </c>
      <c r="J118" s="73">
        <f t="shared" si="45"/>
        <v>2027</v>
      </c>
      <c r="K118" s="78">
        <f t="shared" si="47"/>
        <v>46661</v>
      </c>
    </row>
    <row r="119" spans="2:11" outlineLevel="1">
      <c r="B119" s="78">
        <f t="shared" si="42"/>
        <v>46692</v>
      </c>
      <c r="C119" s="75">
        <v>1946948.6451268345</v>
      </c>
      <c r="D119" s="71">
        <f>IF(F119&lt;&gt;0,VLOOKUP($J119,'Table 1'!$B$13:$C$33,2,FALSE)/12*1000*Study_MW,0)</f>
        <v>0</v>
      </c>
      <c r="E119" s="71">
        <f t="shared" si="43"/>
        <v>1946948.6451268345</v>
      </c>
      <c r="F119" s="75">
        <v>72000</v>
      </c>
      <c r="G119" s="76">
        <f t="shared" si="44"/>
        <v>27.040953404539369</v>
      </c>
      <c r="I119" s="77">
        <f t="shared" si="48"/>
        <v>115</v>
      </c>
      <c r="J119" s="73">
        <f t="shared" si="45"/>
        <v>2027</v>
      </c>
      <c r="K119" s="78">
        <f t="shared" si="47"/>
        <v>46692</v>
      </c>
    </row>
    <row r="120" spans="2:11" outlineLevel="1">
      <c r="B120" s="82">
        <f t="shared" si="42"/>
        <v>46722</v>
      </c>
      <c r="C120" s="79">
        <v>2058200.260075435</v>
      </c>
      <c r="D120" s="80">
        <f>IF(F120&lt;&gt;0,VLOOKUP($J120,'Table 1'!$B$13:$C$33,2,FALSE)/12*1000*Study_MW,0)</f>
        <v>0</v>
      </c>
      <c r="E120" s="80">
        <f t="shared" si="43"/>
        <v>2058200.260075435</v>
      </c>
      <c r="F120" s="79">
        <v>74400</v>
      </c>
      <c r="G120" s="81">
        <f t="shared" si="44"/>
        <v>27.663981990261224</v>
      </c>
      <c r="I120" s="64">
        <f t="shared" si="48"/>
        <v>116</v>
      </c>
      <c r="J120" s="73">
        <f t="shared" si="45"/>
        <v>2027</v>
      </c>
      <c r="K120" s="82">
        <f t="shared" si="47"/>
        <v>46722</v>
      </c>
    </row>
    <row r="121" spans="2:11" outlineLevel="1">
      <c r="B121" s="74">
        <f t="shared" si="42"/>
        <v>46753</v>
      </c>
      <c r="C121" s="69">
        <v>2039579.7756187022</v>
      </c>
      <c r="D121" s="70">
        <f>IF(F121&lt;&gt;0,VLOOKUP($J121,'Table 1'!$B$13:$C$33,2,FALSE)/12*1000*Study_MW,0)</f>
        <v>0</v>
      </c>
      <c r="E121" s="70">
        <f t="shared" si="43"/>
        <v>2039579.7756187022</v>
      </c>
      <c r="F121" s="69">
        <v>74400</v>
      </c>
      <c r="G121" s="72">
        <f t="shared" si="44"/>
        <v>27.413706661541696</v>
      </c>
      <c r="I121" s="60">
        <f>I109+13</f>
        <v>118</v>
      </c>
      <c r="J121" s="73">
        <f t="shared" si="45"/>
        <v>2028</v>
      </c>
      <c r="K121" s="74">
        <f t="shared" si="47"/>
        <v>46753</v>
      </c>
    </row>
    <row r="122" spans="2:11" outlineLevel="1">
      <c r="B122" s="78">
        <f t="shared" si="42"/>
        <v>46784</v>
      </c>
      <c r="C122" s="75">
        <v>1891809.486420393</v>
      </c>
      <c r="D122" s="71">
        <f>IF(F122&lt;&gt;0,VLOOKUP($J122,'Table 1'!$B$13:$C$33,2,FALSE)/12*1000*Study_MW,0)</f>
        <v>0</v>
      </c>
      <c r="E122" s="71">
        <f t="shared" si="43"/>
        <v>1891809.486420393</v>
      </c>
      <c r="F122" s="75">
        <v>69600</v>
      </c>
      <c r="G122" s="76">
        <f t="shared" si="44"/>
        <v>27.1811707819022</v>
      </c>
      <c r="I122" s="77">
        <f t="shared" ref="I122:I132" si="49">I110+13</f>
        <v>119</v>
      </c>
      <c r="J122" s="73">
        <f t="shared" si="45"/>
        <v>2028</v>
      </c>
      <c r="K122" s="78">
        <f t="shared" si="47"/>
        <v>46784</v>
      </c>
    </row>
    <row r="123" spans="2:11" outlineLevel="1">
      <c r="B123" s="78">
        <f t="shared" si="42"/>
        <v>46813</v>
      </c>
      <c r="C123" s="75">
        <v>2102772.6857098788</v>
      </c>
      <c r="D123" s="71">
        <f>IF(F123&lt;&gt;0,VLOOKUP($J123,'Table 1'!$B$13:$C$33,2,FALSE)/12*1000*Study_MW,0)</f>
        <v>0</v>
      </c>
      <c r="E123" s="71">
        <f t="shared" si="43"/>
        <v>2102772.6857098788</v>
      </c>
      <c r="F123" s="75">
        <v>74400</v>
      </c>
      <c r="G123" s="76">
        <f t="shared" si="44"/>
        <v>28.263073732659663</v>
      </c>
      <c r="I123" s="77">
        <f t="shared" si="49"/>
        <v>120</v>
      </c>
      <c r="J123" s="73">
        <f t="shared" si="45"/>
        <v>2028</v>
      </c>
      <c r="K123" s="78">
        <f t="shared" si="47"/>
        <v>46813</v>
      </c>
    </row>
    <row r="124" spans="2:11" outlineLevel="1">
      <c r="B124" s="78">
        <f t="shared" si="42"/>
        <v>46844</v>
      </c>
      <c r="C124" s="75">
        <v>1999070.2337518185</v>
      </c>
      <c r="D124" s="71">
        <f>IF(F124&lt;&gt;0,VLOOKUP($J124,'Table 1'!$B$13:$C$33,2,FALSE)/12*1000*Study_MW,0)</f>
        <v>0</v>
      </c>
      <c r="E124" s="71">
        <f t="shared" si="43"/>
        <v>1999070.2337518185</v>
      </c>
      <c r="F124" s="75">
        <v>72000</v>
      </c>
      <c r="G124" s="76">
        <f t="shared" si="44"/>
        <v>27.764864357664145</v>
      </c>
      <c r="I124" s="77">
        <f t="shared" si="49"/>
        <v>121</v>
      </c>
      <c r="J124" s="73">
        <f t="shared" si="45"/>
        <v>2028</v>
      </c>
      <c r="K124" s="78">
        <f t="shared" si="47"/>
        <v>46844</v>
      </c>
    </row>
    <row r="125" spans="2:11" outlineLevel="1">
      <c r="B125" s="78">
        <f t="shared" si="42"/>
        <v>46874</v>
      </c>
      <c r="C125" s="75">
        <v>1876332.7699159682</v>
      </c>
      <c r="D125" s="71">
        <f>IF(F125&lt;&gt;0,VLOOKUP($J125,'Table 1'!$B$13:$C$33,2,FALSE)/12*1000*Study_MW,0)</f>
        <v>0</v>
      </c>
      <c r="E125" s="71">
        <f t="shared" si="43"/>
        <v>1876332.7699159682</v>
      </c>
      <c r="F125" s="75">
        <v>74400</v>
      </c>
      <c r="G125" s="76">
        <f t="shared" si="44"/>
        <v>25.219526477365164</v>
      </c>
      <c r="I125" s="77">
        <f t="shared" si="49"/>
        <v>122</v>
      </c>
      <c r="J125" s="73">
        <f t="shared" si="45"/>
        <v>2028</v>
      </c>
      <c r="K125" s="78">
        <f t="shared" si="47"/>
        <v>46874</v>
      </c>
    </row>
    <row r="126" spans="2:11" outlineLevel="1">
      <c r="B126" s="78">
        <f t="shared" si="42"/>
        <v>46905</v>
      </c>
      <c r="C126" s="75">
        <v>2152416.6855938137</v>
      </c>
      <c r="D126" s="71">
        <f>IF(F126&lt;&gt;0,VLOOKUP($J126,'Table 1'!$B$13:$C$33,2,FALSE)/12*1000*Study_MW,0)</f>
        <v>0</v>
      </c>
      <c r="E126" s="71">
        <f t="shared" si="43"/>
        <v>2152416.6855938137</v>
      </c>
      <c r="F126" s="75">
        <v>72000</v>
      </c>
      <c r="G126" s="76">
        <f t="shared" si="44"/>
        <v>29.894676188802968</v>
      </c>
      <c r="I126" s="77">
        <f t="shared" si="49"/>
        <v>123</v>
      </c>
      <c r="J126" s="73">
        <f t="shared" si="45"/>
        <v>2028</v>
      </c>
      <c r="K126" s="78">
        <f t="shared" si="47"/>
        <v>46905</v>
      </c>
    </row>
    <row r="127" spans="2:11" outlineLevel="1">
      <c r="B127" s="78">
        <f t="shared" si="42"/>
        <v>46935</v>
      </c>
      <c r="C127" s="75">
        <v>4532548.300927788</v>
      </c>
      <c r="D127" s="71">
        <f>IF(F127&lt;&gt;0,VLOOKUP($J127,'Table 1'!$B$13:$C$33,2,FALSE)/12*1000*Study_MW,0)</f>
        <v>0</v>
      </c>
      <c r="E127" s="71">
        <f t="shared" si="43"/>
        <v>4532548.300927788</v>
      </c>
      <c r="F127" s="75">
        <v>74400</v>
      </c>
      <c r="G127" s="76">
        <f t="shared" si="44"/>
        <v>60.921348130749841</v>
      </c>
      <c r="I127" s="77">
        <f t="shared" si="49"/>
        <v>124</v>
      </c>
      <c r="J127" s="73">
        <f t="shared" si="45"/>
        <v>2028</v>
      </c>
      <c r="K127" s="78">
        <f t="shared" si="47"/>
        <v>46935</v>
      </c>
    </row>
    <row r="128" spans="2:11" outlineLevel="1">
      <c r="B128" s="78">
        <f t="shared" si="42"/>
        <v>46966</v>
      </c>
      <c r="C128" s="75">
        <v>3981217.1533522904</v>
      </c>
      <c r="D128" s="71">
        <f>IF(F128&lt;&gt;0,VLOOKUP($J128,'Table 1'!$B$13:$C$33,2,FALSE)/12*1000*Study_MW,0)</f>
        <v>0</v>
      </c>
      <c r="E128" s="71">
        <f t="shared" si="43"/>
        <v>3981217.1533522904</v>
      </c>
      <c r="F128" s="75">
        <v>74400</v>
      </c>
      <c r="G128" s="76">
        <f t="shared" si="44"/>
        <v>53.510983243982395</v>
      </c>
      <c r="I128" s="77">
        <f t="shared" si="49"/>
        <v>125</v>
      </c>
      <c r="J128" s="73">
        <f t="shared" si="45"/>
        <v>2028</v>
      </c>
      <c r="K128" s="78">
        <f t="shared" si="47"/>
        <v>46966</v>
      </c>
    </row>
    <row r="129" spans="2:11" outlineLevel="1">
      <c r="B129" s="78">
        <f t="shared" si="42"/>
        <v>46997</v>
      </c>
      <c r="C129" s="75">
        <v>2193007.3406728208</v>
      </c>
      <c r="D129" s="71">
        <f>IF(F129&lt;&gt;0,VLOOKUP($J129,'Table 1'!$B$13:$C$33,2,FALSE)/12*1000*Study_MW,0)</f>
        <v>0</v>
      </c>
      <c r="E129" s="71">
        <f t="shared" si="43"/>
        <v>2193007.3406728208</v>
      </c>
      <c r="F129" s="75">
        <v>72000</v>
      </c>
      <c r="G129" s="76">
        <f t="shared" si="44"/>
        <v>30.458435287122512</v>
      </c>
      <c r="I129" s="77">
        <f t="shared" si="49"/>
        <v>126</v>
      </c>
      <c r="J129" s="73">
        <f t="shared" si="45"/>
        <v>2028</v>
      </c>
      <c r="K129" s="78">
        <f t="shared" si="47"/>
        <v>46997</v>
      </c>
    </row>
    <row r="130" spans="2:11" outlineLevel="1">
      <c r="B130" s="78">
        <f t="shared" si="42"/>
        <v>47027</v>
      </c>
      <c r="C130" s="75">
        <v>2056974.0220766068</v>
      </c>
      <c r="D130" s="71">
        <f>IF(F130&lt;&gt;0,VLOOKUP($J130,'Table 1'!$B$13:$C$33,2,FALSE)/12*1000*Study_MW,0)</f>
        <v>0</v>
      </c>
      <c r="E130" s="71">
        <f t="shared" si="43"/>
        <v>2056974.0220766068</v>
      </c>
      <c r="F130" s="75">
        <v>74400</v>
      </c>
      <c r="G130" s="76">
        <f t="shared" si="44"/>
        <v>27.647500296728584</v>
      </c>
      <c r="I130" s="77">
        <f t="shared" si="49"/>
        <v>127</v>
      </c>
      <c r="J130" s="73">
        <f t="shared" si="45"/>
        <v>2028</v>
      </c>
      <c r="K130" s="78">
        <f t="shared" si="47"/>
        <v>47027</v>
      </c>
    </row>
    <row r="131" spans="2:11" outlineLevel="1">
      <c r="B131" s="78">
        <f t="shared" si="42"/>
        <v>47058</v>
      </c>
      <c r="C131" s="75">
        <v>2080590.7825915664</v>
      </c>
      <c r="D131" s="71">
        <f>IF(F131&lt;&gt;0,VLOOKUP($J131,'Table 1'!$B$13:$C$33,2,FALSE)/12*1000*Study_MW,0)</f>
        <v>0</v>
      </c>
      <c r="E131" s="71">
        <f t="shared" si="43"/>
        <v>2080590.7825915664</v>
      </c>
      <c r="F131" s="75">
        <v>72000</v>
      </c>
      <c r="G131" s="76">
        <f t="shared" si="44"/>
        <v>28.897094202660647</v>
      </c>
      <c r="I131" s="77">
        <f t="shared" si="49"/>
        <v>128</v>
      </c>
      <c r="J131" s="73">
        <f t="shared" si="45"/>
        <v>2028</v>
      </c>
      <c r="K131" s="78">
        <f t="shared" si="47"/>
        <v>47058</v>
      </c>
    </row>
    <row r="132" spans="2:11" outlineLevel="1">
      <c r="B132" s="82">
        <f t="shared" si="42"/>
        <v>47088</v>
      </c>
      <c r="C132" s="79">
        <v>2364811.5432544053</v>
      </c>
      <c r="D132" s="80">
        <f>IF(F132&lt;&gt;0,VLOOKUP($J132,'Table 1'!$B$13:$C$33,2,FALSE)/12*1000*Study_MW,0)</f>
        <v>0</v>
      </c>
      <c r="E132" s="80">
        <f t="shared" si="43"/>
        <v>2364811.5432544053</v>
      </c>
      <c r="F132" s="79">
        <v>74400</v>
      </c>
      <c r="G132" s="81">
        <f t="shared" si="44"/>
        <v>31.785101387828028</v>
      </c>
      <c r="I132" s="64">
        <f t="shared" si="49"/>
        <v>129</v>
      </c>
      <c r="J132" s="73">
        <f t="shared" si="45"/>
        <v>2028</v>
      </c>
      <c r="K132" s="82">
        <f t="shared" si="47"/>
        <v>47088</v>
      </c>
    </row>
    <row r="133" spans="2:11" outlineLevel="1">
      <c r="B133" s="74">
        <f t="shared" si="42"/>
        <v>47119</v>
      </c>
      <c r="C133" s="69">
        <v>2212434.170589596</v>
      </c>
      <c r="D133" s="70">
        <f>IF(F133&lt;&gt;0,VLOOKUP($J133,'Table 1'!$B$13:$C$33,2,FALSE)/12*1000*Study_MW,0)</f>
        <v>0</v>
      </c>
      <c r="E133" s="70">
        <f t="shared" si="43"/>
        <v>2212434.170589596</v>
      </c>
      <c r="F133" s="69">
        <v>74400</v>
      </c>
      <c r="G133" s="72">
        <f t="shared" si="44"/>
        <v>29.737018421903173</v>
      </c>
      <c r="I133" s="60">
        <f>I13</f>
        <v>1</v>
      </c>
      <c r="J133" s="73">
        <f t="shared" si="45"/>
        <v>2029</v>
      </c>
      <c r="K133" s="74">
        <f t="shared" si="47"/>
        <v>47119</v>
      </c>
    </row>
    <row r="134" spans="2:11" outlineLevel="1">
      <c r="B134" s="78">
        <f t="shared" si="42"/>
        <v>47150</v>
      </c>
      <c r="C134" s="75">
        <v>1994399.3425086737</v>
      </c>
      <c r="D134" s="71">
        <f>IF(F134&lt;&gt;0,VLOOKUP($J134,'Table 1'!$B$13:$C$33,2,FALSE)/12*1000*Study_MW,0)</f>
        <v>0</v>
      </c>
      <c r="E134" s="71">
        <f t="shared" si="43"/>
        <v>1994399.3425086737</v>
      </c>
      <c r="F134" s="75">
        <v>67200</v>
      </c>
      <c r="G134" s="76">
        <f t="shared" si="44"/>
        <v>29.678561644474311</v>
      </c>
      <c r="I134" s="77">
        <f t="shared" ref="I134:I197" si="50">I14</f>
        <v>2</v>
      </c>
      <c r="J134" s="73">
        <f t="shared" si="45"/>
        <v>2029</v>
      </c>
      <c r="K134" s="78">
        <f t="shared" si="47"/>
        <v>47150</v>
      </c>
    </row>
    <row r="135" spans="2:11" outlineLevel="1">
      <c r="B135" s="78">
        <f t="shared" si="42"/>
        <v>47178</v>
      </c>
      <c r="C135" s="75">
        <v>2225803.6342272162</v>
      </c>
      <c r="D135" s="71">
        <f>IF(F135&lt;&gt;0,VLOOKUP($J135,'Table 1'!$B$13:$C$33,2,FALSE)/12*1000*Study_MW,0)</f>
        <v>0</v>
      </c>
      <c r="E135" s="71">
        <f t="shared" si="43"/>
        <v>2225803.6342272162</v>
      </c>
      <c r="F135" s="75">
        <v>74400</v>
      </c>
      <c r="G135" s="76">
        <f t="shared" si="44"/>
        <v>29.916715513806668</v>
      </c>
      <c r="I135" s="77">
        <f t="shared" si="50"/>
        <v>3</v>
      </c>
      <c r="J135" s="73">
        <f t="shared" si="45"/>
        <v>2029</v>
      </c>
      <c r="K135" s="78">
        <f t="shared" si="47"/>
        <v>47178</v>
      </c>
    </row>
    <row r="136" spans="2:11" outlineLevel="1">
      <c r="B136" s="78">
        <f t="shared" si="42"/>
        <v>47209</v>
      </c>
      <c r="C136" s="75">
        <v>2045949.2734645903</v>
      </c>
      <c r="D136" s="71">
        <f>IF(F136&lt;&gt;0,VLOOKUP($J136,'Table 1'!$B$13:$C$33,2,FALSE)/12*1000*Study_MW,0)</f>
        <v>0</v>
      </c>
      <c r="E136" s="71">
        <f t="shared" si="43"/>
        <v>2045949.2734645903</v>
      </c>
      <c r="F136" s="75">
        <v>72000</v>
      </c>
      <c r="G136" s="76">
        <f t="shared" si="44"/>
        <v>28.415962131452645</v>
      </c>
      <c r="I136" s="77">
        <f t="shared" si="50"/>
        <v>4</v>
      </c>
      <c r="J136" s="73">
        <f t="shared" si="45"/>
        <v>2029</v>
      </c>
      <c r="K136" s="78">
        <f t="shared" si="47"/>
        <v>47209</v>
      </c>
    </row>
    <row r="137" spans="2:11" outlineLevel="1">
      <c r="B137" s="78">
        <f t="shared" si="42"/>
        <v>47239</v>
      </c>
      <c r="C137" s="75">
        <v>1977839.7605938911</v>
      </c>
      <c r="D137" s="71">
        <f>IF(F137&lt;&gt;0,VLOOKUP($J137,'Table 1'!$B$13:$C$33,2,FALSE)/12*1000*Study_MW,0)</f>
        <v>0</v>
      </c>
      <c r="E137" s="71">
        <f t="shared" si="43"/>
        <v>1977839.7605938911</v>
      </c>
      <c r="F137" s="75">
        <v>74400</v>
      </c>
      <c r="G137" s="76">
        <f t="shared" si="44"/>
        <v>26.583867749917893</v>
      </c>
      <c r="I137" s="77">
        <f t="shared" si="50"/>
        <v>5</v>
      </c>
      <c r="J137" s="73">
        <f t="shared" si="45"/>
        <v>2029</v>
      </c>
      <c r="K137" s="78">
        <f t="shared" si="47"/>
        <v>47239</v>
      </c>
    </row>
    <row r="138" spans="2:11" outlineLevel="1">
      <c r="B138" s="78">
        <f t="shared" si="42"/>
        <v>47270</v>
      </c>
      <c r="C138" s="75">
        <v>2298150.0205584168</v>
      </c>
      <c r="D138" s="71">
        <f>IF(F138&lt;&gt;0,VLOOKUP($J138,'Table 1'!$B$13:$C$33,2,FALSE)/12*1000*Study_MW,0)</f>
        <v>0</v>
      </c>
      <c r="E138" s="71">
        <f t="shared" si="43"/>
        <v>2298150.0205584168</v>
      </c>
      <c r="F138" s="75">
        <v>72000</v>
      </c>
      <c r="G138" s="76">
        <f t="shared" si="44"/>
        <v>31.918750285533566</v>
      </c>
      <c r="I138" s="77">
        <f t="shared" si="50"/>
        <v>6</v>
      </c>
      <c r="J138" s="73">
        <f t="shared" si="45"/>
        <v>2029</v>
      </c>
      <c r="K138" s="78">
        <f t="shared" si="47"/>
        <v>47270</v>
      </c>
    </row>
    <row r="139" spans="2:11" outlineLevel="1">
      <c r="B139" s="78">
        <f t="shared" si="42"/>
        <v>47300</v>
      </c>
      <c r="C139" s="75">
        <v>4957537.1958504915</v>
      </c>
      <c r="D139" s="71">
        <f>IF(F139&lt;&gt;0,VLOOKUP($J139,'Table 1'!$B$13:$C$33,2,FALSE)/12*1000*Study_MW,0)</f>
        <v>0</v>
      </c>
      <c r="E139" s="71">
        <f t="shared" si="43"/>
        <v>4957537.1958504915</v>
      </c>
      <c r="F139" s="75">
        <v>74400</v>
      </c>
      <c r="G139" s="76">
        <f t="shared" si="44"/>
        <v>66.63356446035607</v>
      </c>
      <c r="I139" s="77">
        <f t="shared" si="50"/>
        <v>7</v>
      </c>
      <c r="J139" s="73">
        <f t="shared" si="45"/>
        <v>2029</v>
      </c>
      <c r="K139" s="78">
        <f t="shared" si="47"/>
        <v>47300</v>
      </c>
    </row>
    <row r="140" spans="2:11" outlineLevel="1">
      <c r="B140" s="78">
        <f t="shared" si="42"/>
        <v>47331</v>
      </c>
      <c r="C140" s="75">
        <v>5591143.6144741774</v>
      </c>
      <c r="D140" s="71">
        <f>IF(F140&lt;&gt;0,VLOOKUP($J140,'Table 1'!$B$13:$C$33,2,FALSE)/12*1000*Study_MW,0)</f>
        <v>0</v>
      </c>
      <c r="E140" s="71">
        <f t="shared" si="43"/>
        <v>5591143.6144741774</v>
      </c>
      <c r="F140" s="75">
        <v>74400</v>
      </c>
      <c r="G140" s="76">
        <f t="shared" si="44"/>
        <v>75.149779764437866</v>
      </c>
      <c r="I140" s="77">
        <f t="shared" si="50"/>
        <v>8</v>
      </c>
      <c r="J140" s="73">
        <f t="shared" si="45"/>
        <v>2029</v>
      </c>
      <c r="K140" s="78">
        <f t="shared" si="47"/>
        <v>47331</v>
      </c>
    </row>
    <row r="141" spans="2:11" outlineLevel="1">
      <c r="B141" s="78">
        <f t="shared" si="42"/>
        <v>47362</v>
      </c>
      <c r="C141" s="75">
        <v>2507316.0392095745</v>
      </c>
      <c r="D141" s="71">
        <f>IF(F141&lt;&gt;0,VLOOKUP($J141,'Table 1'!$B$13:$C$33,2,FALSE)/12*1000*Study_MW,0)</f>
        <v>0</v>
      </c>
      <c r="E141" s="71">
        <f t="shared" si="43"/>
        <v>2507316.0392095745</v>
      </c>
      <c r="F141" s="75">
        <v>72000</v>
      </c>
      <c r="G141" s="76">
        <f t="shared" si="44"/>
        <v>34.823833877910758</v>
      </c>
      <c r="I141" s="77">
        <f t="shared" si="50"/>
        <v>9</v>
      </c>
      <c r="J141" s="73">
        <f t="shared" si="45"/>
        <v>2029</v>
      </c>
      <c r="K141" s="78">
        <f t="shared" si="47"/>
        <v>47362</v>
      </c>
    </row>
    <row r="142" spans="2:11" outlineLevel="1">
      <c r="B142" s="78">
        <f t="shared" ref="B142:B205" si="51">EDATE(B141,1)</f>
        <v>47392</v>
      </c>
      <c r="C142" s="75">
        <v>2111735.3594464511</v>
      </c>
      <c r="D142" s="71">
        <f>IF(F142&lt;&gt;0,VLOOKUP($J142,'Table 1'!$B$13:$C$33,2,FALSE)/12*1000*Study_MW,0)</f>
        <v>0</v>
      </c>
      <c r="E142" s="71">
        <f t="shared" ref="E142:E192" si="52">C142+D142</f>
        <v>2111735.3594464511</v>
      </c>
      <c r="F142" s="75">
        <v>74400</v>
      </c>
      <c r="G142" s="76">
        <f t="shared" ref="G142:G192" si="53">IF(ISNUMBER($F142),E142/$F142,"")</f>
        <v>28.383539777506062</v>
      </c>
      <c r="I142" s="77">
        <f t="shared" si="50"/>
        <v>10</v>
      </c>
      <c r="J142" s="73">
        <f t="shared" ref="J142:J192" si="54">YEAR(B142)</f>
        <v>2029</v>
      </c>
      <c r="K142" s="78">
        <f t="shared" si="47"/>
        <v>47392</v>
      </c>
    </row>
    <row r="143" spans="2:11" outlineLevel="1">
      <c r="B143" s="78">
        <f t="shared" si="51"/>
        <v>47423</v>
      </c>
      <c r="C143" s="75">
        <v>2174259.3941998184</v>
      </c>
      <c r="D143" s="71">
        <f>IF(F143&lt;&gt;0,VLOOKUP($J143,'Table 1'!$B$13:$C$33,2,FALSE)/12*1000*Study_MW,0)</f>
        <v>0</v>
      </c>
      <c r="E143" s="71">
        <f t="shared" si="52"/>
        <v>2174259.3941998184</v>
      </c>
      <c r="F143" s="75">
        <v>72000</v>
      </c>
      <c r="G143" s="76">
        <f t="shared" si="53"/>
        <v>30.198047141664144</v>
      </c>
      <c r="I143" s="77">
        <f t="shared" si="50"/>
        <v>11</v>
      </c>
      <c r="J143" s="73">
        <f t="shared" si="54"/>
        <v>2029</v>
      </c>
      <c r="K143" s="78">
        <f t="shared" si="47"/>
        <v>47423</v>
      </c>
    </row>
    <row r="144" spans="2:11" outlineLevel="1">
      <c r="B144" s="82">
        <f t="shared" si="51"/>
        <v>47453</v>
      </c>
      <c r="C144" s="79">
        <v>2529069.9729829729</v>
      </c>
      <c r="D144" s="80">
        <f>IF(F144&lt;&gt;0,VLOOKUP($J144,'Table 1'!$B$13:$C$33,2,FALSE)/12*1000*Study_MW,0)</f>
        <v>0</v>
      </c>
      <c r="E144" s="80">
        <f t="shared" si="52"/>
        <v>2529069.9729829729</v>
      </c>
      <c r="F144" s="79">
        <v>74400</v>
      </c>
      <c r="G144" s="81">
        <f t="shared" si="53"/>
        <v>33.992875980953933</v>
      </c>
      <c r="I144" s="64">
        <f t="shared" si="50"/>
        <v>12</v>
      </c>
      <c r="J144" s="73">
        <f t="shared" si="54"/>
        <v>2029</v>
      </c>
      <c r="K144" s="82">
        <f t="shared" si="47"/>
        <v>47453</v>
      </c>
    </row>
    <row r="145" spans="2:11" outlineLevel="1">
      <c r="B145" s="74">
        <f t="shared" si="51"/>
        <v>47484</v>
      </c>
      <c r="C145" s="69">
        <v>2548025.0096739233</v>
      </c>
      <c r="D145" s="70">
        <f>IF(F145&lt;&gt;0,VLOOKUP($J145,'Table 1'!$B$13:$C$33,2,FALSE)/12*1000*Study_MW,0)</f>
        <v>0</v>
      </c>
      <c r="E145" s="70">
        <f t="shared" si="52"/>
        <v>2548025.0096739233</v>
      </c>
      <c r="F145" s="69">
        <v>74400</v>
      </c>
      <c r="G145" s="72">
        <f t="shared" si="53"/>
        <v>34.247647979488214</v>
      </c>
      <c r="I145" s="60">
        <f>I25</f>
        <v>14</v>
      </c>
      <c r="J145" s="73">
        <f t="shared" si="54"/>
        <v>2030</v>
      </c>
      <c r="K145" s="74">
        <f t="shared" si="47"/>
        <v>47484</v>
      </c>
    </row>
    <row r="146" spans="2:11" outlineLevel="1">
      <c r="B146" s="78">
        <f t="shared" si="51"/>
        <v>47515</v>
      </c>
      <c r="C146" s="75">
        <v>2174032.4976381063</v>
      </c>
      <c r="D146" s="71">
        <f>IF(F146&lt;&gt;0,VLOOKUP($J146,'Table 1'!$B$13:$C$33,2,FALSE)/12*1000*Study_MW,0)</f>
        <v>0</v>
      </c>
      <c r="E146" s="71">
        <f t="shared" si="52"/>
        <v>2174032.4976381063</v>
      </c>
      <c r="F146" s="75">
        <v>67200</v>
      </c>
      <c r="G146" s="76">
        <f t="shared" si="53"/>
        <v>32.351674071995632</v>
      </c>
      <c r="I146" s="77">
        <f t="shared" si="50"/>
        <v>15</v>
      </c>
      <c r="J146" s="73">
        <f t="shared" si="54"/>
        <v>2030</v>
      </c>
      <c r="K146" s="78">
        <f t="shared" si="47"/>
        <v>47515</v>
      </c>
    </row>
    <row r="147" spans="2:11" outlineLevel="1">
      <c r="B147" s="78">
        <f t="shared" si="51"/>
        <v>47543</v>
      </c>
      <c r="C147" s="75">
        <v>2269719.9683391005</v>
      </c>
      <c r="D147" s="71">
        <f>IF(F147&lt;&gt;0,VLOOKUP($J147,'Table 1'!$B$13:$C$33,2,FALSE)/12*1000*Study_MW,0)</f>
        <v>0</v>
      </c>
      <c r="E147" s="71">
        <f t="shared" si="52"/>
        <v>2269719.9683391005</v>
      </c>
      <c r="F147" s="75">
        <v>74400</v>
      </c>
      <c r="G147" s="76">
        <f t="shared" si="53"/>
        <v>30.506988821762103</v>
      </c>
      <c r="I147" s="77">
        <f t="shared" si="50"/>
        <v>16</v>
      </c>
      <c r="J147" s="73">
        <f t="shared" si="54"/>
        <v>2030</v>
      </c>
      <c r="K147" s="78">
        <f t="shared" si="47"/>
        <v>47543</v>
      </c>
    </row>
    <row r="148" spans="2:11" outlineLevel="1">
      <c r="B148" s="78">
        <f t="shared" si="51"/>
        <v>47574</v>
      </c>
      <c r="C148" s="75">
        <v>2097945.9270170331</v>
      </c>
      <c r="D148" s="71">
        <f>IF(F148&lt;&gt;0,VLOOKUP($J148,'Table 1'!$B$13:$C$33,2,FALSE)/12*1000*Study_MW,0)</f>
        <v>0</v>
      </c>
      <c r="E148" s="71">
        <f t="shared" si="52"/>
        <v>2097945.9270170331</v>
      </c>
      <c r="F148" s="75">
        <v>72000</v>
      </c>
      <c r="G148" s="76">
        <f t="shared" si="53"/>
        <v>29.13813787523657</v>
      </c>
      <c r="I148" s="77">
        <f t="shared" si="50"/>
        <v>17</v>
      </c>
      <c r="J148" s="73">
        <f t="shared" si="54"/>
        <v>2030</v>
      </c>
      <c r="K148" s="78">
        <f t="shared" si="47"/>
        <v>47574</v>
      </c>
    </row>
    <row r="149" spans="2:11" outlineLevel="1">
      <c r="B149" s="78">
        <f t="shared" si="51"/>
        <v>47604</v>
      </c>
      <c r="C149" s="75">
        <v>2116577.3753008395</v>
      </c>
      <c r="D149" s="71">
        <f>IF(F149&lt;&gt;0,VLOOKUP($J149,'Table 1'!$B$13:$C$33,2,FALSE)/12*1000*Study_MW,0)</f>
        <v>0</v>
      </c>
      <c r="E149" s="71">
        <f t="shared" si="52"/>
        <v>2116577.3753008395</v>
      </c>
      <c r="F149" s="75">
        <v>74400</v>
      </c>
      <c r="G149" s="76">
        <f t="shared" si="53"/>
        <v>28.448620635763973</v>
      </c>
      <c r="I149" s="77">
        <f t="shared" si="50"/>
        <v>18</v>
      </c>
      <c r="J149" s="73">
        <f t="shared" si="54"/>
        <v>2030</v>
      </c>
      <c r="K149" s="78">
        <f t="shared" si="47"/>
        <v>47604</v>
      </c>
    </row>
    <row r="150" spans="2:11" outlineLevel="1">
      <c r="B150" s="78">
        <f t="shared" si="51"/>
        <v>47635</v>
      </c>
      <c r="C150" s="75">
        <v>2584373.9565066993</v>
      </c>
      <c r="D150" s="71">
        <f>IF(F150&lt;&gt;0,VLOOKUP($J150,'Table 1'!$B$13:$C$33,2,FALSE)/12*1000*Study_MW,0)</f>
        <v>0</v>
      </c>
      <c r="E150" s="71">
        <f t="shared" si="52"/>
        <v>2584373.9565066993</v>
      </c>
      <c r="F150" s="75">
        <v>72000</v>
      </c>
      <c r="G150" s="76">
        <f t="shared" si="53"/>
        <v>35.894082729259715</v>
      </c>
      <c r="I150" s="77">
        <f t="shared" si="50"/>
        <v>19</v>
      </c>
      <c r="J150" s="73">
        <f t="shared" si="54"/>
        <v>2030</v>
      </c>
      <c r="K150" s="78">
        <f t="shared" si="47"/>
        <v>47635</v>
      </c>
    </row>
    <row r="151" spans="2:11" outlineLevel="1">
      <c r="B151" s="78">
        <f t="shared" si="51"/>
        <v>47665</v>
      </c>
      <c r="C151" s="75">
        <v>6070310.1756792068</v>
      </c>
      <c r="D151" s="71">
        <f>IF(F151&lt;&gt;0,VLOOKUP($J151,'Table 1'!$B$13:$C$33,2,FALSE)/12*1000*Study_MW,0)</f>
        <v>0</v>
      </c>
      <c r="E151" s="71">
        <f t="shared" si="52"/>
        <v>6070310.1756792068</v>
      </c>
      <c r="F151" s="75">
        <v>74400</v>
      </c>
      <c r="G151" s="76">
        <f t="shared" si="53"/>
        <v>81.590190533322669</v>
      </c>
      <c r="I151" s="77">
        <f t="shared" si="50"/>
        <v>20</v>
      </c>
      <c r="J151" s="73">
        <f t="shared" si="54"/>
        <v>2030</v>
      </c>
      <c r="K151" s="78">
        <f t="shared" si="47"/>
        <v>47665</v>
      </c>
    </row>
    <row r="152" spans="2:11" outlineLevel="1">
      <c r="B152" s="78">
        <f t="shared" si="51"/>
        <v>47696</v>
      </c>
      <c r="C152" s="75">
        <v>6157945.570699662</v>
      </c>
      <c r="D152" s="71">
        <f>IF(F152&lt;&gt;0,VLOOKUP($J152,'Table 1'!$B$13:$C$33,2,FALSE)/12*1000*Study_MW,0)</f>
        <v>0</v>
      </c>
      <c r="E152" s="71">
        <f t="shared" si="52"/>
        <v>6157945.570699662</v>
      </c>
      <c r="F152" s="75">
        <v>74400</v>
      </c>
      <c r="G152" s="76">
        <f t="shared" si="53"/>
        <v>82.768085627683632</v>
      </c>
      <c r="I152" s="77">
        <f t="shared" si="50"/>
        <v>21</v>
      </c>
      <c r="J152" s="73">
        <f t="shared" si="54"/>
        <v>2030</v>
      </c>
      <c r="K152" s="78">
        <f t="shared" si="47"/>
        <v>47696</v>
      </c>
    </row>
    <row r="153" spans="2:11" outlineLevel="1">
      <c r="B153" s="78">
        <f t="shared" si="51"/>
        <v>47727</v>
      </c>
      <c r="C153" s="75">
        <v>2881154.0166607797</v>
      </c>
      <c r="D153" s="71">
        <f>IF(F153&lt;&gt;0,VLOOKUP($J153,'Table 1'!$B$13:$C$33,2,FALSE)/12*1000*Study_MW,0)</f>
        <v>0</v>
      </c>
      <c r="E153" s="71">
        <f t="shared" si="52"/>
        <v>2881154.0166607797</v>
      </c>
      <c r="F153" s="75">
        <v>72000</v>
      </c>
      <c r="G153" s="76">
        <f t="shared" si="53"/>
        <v>40.016028009177496</v>
      </c>
      <c r="I153" s="77">
        <f t="shared" si="50"/>
        <v>22</v>
      </c>
      <c r="J153" s="73">
        <f t="shared" si="54"/>
        <v>2030</v>
      </c>
      <c r="K153" s="78">
        <f t="shared" si="47"/>
        <v>47727</v>
      </c>
    </row>
    <row r="154" spans="2:11" outlineLevel="1">
      <c r="B154" s="78">
        <f t="shared" si="51"/>
        <v>47757</v>
      </c>
      <c r="C154" s="75">
        <v>2464634.8281483948</v>
      </c>
      <c r="D154" s="71">
        <f>IF(F154&lt;&gt;0,VLOOKUP($J154,'Table 1'!$B$13:$C$33,2,FALSE)/12*1000*Study_MW,0)</f>
        <v>0</v>
      </c>
      <c r="E154" s="71">
        <f t="shared" si="52"/>
        <v>2464634.8281483948</v>
      </c>
      <c r="F154" s="75">
        <v>74400</v>
      </c>
      <c r="G154" s="76">
        <f t="shared" si="53"/>
        <v>33.126812206295632</v>
      </c>
      <c r="I154" s="77">
        <f t="shared" si="50"/>
        <v>23</v>
      </c>
      <c r="J154" s="73">
        <f t="shared" si="54"/>
        <v>2030</v>
      </c>
      <c r="K154" s="78">
        <f t="shared" ref="K154:K192" si="55">IF(ISNUMBER(F154),IF(F154&lt;&gt;0,B154,""),"")</f>
        <v>47757</v>
      </c>
    </row>
    <row r="155" spans="2:11" outlineLevel="1">
      <c r="B155" s="78">
        <f t="shared" si="51"/>
        <v>47788</v>
      </c>
      <c r="C155" s="75">
        <v>2474035.0093865246</v>
      </c>
      <c r="D155" s="71">
        <f>IF(F155&lt;&gt;0,VLOOKUP($J155,'Table 1'!$B$13:$C$33,2,FALSE)/12*1000*Study_MW,0)</f>
        <v>0</v>
      </c>
      <c r="E155" s="71">
        <f t="shared" si="52"/>
        <v>2474035.0093865246</v>
      </c>
      <c r="F155" s="75">
        <v>72000</v>
      </c>
      <c r="G155" s="76">
        <f t="shared" si="53"/>
        <v>34.361597352590621</v>
      </c>
      <c r="I155" s="77">
        <f t="shared" si="50"/>
        <v>24</v>
      </c>
      <c r="J155" s="73">
        <f t="shared" si="54"/>
        <v>2030</v>
      </c>
      <c r="K155" s="78">
        <f t="shared" si="55"/>
        <v>47788</v>
      </c>
    </row>
    <row r="156" spans="2:11" outlineLevel="1">
      <c r="B156" s="82">
        <f t="shared" si="51"/>
        <v>47818</v>
      </c>
      <c r="C156" s="79">
        <v>2852949.0023090243</v>
      </c>
      <c r="D156" s="80">
        <f>IF(F156&lt;&gt;0,VLOOKUP($J156,'Table 1'!$B$13:$C$33,2,FALSE)/12*1000*Study_MW,0)</f>
        <v>0</v>
      </c>
      <c r="E156" s="80">
        <f t="shared" si="52"/>
        <v>2852949.0023090243</v>
      </c>
      <c r="F156" s="79">
        <v>74400</v>
      </c>
      <c r="G156" s="81">
        <f t="shared" si="53"/>
        <v>38.346088740712695</v>
      </c>
      <c r="I156" s="64">
        <f t="shared" si="50"/>
        <v>25</v>
      </c>
      <c r="J156" s="73">
        <f t="shared" si="54"/>
        <v>2030</v>
      </c>
      <c r="K156" s="82">
        <f t="shared" si="55"/>
        <v>47818</v>
      </c>
    </row>
    <row r="157" spans="2:11" outlineLevel="1">
      <c r="B157" s="74">
        <f t="shared" si="51"/>
        <v>47849</v>
      </c>
      <c r="C157" s="69">
        <v>2801548.7671077847</v>
      </c>
      <c r="D157" s="70">
        <f>IF(F157&lt;&gt;0,VLOOKUP($J157,'Table 1'!$B$13:$C$33,2,FALSE)/12*1000*Study_MW,0)</f>
        <v>0</v>
      </c>
      <c r="E157" s="70">
        <f t="shared" si="52"/>
        <v>2801548.7671077847</v>
      </c>
      <c r="F157" s="69">
        <v>74400</v>
      </c>
      <c r="G157" s="72">
        <f t="shared" si="53"/>
        <v>37.655225364351942</v>
      </c>
      <c r="I157" s="60">
        <f>I37</f>
        <v>27</v>
      </c>
      <c r="J157" s="73">
        <f t="shared" si="54"/>
        <v>2031</v>
      </c>
      <c r="K157" s="74">
        <f t="shared" si="55"/>
        <v>47849</v>
      </c>
    </row>
    <row r="158" spans="2:11" outlineLevel="1">
      <c r="B158" s="78">
        <f t="shared" si="51"/>
        <v>47880</v>
      </c>
      <c r="C158" s="75">
        <v>2414071.8307304084</v>
      </c>
      <c r="D158" s="71">
        <f>IF(F158&lt;&gt;0,VLOOKUP($J158,'Table 1'!$B$13:$C$33,2,FALSE)/12*1000*Study_MW,0)</f>
        <v>0</v>
      </c>
      <c r="E158" s="71">
        <f t="shared" si="52"/>
        <v>2414071.8307304084</v>
      </c>
      <c r="F158" s="75">
        <v>67200</v>
      </c>
      <c r="G158" s="76">
        <f t="shared" si="53"/>
        <v>35.923687957297744</v>
      </c>
      <c r="I158" s="77">
        <f t="shared" si="50"/>
        <v>28</v>
      </c>
      <c r="J158" s="73">
        <f t="shared" si="54"/>
        <v>2031</v>
      </c>
      <c r="K158" s="78">
        <f t="shared" si="55"/>
        <v>47880</v>
      </c>
    </row>
    <row r="159" spans="2:11" outlineLevel="1">
      <c r="B159" s="78">
        <f t="shared" si="51"/>
        <v>47908</v>
      </c>
      <c r="C159" s="75">
        <v>2571256.8811075389</v>
      </c>
      <c r="D159" s="71">
        <f>IF(F159&lt;&gt;0,VLOOKUP($J159,'Table 1'!$B$13:$C$33,2,FALSE)/12*1000*Study_MW,0)</f>
        <v>0</v>
      </c>
      <c r="E159" s="71">
        <f t="shared" si="52"/>
        <v>2571256.8811075389</v>
      </c>
      <c r="F159" s="75">
        <v>74400</v>
      </c>
      <c r="G159" s="76">
        <f t="shared" si="53"/>
        <v>34.559904315961546</v>
      </c>
      <c r="I159" s="77">
        <f t="shared" si="50"/>
        <v>29</v>
      </c>
      <c r="J159" s="73">
        <f t="shared" si="54"/>
        <v>2031</v>
      </c>
      <c r="K159" s="78">
        <f t="shared" si="55"/>
        <v>47908</v>
      </c>
    </row>
    <row r="160" spans="2:11" outlineLevel="1">
      <c r="B160" s="78">
        <f t="shared" si="51"/>
        <v>47939</v>
      </c>
      <c r="C160" s="75">
        <v>2323419.8576161116</v>
      </c>
      <c r="D160" s="71">
        <f>IF(F160&lt;&gt;0,VLOOKUP($J160,'Table 1'!$B$13:$C$33,2,FALSE)/12*1000*Study_MW,0)</f>
        <v>0</v>
      </c>
      <c r="E160" s="71">
        <f t="shared" si="52"/>
        <v>2323419.8576161116</v>
      </c>
      <c r="F160" s="75">
        <v>72000</v>
      </c>
      <c r="G160" s="76">
        <f t="shared" si="53"/>
        <v>32.269720244668214</v>
      </c>
      <c r="I160" s="77">
        <f t="shared" si="50"/>
        <v>30</v>
      </c>
      <c r="J160" s="73">
        <f t="shared" si="54"/>
        <v>2031</v>
      </c>
      <c r="K160" s="78">
        <f t="shared" si="55"/>
        <v>47939</v>
      </c>
    </row>
    <row r="161" spans="2:11" outlineLevel="1">
      <c r="B161" s="78">
        <f t="shared" si="51"/>
        <v>47969</v>
      </c>
      <c r="C161" s="75">
        <v>2467896.5613794178</v>
      </c>
      <c r="D161" s="71">
        <f>IF(F161&lt;&gt;0,VLOOKUP($J161,'Table 1'!$B$13:$C$33,2,FALSE)/12*1000*Study_MW,0)</f>
        <v>0</v>
      </c>
      <c r="E161" s="71">
        <f t="shared" si="52"/>
        <v>2467896.5613794178</v>
      </c>
      <c r="F161" s="75">
        <v>74400</v>
      </c>
      <c r="G161" s="76">
        <f t="shared" si="53"/>
        <v>33.170652706712602</v>
      </c>
      <c r="I161" s="77">
        <f t="shared" si="50"/>
        <v>31</v>
      </c>
      <c r="J161" s="73">
        <f t="shared" si="54"/>
        <v>2031</v>
      </c>
      <c r="K161" s="78">
        <f t="shared" si="55"/>
        <v>47969</v>
      </c>
    </row>
    <row r="162" spans="2:11" outlineLevel="1">
      <c r="B162" s="78">
        <f t="shared" si="51"/>
        <v>48000</v>
      </c>
      <c r="C162" s="75">
        <v>2929737.7570294142</v>
      </c>
      <c r="D162" s="71">
        <f>IF(F162&lt;&gt;0,VLOOKUP($J162,'Table 1'!$B$13:$C$33,2,FALSE)/12*1000*Study_MW,0)</f>
        <v>0</v>
      </c>
      <c r="E162" s="71">
        <f t="shared" si="52"/>
        <v>2929737.7570294142</v>
      </c>
      <c r="F162" s="75">
        <v>72000</v>
      </c>
      <c r="G162" s="76">
        <f t="shared" si="53"/>
        <v>40.690802180964084</v>
      </c>
      <c r="I162" s="77">
        <f t="shared" si="50"/>
        <v>32</v>
      </c>
      <c r="J162" s="73">
        <f t="shared" si="54"/>
        <v>2031</v>
      </c>
      <c r="K162" s="78">
        <f t="shared" si="55"/>
        <v>48000</v>
      </c>
    </row>
    <row r="163" spans="2:11" outlineLevel="1">
      <c r="B163" s="78">
        <f t="shared" si="51"/>
        <v>48030</v>
      </c>
      <c r="C163" s="75">
        <v>6523361.798994422</v>
      </c>
      <c r="D163" s="71">
        <f>IF(F163&lt;&gt;0,VLOOKUP($J163,'Table 1'!$B$13:$C$33,2,FALSE)/12*1000*Study_MW,0)</f>
        <v>0</v>
      </c>
      <c r="E163" s="71">
        <f t="shared" si="52"/>
        <v>6523361.798994422</v>
      </c>
      <c r="F163" s="75">
        <v>74400</v>
      </c>
      <c r="G163" s="76">
        <f t="shared" si="53"/>
        <v>87.679594072505665</v>
      </c>
      <c r="I163" s="77">
        <f t="shared" si="50"/>
        <v>33</v>
      </c>
      <c r="J163" s="73">
        <f t="shared" si="54"/>
        <v>2031</v>
      </c>
      <c r="K163" s="78">
        <f t="shared" si="55"/>
        <v>48030</v>
      </c>
    </row>
    <row r="164" spans="2:11" outlineLevel="1">
      <c r="B164" s="78">
        <f t="shared" si="51"/>
        <v>48061</v>
      </c>
      <c r="C164" s="75">
        <v>6518962.4209456742</v>
      </c>
      <c r="D164" s="71">
        <f>IF(F164&lt;&gt;0,VLOOKUP($J164,'Table 1'!$B$13:$C$33,2,FALSE)/12*1000*Study_MW,0)</f>
        <v>0</v>
      </c>
      <c r="E164" s="71">
        <f t="shared" si="52"/>
        <v>6518962.4209456742</v>
      </c>
      <c r="F164" s="75">
        <v>74400</v>
      </c>
      <c r="G164" s="76">
        <f t="shared" si="53"/>
        <v>87.620462647119282</v>
      </c>
      <c r="I164" s="77">
        <f t="shared" si="50"/>
        <v>34</v>
      </c>
      <c r="J164" s="73">
        <f t="shared" si="54"/>
        <v>2031</v>
      </c>
      <c r="K164" s="78">
        <f t="shared" si="55"/>
        <v>48061</v>
      </c>
    </row>
    <row r="165" spans="2:11" outlineLevel="1">
      <c r="B165" s="78">
        <f t="shared" si="51"/>
        <v>48092</v>
      </c>
      <c r="C165" s="75">
        <v>3120701.0080230832</v>
      </c>
      <c r="D165" s="71">
        <f>IF(F165&lt;&gt;0,VLOOKUP($J165,'Table 1'!$B$13:$C$33,2,FALSE)/12*1000*Study_MW,0)</f>
        <v>0</v>
      </c>
      <c r="E165" s="71">
        <f t="shared" si="52"/>
        <v>3120701.0080230832</v>
      </c>
      <c r="F165" s="75">
        <v>72000</v>
      </c>
      <c r="G165" s="76">
        <f t="shared" si="53"/>
        <v>43.343069555876156</v>
      </c>
      <c r="I165" s="77">
        <f t="shared" si="50"/>
        <v>35</v>
      </c>
      <c r="J165" s="73">
        <f t="shared" si="54"/>
        <v>2031</v>
      </c>
      <c r="K165" s="78">
        <f t="shared" si="55"/>
        <v>48092</v>
      </c>
    </row>
    <row r="166" spans="2:11" outlineLevel="1">
      <c r="B166" s="78">
        <f t="shared" si="51"/>
        <v>48122</v>
      </c>
      <c r="C166" s="75">
        <v>2751098.5392879248</v>
      </c>
      <c r="D166" s="71">
        <f>IF(F166&lt;&gt;0,VLOOKUP($J166,'Table 1'!$B$13:$C$33,2,FALSE)/12*1000*Study_MW,0)</f>
        <v>0</v>
      </c>
      <c r="E166" s="71">
        <f t="shared" si="52"/>
        <v>2751098.5392879248</v>
      </c>
      <c r="F166" s="75">
        <v>74400</v>
      </c>
      <c r="G166" s="76">
        <f t="shared" si="53"/>
        <v>36.977130904407588</v>
      </c>
      <c r="I166" s="77">
        <f t="shared" si="50"/>
        <v>36</v>
      </c>
      <c r="J166" s="73">
        <f t="shared" si="54"/>
        <v>2031</v>
      </c>
      <c r="K166" s="78">
        <f t="shared" si="55"/>
        <v>48122</v>
      </c>
    </row>
    <row r="167" spans="2:11" outlineLevel="1">
      <c r="B167" s="78">
        <f t="shared" si="51"/>
        <v>48153</v>
      </c>
      <c r="C167" s="75">
        <v>2628818.0604646206</v>
      </c>
      <c r="D167" s="71">
        <f>IF(F167&lt;&gt;0,VLOOKUP($J167,'Table 1'!$B$13:$C$33,2,FALSE)/12*1000*Study_MW,0)</f>
        <v>0</v>
      </c>
      <c r="E167" s="71">
        <f t="shared" si="52"/>
        <v>2628818.0604646206</v>
      </c>
      <c r="F167" s="75">
        <v>72000</v>
      </c>
      <c r="G167" s="76">
        <f t="shared" si="53"/>
        <v>36.511361950897509</v>
      </c>
      <c r="I167" s="77">
        <f t="shared" si="50"/>
        <v>37</v>
      </c>
      <c r="J167" s="73">
        <f t="shared" si="54"/>
        <v>2031</v>
      </c>
      <c r="K167" s="78">
        <f t="shared" si="55"/>
        <v>48153</v>
      </c>
    </row>
    <row r="168" spans="2:11" outlineLevel="1">
      <c r="B168" s="82">
        <f t="shared" si="51"/>
        <v>48183</v>
      </c>
      <c r="C168" s="79">
        <v>2989110.6470783949</v>
      </c>
      <c r="D168" s="80">
        <f>IF(F168&lt;&gt;0,VLOOKUP($J168,'Table 1'!$B$13:$C$33,2,FALSE)/12*1000*Study_MW,0)</f>
        <v>0</v>
      </c>
      <c r="E168" s="80">
        <f t="shared" si="52"/>
        <v>2989110.6470783949</v>
      </c>
      <c r="F168" s="79">
        <v>74400</v>
      </c>
      <c r="G168" s="81">
        <f t="shared" si="53"/>
        <v>40.176218374709606</v>
      </c>
      <c r="I168" s="64">
        <f t="shared" si="50"/>
        <v>38</v>
      </c>
      <c r="J168" s="73">
        <f t="shared" si="54"/>
        <v>2031</v>
      </c>
      <c r="K168" s="82">
        <f t="shared" si="55"/>
        <v>48183</v>
      </c>
    </row>
    <row r="169" spans="2:11" outlineLevel="1">
      <c r="B169" s="74">
        <f t="shared" si="51"/>
        <v>48214</v>
      </c>
      <c r="C169" s="69">
        <v>2807341.1232694089</v>
      </c>
      <c r="D169" s="70">
        <f>IF(F169&lt;&gt;0,VLOOKUP($J169,'Table 1'!$B$13:$C$33,2,FALSE)/12*1000*Study_MW,0)</f>
        <v>0</v>
      </c>
      <c r="E169" s="70">
        <f t="shared" si="52"/>
        <v>2807341.1232694089</v>
      </c>
      <c r="F169" s="69">
        <v>74400</v>
      </c>
      <c r="G169" s="72">
        <f t="shared" si="53"/>
        <v>37.733079613836139</v>
      </c>
      <c r="I169" s="60">
        <f>I49</f>
        <v>40</v>
      </c>
      <c r="J169" s="73">
        <f t="shared" si="54"/>
        <v>2032</v>
      </c>
      <c r="K169" s="74">
        <f t="shared" si="55"/>
        <v>48214</v>
      </c>
    </row>
    <row r="170" spans="2:11" outlineLevel="1">
      <c r="B170" s="78">
        <f t="shared" si="51"/>
        <v>48245</v>
      </c>
      <c r="C170" s="75">
        <v>2570667.403043285</v>
      </c>
      <c r="D170" s="71">
        <f>IF(F170&lt;&gt;0,VLOOKUP($J170,'Table 1'!$B$13:$C$33,2,FALSE)/12*1000*Study_MW,0)</f>
        <v>0</v>
      </c>
      <c r="E170" s="71">
        <f t="shared" si="52"/>
        <v>2570667.403043285</v>
      </c>
      <c r="F170" s="75">
        <v>69600</v>
      </c>
      <c r="G170" s="76">
        <f t="shared" si="53"/>
        <v>36.934876480506972</v>
      </c>
      <c r="I170" s="77">
        <f t="shared" si="50"/>
        <v>41</v>
      </c>
      <c r="J170" s="73">
        <f t="shared" si="54"/>
        <v>2032</v>
      </c>
      <c r="K170" s="78">
        <f t="shared" si="55"/>
        <v>48245</v>
      </c>
    </row>
    <row r="171" spans="2:11" outlineLevel="1">
      <c r="B171" s="78">
        <f t="shared" si="51"/>
        <v>48274</v>
      </c>
      <c r="C171" s="75">
        <v>2687028.5626381338</v>
      </c>
      <c r="D171" s="71">
        <f>IF(F171&lt;&gt;0,VLOOKUP($J171,'Table 1'!$B$13:$C$33,2,FALSE)/12*1000*Study_MW,0)</f>
        <v>0</v>
      </c>
      <c r="E171" s="71">
        <f t="shared" si="52"/>
        <v>2687028.5626381338</v>
      </c>
      <c r="F171" s="75">
        <v>74400</v>
      </c>
      <c r="G171" s="76">
        <f t="shared" si="53"/>
        <v>36.115975304275992</v>
      </c>
      <c r="I171" s="77">
        <f t="shared" si="50"/>
        <v>42</v>
      </c>
      <c r="J171" s="73">
        <f t="shared" si="54"/>
        <v>2032</v>
      </c>
      <c r="K171" s="78">
        <f t="shared" si="55"/>
        <v>48274</v>
      </c>
    </row>
    <row r="172" spans="2:11" outlineLevel="1">
      <c r="B172" s="78">
        <f t="shared" si="51"/>
        <v>48305</v>
      </c>
      <c r="C172" s="75">
        <v>2643174.2439478338</v>
      </c>
      <c r="D172" s="71">
        <f>IF(F172&lt;&gt;0,VLOOKUP($J172,'Table 1'!$B$13:$C$33,2,FALSE)/12*1000*Study_MW,0)</f>
        <v>0</v>
      </c>
      <c r="E172" s="71">
        <f t="shared" si="52"/>
        <v>2643174.2439478338</v>
      </c>
      <c r="F172" s="75">
        <v>72000</v>
      </c>
      <c r="G172" s="76">
        <f t="shared" si="53"/>
        <v>36.710753388164356</v>
      </c>
      <c r="I172" s="77">
        <f t="shared" si="50"/>
        <v>43</v>
      </c>
      <c r="J172" s="73">
        <f t="shared" si="54"/>
        <v>2032</v>
      </c>
      <c r="K172" s="78">
        <f t="shared" si="55"/>
        <v>48305</v>
      </c>
    </row>
    <row r="173" spans="2:11" outlineLevel="1">
      <c r="B173" s="78">
        <f t="shared" si="51"/>
        <v>48335</v>
      </c>
      <c r="C173" s="75">
        <v>2505548.0060994476</v>
      </c>
      <c r="D173" s="71">
        <f>IF(F173&lt;&gt;0,VLOOKUP($J173,'Table 1'!$B$13:$C$33,2,FALSE)/12*1000*Study_MW,0)</f>
        <v>0</v>
      </c>
      <c r="E173" s="71">
        <f t="shared" si="52"/>
        <v>2505548.0060994476</v>
      </c>
      <c r="F173" s="75">
        <v>74400</v>
      </c>
      <c r="G173" s="76">
        <f t="shared" si="53"/>
        <v>33.676720512089346</v>
      </c>
      <c r="I173" s="77">
        <f t="shared" si="50"/>
        <v>44</v>
      </c>
      <c r="J173" s="73">
        <f t="shared" si="54"/>
        <v>2032</v>
      </c>
      <c r="K173" s="78">
        <f t="shared" si="55"/>
        <v>48335</v>
      </c>
    </row>
    <row r="174" spans="2:11" outlineLevel="1">
      <c r="B174" s="78">
        <f t="shared" si="51"/>
        <v>48366</v>
      </c>
      <c r="C174" s="75">
        <v>3340257.4394170046</v>
      </c>
      <c r="D174" s="71">
        <f>IF(F174&lt;&gt;0,VLOOKUP($J174,'Table 1'!$B$13:$C$33,2,FALSE)/12*1000*Study_MW,0)</f>
        <v>0</v>
      </c>
      <c r="E174" s="71">
        <f t="shared" si="52"/>
        <v>3340257.4394170046</v>
      </c>
      <c r="F174" s="75">
        <v>72000</v>
      </c>
      <c r="G174" s="76">
        <f t="shared" si="53"/>
        <v>46.392464436347289</v>
      </c>
      <c r="I174" s="77">
        <f t="shared" si="50"/>
        <v>45</v>
      </c>
      <c r="J174" s="73">
        <f t="shared" si="54"/>
        <v>2032</v>
      </c>
      <c r="K174" s="78">
        <f t="shared" si="55"/>
        <v>48366</v>
      </c>
    </row>
    <row r="175" spans="2:11" outlineLevel="1">
      <c r="B175" s="78">
        <f t="shared" si="51"/>
        <v>48396</v>
      </c>
      <c r="C175" s="75">
        <v>6742478.5003533065</v>
      </c>
      <c r="D175" s="71">
        <f>IF(F175&lt;&gt;0,VLOOKUP($J175,'Table 1'!$B$13:$C$33,2,FALSE)/12*1000*Study_MW,0)</f>
        <v>0</v>
      </c>
      <c r="E175" s="71">
        <f t="shared" si="52"/>
        <v>6742478.5003533065</v>
      </c>
      <c r="F175" s="75">
        <v>74400</v>
      </c>
      <c r="G175" s="76">
        <f t="shared" si="53"/>
        <v>90.624711026254118</v>
      </c>
      <c r="I175" s="77">
        <f t="shared" si="50"/>
        <v>46</v>
      </c>
      <c r="J175" s="73">
        <f t="shared" si="54"/>
        <v>2032</v>
      </c>
      <c r="K175" s="78">
        <f t="shared" si="55"/>
        <v>48396</v>
      </c>
    </row>
    <row r="176" spans="2:11" outlineLevel="1">
      <c r="B176" s="78">
        <f t="shared" si="51"/>
        <v>48427</v>
      </c>
      <c r="C176" s="75">
        <v>6739245.3699139059</v>
      </c>
      <c r="D176" s="71">
        <f>IF(F176&lt;&gt;0,VLOOKUP($J176,'Table 1'!$B$13:$C$33,2,FALSE)/12*1000*Study_MW,0)</f>
        <v>0</v>
      </c>
      <c r="E176" s="71">
        <f t="shared" si="52"/>
        <v>6739245.3699139059</v>
      </c>
      <c r="F176" s="75">
        <v>74400</v>
      </c>
      <c r="G176" s="76">
        <f t="shared" si="53"/>
        <v>90.581254971961101</v>
      </c>
      <c r="I176" s="77">
        <f t="shared" si="50"/>
        <v>47</v>
      </c>
      <c r="J176" s="73">
        <f t="shared" si="54"/>
        <v>2032</v>
      </c>
      <c r="K176" s="78">
        <f t="shared" si="55"/>
        <v>48427</v>
      </c>
    </row>
    <row r="177" spans="2:11" outlineLevel="1">
      <c r="B177" s="78">
        <f t="shared" si="51"/>
        <v>48458</v>
      </c>
      <c r="C177" s="75">
        <v>3241539.8414338231</v>
      </c>
      <c r="D177" s="71">
        <f>IF(F177&lt;&gt;0,VLOOKUP($J177,'Table 1'!$B$13:$C$33,2,FALSE)/12*1000*Study_MW,0)</f>
        <v>0</v>
      </c>
      <c r="E177" s="71">
        <f t="shared" si="52"/>
        <v>3241539.8414338231</v>
      </c>
      <c r="F177" s="75">
        <v>72000</v>
      </c>
      <c r="G177" s="76">
        <f t="shared" si="53"/>
        <v>45.021386686580875</v>
      </c>
      <c r="I177" s="77">
        <f t="shared" si="50"/>
        <v>48</v>
      </c>
      <c r="J177" s="73">
        <f t="shared" si="54"/>
        <v>2032</v>
      </c>
      <c r="K177" s="78">
        <f t="shared" si="55"/>
        <v>48458</v>
      </c>
    </row>
    <row r="178" spans="2:11" outlineLevel="1">
      <c r="B178" s="78">
        <f t="shared" si="51"/>
        <v>48488</v>
      </c>
      <c r="C178" s="75">
        <v>2835623.8494743705</v>
      </c>
      <c r="D178" s="71">
        <f>IF(F178&lt;&gt;0,VLOOKUP($J178,'Table 1'!$B$13:$C$33,2,FALSE)/12*1000*Study_MW,0)</f>
        <v>0</v>
      </c>
      <c r="E178" s="71">
        <f t="shared" si="52"/>
        <v>2835623.8494743705</v>
      </c>
      <c r="F178" s="75">
        <v>74400</v>
      </c>
      <c r="G178" s="76">
        <f t="shared" si="53"/>
        <v>38.113223783257666</v>
      </c>
      <c r="I178" s="77">
        <f t="shared" si="50"/>
        <v>49</v>
      </c>
      <c r="J178" s="73">
        <f t="shared" si="54"/>
        <v>2032</v>
      </c>
      <c r="K178" s="78">
        <f t="shared" si="55"/>
        <v>48488</v>
      </c>
    </row>
    <row r="179" spans="2:11" outlineLevel="1">
      <c r="B179" s="78">
        <f t="shared" si="51"/>
        <v>48519</v>
      </c>
      <c r="C179" s="75">
        <v>2754474.506883651</v>
      </c>
      <c r="D179" s="71">
        <f>IF(F179&lt;&gt;0,VLOOKUP($J179,'Table 1'!$B$13:$C$33,2,FALSE)/12*1000*Study_MW,0)</f>
        <v>0</v>
      </c>
      <c r="E179" s="71">
        <f t="shared" si="52"/>
        <v>2754474.506883651</v>
      </c>
      <c r="F179" s="75">
        <v>72000</v>
      </c>
      <c r="G179" s="76">
        <f t="shared" si="53"/>
        <v>38.256590373384043</v>
      </c>
      <c r="I179" s="77">
        <f t="shared" si="50"/>
        <v>50</v>
      </c>
      <c r="J179" s="73">
        <f t="shared" si="54"/>
        <v>2032</v>
      </c>
      <c r="K179" s="78">
        <f t="shared" si="55"/>
        <v>48519</v>
      </c>
    </row>
    <row r="180" spans="2:11" outlineLevel="1">
      <c r="B180" s="82">
        <f t="shared" si="51"/>
        <v>48549</v>
      </c>
      <c r="C180" s="79">
        <v>3222665.8011937439</v>
      </c>
      <c r="D180" s="80">
        <f>IF(F180&lt;&gt;0,VLOOKUP($J180,'Table 1'!$B$13:$C$33,2,FALSE)/12*1000*Study_MW,0)</f>
        <v>0</v>
      </c>
      <c r="E180" s="80">
        <f t="shared" si="52"/>
        <v>3222665.8011937439</v>
      </c>
      <c r="F180" s="79">
        <v>74400</v>
      </c>
      <c r="G180" s="81">
        <f t="shared" si="53"/>
        <v>43.315400553679353</v>
      </c>
      <c r="I180" s="64">
        <f t="shared" si="50"/>
        <v>51</v>
      </c>
      <c r="J180" s="73">
        <f t="shared" si="54"/>
        <v>2032</v>
      </c>
      <c r="K180" s="82">
        <f t="shared" si="55"/>
        <v>48549</v>
      </c>
    </row>
    <row r="181" spans="2:11" outlineLevel="1" collapsed="1">
      <c r="B181" s="74">
        <f t="shared" si="51"/>
        <v>48580</v>
      </c>
      <c r="C181" s="69">
        <v>3073286.17766729</v>
      </c>
      <c r="D181" s="70">
        <f>IF(F181&lt;&gt;0,VLOOKUP($J181,'Table 1'!$B$13:$C$33,2,FALSE)/12*1000*Study_MW,0)</f>
        <v>0</v>
      </c>
      <c r="E181" s="70">
        <f t="shared" si="52"/>
        <v>3073286.17766729</v>
      </c>
      <c r="F181" s="69">
        <v>74400</v>
      </c>
      <c r="G181" s="72">
        <f t="shared" si="53"/>
        <v>41.307609914882931</v>
      </c>
      <c r="I181" s="60">
        <f>I61</f>
        <v>53</v>
      </c>
      <c r="J181" s="73">
        <f t="shared" si="54"/>
        <v>2033</v>
      </c>
      <c r="K181" s="74">
        <f t="shared" si="55"/>
        <v>48580</v>
      </c>
    </row>
    <row r="182" spans="2:11" outlineLevel="1">
      <c r="B182" s="78">
        <f t="shared" si="51"/>
        <v>48611</v>
      </c>
      <c r="C182" s="75">
        <v>2875480.1419719756</v>
      </c>
      <c r="D182" s="71">
        <f>IF(F182&lt;&gt;0,VLOOKUP($J182,'Table 1'!$B$13:$C$33,2,FALSE)/12*1000*Study_MW,0)</f>
        <v>0</v>
      </c>
      <c r="E182" s="71">
        <f t="shared" si="52"/>
        <v>2875480.1419719756</v>
      </c>
      <c r="F182" s="75">
        <v>67200</v>
      </c>
      <c r="G182" s="76">
        <f t="shared" si="53"/>
        <v>42.789883065059158</v>
      </c>
      <c r="I182" s="77">
        <f t="shared" si="50"/>
        <v>54</v>
      </c>
      <c r="J182" s="73">
        <f t="shared" si="54"/>
        <v>2033</v>
      </c>
      <c r="K182" s="78">
        <f t="shared" si="55"/>
        <v>48611</v>
      </c>
    </row>
    <row r="183" spans="2:11" outlineLevel="1">
      <c r="B183" s="78">
        <f t="shared" si="51"/>
        <v>48639</v>
      </c>
      <c r="C183" s="75">
        <v>2862560.3783514798</v>
      </c>
      <c r="D183" s="71">
        <f>IF(F183&lt;&gt;0,VLOOKUP($J183,'Table 1'!$B$13:$C$33,2,FALSE)/12*1000*Study_MW,0)</f>
        <v>0</v>
      </c>
      <c r="E183" s="71">
        <f t="shared" si="52"/>
        <v>2862560.3783514798</v>
      </c>
      <c r="F183" s="75">
        <v>74400</v>
      </c>
      <c r="G183" s="76">
        <f t="shared" si="53"/>
        <v>38.475273902573655</v>
      </c>
      <c r="I183" s="77">
        <f t="shared" si="50"/>
        <v>55</v>
      </c>
      <c r="J183" s="73">
        <f t="shared" si="54"/>
        <v>2033</v>
      </c>
      <c r="K183" s="78">
        <f t="shared" si="55"/>
        <v>48639</v>
      </c>
    </row>
    <row r="184" spans="2:11" outlineLevel="1">
      <c r="B184" s="78">
        <f t="shared" si="51"/>
        <v>48670</v>
      </c>
      <c r="C184" s="75">
        <v>2614117.2259374261</v>
      </c>
      <c r="D184" s="71">
        <f>IF(F184&lt;&gt;0,VLOOKUP($J184,'Table 1'!$B$13:$C$33,2,FALSE)/12*1000*Study_MW,0)</f>
        <v>0</v>
      </c>
      <c r="E184" s="71">
        <f t="shared" si="52"/>
        <v>2614117.2259374261</v>
      </c>
      <c r="F184" s="75">
        <v>72000</v>
      </c>
      <c r="G184" s="76">
        <f t="shared" si="53"/>
        <v>36.307183693575361</v>
      </c>
      <c r="I184" s="77">
        <f t="shared" si="50"/>
        <v>56</v>
      </c>
      <c r="J184" s="73">
        <f t="shared" si="54"/>
        <v>2033</v>
      </c>
      <c r="K184" s="78">
        <f t="shared" si="55"/>
        <v>48670</v>
      </c>
    </row>
    <row r="185" spans="2:11" outlineLevel="1">
      <c r="B185" s="78">
        <f t="shared" si="51"/>
        <v>48700</v>
      </c>
      <c r="C185" s="75">
        <v>2497533.2949359268</v>
      </c>
      <c r="D185" s="71">
        <f>IF(F185&lt;&gt;0,VLOOKUP($J185,'Table 1'!$B$13:$C$33,2,FALSE)/12*1000*Study_MW,0)</f>
        <v>0</v>
      </c>
      <c r="E185" s="71">
        <f t="shared" si="52"/>
        <v>2497533.2949359268</v>
      </c>
      <c r="F185" s="75">
        <v>74400</v>
      </c>
      <c r="G185" s="76">
        <f t="shared" si="53"/>
        <v>33.568995899676437</v>
      </c>
      <c r="I185" s="77">
        <f t="shared" si="50"/>
        <v>57</v>
      </c>
      <c r="J185" s="73">
        <f t="shared" si="54"/>
        <v>2033</v>
      </c>
      <c r="K185" s="78">
        <f t="shared" si="55"/>
        <v>48700</v>
      </c>
    </row>
    <row r="186" spans="2:11" outlineLevel="1">
      <c r="B186" s="78">
        <f t="shared" si="51"/>
        <v>48731</v>
      </c>
      <c r="C186" s="75">
        <v>3806699.8844351768</v>
      </c>
      <c r="D186" s="71">
        <f>IF(F186&lt;&gt;0,VLOOKUP($J186,'Table 1'!$B$13:$C$33,2,FALSE)/12*1000*Study_MW,0)</f>
        <v>0</v>
      </c>
      <c r="E186" s="71">
        <f t="shared" si="52"/>
        <v>3806699.8844351768</v>
      </c>
      <c r="F186" s="75">
        <v>72000</v>
      </c>
      <c r="G186" s="76">
        <f t="shared" si="53"/>
        <v>52.870831728266346</v>
      </c>
      <c r="I186" s="77">
        <f t="shared" si="50"/>
        <v>58</v>
      </c>
      <c r="J186" s="73">
        <f t="shared" si="54"/>
        <v>2033</v>
      </c>
      <c r="K186" s="78">
        <f t="shared" si="55"/>
        <v>48731</v>
      </c>
    </row>
    <row r="187" spans="2:11" outlineLevel="1">
      <c r="B187" s="78">
        <f t="shared" si="51"/>
        <v>48761</v>
      </c>
      <c r="C187" s="75">
        <v>8359971.2448259592</v>
      </c>
      <c r="D187" s="71">
        <f>IF(F187&lt;&gt;0,VLOOKUP($J187,'Table 1'!$B$13:$C$33,2,FALSE)/12*1000*Study_MW,0)</f>
        <v>0</v>
      </c>
      <c r="E187" s="71">
        <f t="shared" si="52"/>
        <v>8359971.2448259592</v>
      </c>
      <c r="F187" s="75">
        <v>74400</v>
      </c>
      <c r="G187" s="76">
        <f t="shared" si="53"/>
        <v>112.36520490357472</v>
      </c>
      <c r="I187" s="77">
        <f t="shared" si="50"/>
        <v>59</v>
      </c>
      <c r="J187" s="73">
        <f t="shared" si="54"/>
        <v>2033</v>
      </c>
      <c r="K187" s="78">
        <f t="shared" si="55"/>
        <v>48761</v>
      </c>
    </row>
    <row r="188" spans="2:11" outlineLevel="1">
      <c r="B188" s="78">
        <f t="shared" si="51"/>
        <v>48792</v>
      </c>
      <c r="C188" s="75">
        <v>7541505.3534495831</v>
      </c>
      <c r="D188" s="71">
        <f>IF(F188&lt;&gt;0,VLOOKUP($J188,'Table 1'!$B$13:$C$33,2,FALSE)/12*1000*Study_MW,0)</f>
        <v>0</v>
      </c>
      <c r="E188" s="71">
        <f t="shared" si="52"/>
        <v>7541505.3534495831</v>
      </c>
      <c r="F188" s="75">
        <v>74400</v>
      </c>
      <c r="G188" s="76">
        <f t="shared" si="53"/>
        <v>101.36431926679548</v>
      </c>
      <c r="I188" s="77">
        <f t="shared" si="50"/>
        <v>60</v>
      </c>
      <c r="J188" s="73">
        <f t="shared" si="54"/>
        <v>2033</v>
      </c>
      <c r="K188" s="78">
        <f t="shared" si="55"/>
        <v>48792</v>
      </c>
    </row>
    <row r="189" spans="2:11" outlineLevel="1">
      <c r="B189" s="78">
        <f t="shared" si="51"/>
        <v>48823</v>
      </c>
      <c r="C189" s="75">
        <v>3551402.9311726689</v>
      </c>
      <c r="D189" s="71">
        <f>IF(F189&lt;&gt;0,VLOOKUP($J189,'Table 1'!$B$13:$C$33,2,FALSE)/12*1000*Study_MW,0)</f>
        <v>0</v>
      </c>
      <c r="E189" s="71">
        <f t="shared" si="52"/>
        <v>3551402.9311726689</v>
      </c>
      <c r="F189" s="75">
        <v>72000</v>
      </c>
      <c r="G189" s="76">
        <f t="shared" si="53"/>
        <v>49.325040710731514</v>
      </c>
      <c r="I189" s="77">
        <f t="shared" si="50"/>
        <v>61</v>
      </c>
      <c r="J189" s="73">
        <f t="shared" si="54"/>
        <v>2033</v>
      </c>
      <c r="K189" s="78">
        <f t="shared" si="55"/>
        <v>48823</v>
      </c>
    </row>
    <row r="190" spans="2:11" outlineLevel="1">
      <c r="B190" s="78">
        <f t="shared" si="51"/>
        <v>48853</v>
      </c>
      <c r="C190" s="75">
        <v>3155961.3225165009</v>
      </c>
      <c r="D190" s="71">
        <f>IF(F190&lt;&gt;0,VLOOKUP($J190,'Table 1'!$B$13:$C$33,2,FALSE)/12*1000*Study_MW,0)</f>
        <v>0</v>
      </c>
      <c r="E190" s="71">
        <f t="shared" si="52"/>
        <v>3155961.3225165009</v>
      </c>
      <c r="F190" s="75">
        <v>74400</v>
      </c>
      <c r="G190" s="76">
        <f t="shared" si="53"/>
        <v>42.418834980060495</v>
      </c>
      <c r="I190" s="77">
        <f t="shared" si="50"/>
        <v>62</v>
      </c>
      <c r="J190" s="73">
        <f t="shared" si="54"/>
        <v>2033</v>
      </c>
      <c r="K190" s="78">
        <f t="shared" si="55"/>
        <v>48853</v>
      </c>
    </row>
    <row r="191" spans="2:11" outlineLevel="1">
      <c r="B191" s="78">
        <f t="shared" si="51"/>
        <v>48884</v>
      </c>
      <c r="C191" s="75">
        <v>3039551.7180135846</v>
      </c>
      <c r="D191" s="71">
        <f>IF(F191&lt;&gt;0,VLOOKUP($J191,'Table 1'!$B$13:$C$33,2,FALSE)/12*1000*Study_MW,0)</f>
        <v>0</v>
      </c>
      <c r="E191" s="71">
        <f t="shared" si="52"/>
        <v>3039551.7180135846</v>
      </c>
      <c r="F191" s="75">
        <v>72000</v>
      </c>
      <c r="G191" s="76">
        <f t="shared" si="53"/>
        <v>42.215996083522008</v>
      </c>
      <c r="I191" s="77">
        <f t="shared" si="50"/>
        <v>63</v>
      </c>
      <c r="J191" s="73">
        <f t="shared" si="54"/>
        <v>2033</v>
      </c>
      <c r="K191" s="78">
        <f t="shared" si="55"/>
        <v>48884</v>
      </c>
    </row>
    <row r="192" spans="2:11" outlineLevel="1">
      <c r="B192" s="82">
        <f t="shared" si="51"/>
        <v>48914</v>
      </c>
      <c r="C192" s="79">
        <v>3458375.0213180184</v>
      </c>
      <c r="D192" s="80">
        <f>IF(F192&lt;&gt;0,VLOOKUP($J192,'Table 1'!$B$13:$C$33,2,FALSE)/12*1000*Study_MW,0)</f>
        <v>0</v>
      </c>
      <c r="E192" s="80">
        <f t="shared" si="52"/>
        <v>3458375.0213180184</v>
      </c>
      <c r="F192" s="79">
        <v>74400</v>
      </c>
      <c r="G192" s="81">
        <f t="shared" si="53"/>
        <v>46.483535232769064</v>
      </c>
      <c r="I192" s="64">
        <f t="shared" si="50"/>
        <v>64</v>
      </c>
      <c r="J192" s="73">
        <f t="shared" si="54"/>
        <v>2033</v>
      </c>
      <c r="K192" s="82">
        <f t="shared" si="55"/>
        <v>48914</v>
      </c>
    </row>
    <row r="193" spans="2:13">
      <c r="B193" s="74">
        <f t="shared" si="51"/>
        <v>48945</v>
      </c>
      <c r="C193" s="69">
        <v>3244325.286257416</v>
      </c>
      <c r="D193" s="70">
        <f>IF(F193&lt;&gt;0,VLOOKUP($J193,'Table 1'!$B$13:$C$33,2,FALSE)/12*1000*Study_MW,0)</f>
        <v>0</v>
      </c>
      <c r="E193" s="70">
        <f t="shared" ref="E193:E228" si="56">C193+D193</f>
        <v>3244325.286257416</v>
      </c>
      <c r="F193" s="69">
        <v>74400</v>
      </c>
      <c r="G193" s="72">
        <f t="shared" ref="G193:G228" si="57">IF(ISNUMBER($F193),E193/$F193,"")</f>
        <v>43.606522664750216</v>
      </c>
      <c r="I193" s="60">
        <f>I73</f>
        <v>66</v>
      </c>
      <c r="J193" s="73">
        <f t="shared" ref="J193:J256" si="58">YEAR(B193)</f>
        <v>2034</v>
      </c>
      <c r="K193" s="74">
        <f t="shared" ref="K193:K256" si="59">IF(ISNUMBER(F193),IF(F193&lt;&gt;0,B193,""),"")</f>
        <v>48945</v>
      </c>
      <c r="M193" s="41">
        <v>2.1999999999999999E-2</v>
      </c>
    </row>
    <row r="194" spans="2:13">
      <c r="B194" s="78">
        <f t="shared" si="51"/>
        <v>48976</v>
      </c>
      <c r="C194" s="75">
        <v>3054864.9059379399</v>
      </c>
      <c r="D194" s="71">
        <f>IF(F194&lt;&gt;0,VLOOKUP($J194,'Table 1'!$B$13:$C$33,2,FALSE)/12*1000*Study_MW,0)</f>
        <v>0</v>
      </c>
      <c r="E194" s="71">
        <f t="shared" si="56"/>
        <v>3054864.9059379399</v>
      </c>
      <c r="F194" s="75">
        <v>67200</v>
      </c>
      <c r="G194" s="76">
        <f t="shared" si="57"/>
        <v>45.459299195505061</v>
      </c>
      <c r="I194" s="77">
        <f t="shared" si="50"/>
        <v>67</v>
      </c>
      <c r="J194" s="73">
        <f t="shared" si="58"/>
        <v>2034</v>
      </c>
      <c r="K194" s="78">
        <f t="shared" si="59"/>
        <v>48976</v>
      </c>
      <c r="M194" s="41">
        <v>2.1999999999999999E-2</v>
      </c>
    </row>
    <row r="195" spans="2:13">
      <c r="B195" s="78">
        <f t="shared" si="51"/>
        <v>49004</v>
      </c>
      <c r="C195" s="75">
        <v>3051205.7328723371</v>
      </c>
      <c r="D195" s="71">
        <f>IF(F195&lt;&gt;0,VLOOKUP($J195,'Table 1'!$B$13:$C$33,2,FALSE)/12*1000*Study_MW,0)</f>
        <v>0</v>
      </c>
      <c r="E195" s="71">
        <f t="shared" si="56"/>
        <v>3051205.7328723371</v>
      </c>
      <c r="F195" s="75">
        <v>74400</v>
      </c>
      <c r="G195" s="76">
        <f t="shared" si="57"/>
        <v>41.01082974290776</v>
      </c>
      <c r="I195" s="77">
        <f t="shared" si="50"/>
        <v>68</v>
      </c>
      <c r="J195" s="73">
        <f t="shared" si="58"/>
        <v>2034</v>
      </c>
      <c r="K195" s="78">
        <f t="shared" si="59"/>
        <v>49004</v>
      </c>
      <c r="M195" s="41">
        <v>2.1999999999999999E-2</v>
      </c>
    </row>
    <row r="196" spans="2:13">
      <c r="B196" s="78">
        <f t="shared" si="51"/>
        <v>49035</v>
      </c>
      <c r="C196" s="75">
        <v>2781040.7919221073</v>
      </c>
      <c r="D196" s="71">
        <f>IF(F196&lt;&gt;0,VLOOKUP($J196,'Table 1'!$B$13:$C$33,2,FALSE)/12*1000*Study_MW,0)</f>
        <v>0</v>
      </c>
      <c r="E196" s="71">
        <f t="shared" si="56"/>
        <v>2781040.7919221073</v>
      </c>
      <c r="F196" s="75">
        <v>72000</v>
      </c>
      <c r="G196" s="76">
        <f t="shared" si="57"/>
        <v>38.625566554473714</v>
      </c>
      <c r="I196" s="77">
        <f t="shared" si="50"/>
        <v>69</v>
      </c>
      <c r="J196" s="73">
        <f t="shared" si="58"/>
        <v>2034</v>
      </c>
      <c r="K196" s="78">
        <f t="shared" si="59"/>
        <v>49035</v>
      </c>
      <c r="M196" s="41">
        <v>2.1999999999999999E-2</v>
      </c>
    </row>
    <row r="197" spans="2:13">
      <c r="B197" s="78">
        <f t="shared" si="51"/>
        <v>49065</v>
      </c>
      <c r="C197" s="75">
        <v>2498444.0597034097</v>
      </c>
      <c r="D197" s="71">
        <f>IF(F197&lt;&gt;0,VLOOKUP($J197,'Table 1'!$B$13:$C$33,2,FALSE)/12*1000*Study_MW,0)</f>
        <v>0</v>
      </c>
      <c r="E197" s="71">
        <f t="shared" si="56"/>
        <v>2498444.0597034097</v>
      </c>
      <c r="F197" s="75">
        <v>74400</v>
      </c>
      <c r="G197" s="76">
        <f t="shared" si="57"/>
        <v>33.58123736160497</v>
      </c>
      <c r="I197" s="77">
        <f t="shared" si="50"/>
        <v>70</v>
      </c>
      <c r="J197" s="73">
        <f t="shared" si="58"/>
        <v>2034</v>
      </c>
      <c r="K197" s="78">
        <f t="shared" si="59"/>
        <v>49065</v>
      </c>
      <c r="M197" s="41">
        <v>2.1999999999999999E-2</v>
      </c>
    </row>
    <row r="198" spans="2:13">
      <c r="B198" s="78">
        <f t="shared" si="51"/>
        <v>49096</v>
      </c>
      <c r="C198" s="75">
        <v>4049562.3079793453</v>
      </c>
      <c r="D198" s="71">
        <f>IF(F198&lt;&gt;0,VLOOKUP($J198,'Table 1'!$B$13:$C$33,2,FALSE)/12*1000*Study_MW,0)</f>
        <v>0</v>
      </c>
      <c r="E198" s="71">
        <f t="shared" si="56"/>
        <v>4049562.3079793453</v>
      </c>
      <c r="F198" s="75">
        <v>72000</v>
      </c>
      <c r="G198" s="76">
        <f t="shared" si="57"/>
        <v>56.243920944157573</v>
      </c>
      <c r="I198" s="77">
        <f t="shared" ref="I198:I204" si="60">I78</f>
        <v>71</v>
      </c>
      <c r="J198" s="73">
        <f t="shared" si="58"/>
        <v>2034</v>
      </c>
      <c r="K198" s="78">
        <f t="shared" si="59"/>
        <v>49096</v>
      </c>
      <c r="M198" s="41">
        <v>2.1999999999999999E-2</v>
      </c>
    </row>
    <row r="199" spans="2:13">
      <c r="B199" s="78">
        <f t="shared" si="51"/>
        <v>49126</v>
      </c>
      <c r="C199" s="75">
        <v>8821615.0211071372</v>
      </c>
      <c r="D199" s="71">
        <f>IF(F199&lt;&gt;0,VLOOKUP($J199,'Table 1'!$B$13:$C$33,2,FALSE)/12*1000*Study_MW,0)</f>
        <v>0</v>
      </c>
      <c r="E199" s="71">
        <f t="shared" si="56"/>
        <v>8821615.0211071372</v>
      </c>
      <c r="F199" s="75">
        <v>74400</v>
      </c>
      <c r="G199" s="76">
        <f t="shared" si="57"/>
        <v>118.57009436971958</v>
      </c>
      <c r="I199" s="77">
        <f t="shared" si="60"/>
        <v>72</v>
      </c>
      <c r="J199" s="73">
        <f t="shared" si="58"/>
        <v>2034</v>
      </c>
      <c r="K199" s="78">
        <f t="shared" si="59"/>
        <v>49126</v>
      </c>
      <c r="M199" s="41">
        <v>2.1999999999999999E-2</v>
      </c>
    </row>
    <row r="200" spans="2:13">
      <c r="B200" s="78">
        <f t="shared" si="51"/>
        <v>49157</v>
      </c>
      <c r="C200" s="75">
        <v>8049924.2866476178</v>
      </c>
      <c r="D200" s="71">
        <f>IF(F200&lt;&gt;0,VLOOKUP($J200,'Table 1'!$B$13:$C$33,2,FALSE)/12*1000*Study_MW,0)</f>
        <v>0</v>
      </c>
      <c r="E200" s="71">
        <f t="shared" si="56"/>
        <v>8049924.2866476178</v>
      </c>
      <c r="F200" s="75">
        <v>74400</v>
      </c>
      <c r="G200" s="76">
        <f t="shared" si="57"/>
        <v>108.19790707859701</v>
      </c>
      <c r="I200" s="77">
        <f t="shared" si="60"/>
        <v>73</v>
      </c>
      <c r="J200" s="73">
        <f t="shared" si="58"/>
        <v>2034</v>
      </c>
      <c r="K200" s="78">
        <f t="shared" si="59"/>
        <v>49157</v>
      </c>
      <c r="M200" s="41">
        <v>2.1999999999999999E-2</v>
      </c>
    </row>
    <row r="201" spans="2:13">
      <c r="B201" s="78">
        <f t="shared" si="51"/>
        <v>49188</v>
      </c>
      <c r="C201" s="75">
        <v>3631325.6632050872</v>
      </c>
      <c r="D201" s="71">
        <f>IF(F201&lt;&gt;0,VLOOKUP($J201,'Table 1'!$B$13:$C$33,2,FALSE)/12*1000*Study_MW,0)</f>
        <v>0</v>
      </c>
      <c r="E201" s="71">
        <f t="shared" si="56"/>
        <v>3631325.6632050872</v>
      </c>
      <c r="F201" s="75">
        <v>72000</v>
      </c>
      <c r="G201" s="76">
        <f t="shared" si="57"/>
        <v>50.435078655626214</v>
      </c>
      <c r="I201" s="77">
        <f t="shared" si="60"/>
        <v>74</v>
      </c>
      <c r="J201" s="73">
        <f t="shared" si="58"/>
        <v>2034</v>
      </c>
      <c r="K201" s="78">
        <f t="shared" si="59"/>
        <v>49188</v>
      </c>
      <c r="M201" s="41">
        <v>2.1999999999999999E-2</v>
      </c>
    </row>
    <row r="202" spans="2:13">
      <c r="B202" s="78">
        <f t="shared" si="51"/>
        <v>49218</v>
      </c>
      <c r="C202" s="75">
        <v>3207510.5446517766</v>
      </c>
      <c r="D202" s="71">
        <f>IF(F202&lt;&gt;0,VLOOKUP($J202,'Table 1'!$B$13:$C$33,2,FALSE)/12*1000*Study_MW,0)</f>
        <v>0</v>
      </c>
      <c r="E202" s="71">
        <f t="shared" si="56"/>
        <v>3207510.5446517766</v>
      </c>
      <c r="F202" s="75">
        <v>74400</v>
      </c>
      <c r="G202" s="76">
        <f t="shared" si="57"/>
        <v>43.11170086897549</v>
      </c>
      <c r="I202" s="77">
        <f t="shared" si="60"/>
        <v>75</v>
      </c>
      <c r="J202" s="73">
        <f t="shared" si="58"/>
        <v>2034</v>
      </c>
      <c r="K202" s="78">
        <f t="shared" si="59"/>
        <v>49218</v>
      </c>
      <c r="M202" s="41">
        <v>2.1999999999999999E-2</v>
      </c>
    </row>
    <row r="203" spans="2:13">
      <c r="B203" s="78">
        <f t="shared" si="51"/>
        <v>49249</v>
      </c>
      <c r="C203" s="75">
        <v>3168846.2895589769</v>
      </c>
      <c r="D203" s="71">
        <f>IF(F203&lt;&gt;0,VLOOKUP($J203,'Table 1'!$B$13:$C$33,2,FALSE)/12*1000*Study_MW,0)</f>
        <v>0</v>
      </c>
      <c r="E203" s="71">
        <f t="shared" si="56"/>
        <v>3168846.2895589769</v>
      </c>
      <c r="F203" s="75">
        <v>72000</v>
      </c>
      <c r="G203" s="76">
        <f t="shared" si="57"/>
        <v>44.011754021652457</v>
      </c>
      <c r="I203" s="77">
        <f t="shared" si="60"/>
        <v>76</v>
      </c>
      <c r="J203" s="73">
        <f t="shared" si="58"/>
        <v>2034</v>
      </c>
      <c r="K203" s="78">
        <f t="shared" si="59"/>
        <v>49249</v>
      </c>
      <c r="M203" s="41">
        <v>2.1999999999999999E-2</v>
      </c>
    </row>
    <row r="204" spans="2:13">
      <c r="B204" s="82">
        <f t="shared" si="51"/>
        <v>49279</v>
      </c>
      <c r="C204" s="79">
        <v>3568897.2672790587</v>
      </c>
      <c r="D204" s="80">
        <f>IF(F204&lt;&gt;0,VLOOKUP($J204,'Table 1'!$B$13:$C$33,2,FALSE)/12*1000*Study_MW,0)</f>
        <v>0</v>
      </c>
      <c r="E204" s="80">
        <f t="shared" si="56"/>
        <v>3568897.2672790587</v>
      </c>
      <c r="F204" s="79">
        <v>74400</v>
      </c>
      <c r="G204" s="81">
        <f t="shared" si="57"/>
        <v>47.969049291385197</v>
      </c>
      <c r="I204" s="64">
        <f t="shared" si="60"/>
        <v>77</v>
      </c>
      <c r="J204" s="73">
        <f t="shared" si="58"/>
        <v>2034</v>
      </c>
      <c r="K204" s="82">
        <f t="shared" si="59"/>
        <v>49279</v>
      </c>
      <c r="M204" s="41">
        <v>2.1999999999999999E-2</v>
      </c>
    </row>
    <row r="205" spans="2:13" outlineLevel="1">
      <c r="B205" s="74">
        <f t="shared" si="51"/>
        <v>49310</v>
      </c>
      <c r="C205" s="69">
        <v>3415994.7826405764</v>
      </c>
      <c r="D205" s="70">
        <f>IF(F205&lt;&gt;0,VLOOKUP($J205,'Table 1'!$B$13:$C$33,2,FALSE)/12*1000*Study_MW,0)</f>
        <v>0</v>
      </c>
      <c r="E205" s="70">
        <f t="shared" si="56"/>
        <v>3415994.7826405764</v>
      </c>
      <c r="F205" s="69">
        <v>74400</v>
      </c>
      <c r="G205" s="72">
        <f t="shared" si="57"/>
        <v>45.913908368824949</v>
      </c>
      <c r="I205" s="60">
        <f>I85</f>
        <v>79</v>
      </c>
      <c r="J205" s="73">
        <f t="shared" si="58"/>
        <v>2035</v>
      </c>
      <c r="K205" s="74">
        <f t="shared" si="59"/>
        <v>49310</v>
      </c>
      <c r="M205" s="41">
        <v>2.1999999999999999E-2</v>
      </c>
    </row>
    <row r="206" spans="2:13" outlineLevel="1">
      <c r="B206" s="78">
        <f t="shared" ref="B206:B228" si="61">EDATE(B205,1)</f>
        <v>49341</v>
      </c>
      <c r="C206" s="75">
        <v>3097384.4030849934</v>
      </c>
      <c r="D206" s="71">
        <f>IF(F206&lt;&gt;0,VLOOKUP($J206,'Table 1'!$B$13:$C$33,2,FALSE)/12*1000*Study_MW,0)</f>
        <v>0</v>
      </c>
      <c r="E206" s="71">
        <f t="shared" si="56"/>
        <v>3097384.4030849934</v>
      </c>
      <c r="F206" s="75">
        <v>67200</v>
      </c>
      <c r="G206" s="76">
        <f t="shared" si="57"/>
        <v>46.092029807812402</v>
      </c>
      <c r="I206" s="77">
        <f t="shared" ref="I206:I228" si="62">I86</f>
        <v>80</v>
      </c>
      <c r="J206" s="73">
        <f t="shared" si="58"/>
        <v>2035</v>
      </c>
      <c r="K206" s="78">
        <f t="shared" si="59"/>
        <v>49341</v>
      </c>
      <c r="M206" s="41">
        <v>2.1999999999999999E-2</v>
      </c>
    </row>
    <row r="207" spans="2:13" outlineLevel="1">
      <c r="B207" s="78">
        <f t="shared" si="61"/>
        <v>49369</v>
      </c>
      <c r="C207" s="75">
        <v>3264247.7831768692</v>
      </c>
      <c r="D207" s="71">
        <f>IF(F207&lt;&gt;0,VLOOKUP($J207,'Table 1'!$B$13:$C$33,2,FALSE)/12*1000*Study_MW,0)</f>
        <v>0</v>
      </c>
      <c r="E207" s="71">
        <f t="shared" si="56"/>
        <v>3264247.7831768692</v>
      </c>
      <c r="F207" s="75">
        <v>74400</v>
      </c>
      <c r="G207" s="76">
        <f t="shared" si="57"/>
        <v>43.874298160979421</v>
      </c>
      <c r="I207" s="77">
        <f t="shared" si="62"/>
        <v>81</v>
      </c>
      <c r="J207" s="73">
        <f t="shared" si="58"/>
        <v>2035</v>
      </c>
      <c r="K207" s="78">
        <f t="shared" si="59"/>
        <v>49369</v>
      </c>
      <c r="M207" s="41">
        <v>2.1999999999999999E-2</v>
      </c>
    </row>
    <row r="208" spans="2:13" outlineLevel="1">
      <c r="B208" s="78">
        <f t="shared" si="61"/>
        <v>49400</v>
      </c>
      <c r="C208" s="75">
        <v>3053948.9295381308</v>
      </c>
      <c r="D208" s="71">
        <f>IF(F208&lt;&gt;0,VLOOKUP($J208,'Table 1'!$B$13:$C$33,2,FALSE)/12*1000*Study_MW,0)</f>
        <v>0</v>
      </c>
      <c r="E208" s="71">
        <f t="shared" si="56"/>
        <v>3053948.9295381308</v>
      </c>
      <c r="F208" s="75">
        <v>72000</v>
      </c>
      <c r="G208" s="76">
        <f t="shared" si="57"/>
        <v>42.41595735469626</v>
      </c>
      <c r="I208" s="77">
        <f t="shared" si="62"/>
        <v>82</v>
      </c>
      <c r="J208" s="73">
        <f t="shared" si="58"/>
        <v>2035</v>
      </c>
      <c r="K208" s="78">
        <f t="shared" si="59"/>
        <v>49400</v>
      </c>
      <c r="M208" s="41">
        <v>2.1999999999999999E-2</v>
      </c>
    </row>
    <row r="209" spans="2:13" outlineLevel="1">
      <c r="B209" s="78">
        <f t="shared" si="61"/>
        <v>49430</v>
      </c>
      <c r="C209" s="75">
        <v>2545884.501823917</v>
      </c>
      <c r="D209" s="71">
        <f>IF(F209&lt;&gt;0,VLOOKUP($J209,'Table 1'!$B$13:$C$33,2,FALSE)/12*1000*Study_MW,0)</f>
        <v>0</v>
      </c>
      <c r="E209" s="71">
        <f t="shared" si="56"/>
        <v>2545884.501823917</v>
      </c>
      <c r="F209" s="75">
        <v>74400</v>
      </c>
      <c r="G209" s="76">
        <f t="shared" si="57"/>
        <v>34.218877712687053</v>
      </c>
      <c r="I209" s="77">
        <f t="shared" si="62"/>
        <v>83</v>
      </c>
      <c r="J209" s="73">
        <f t="shared" si="58"/>
        <v>2035</v>
      </c>
      <c r="K209" s="78">
        <f t="shared" si="59"/>
        <v>49430</v>
      </c>
      <c r="M209" s="41">
        <v>2.1999999999999999E-2</v>
      </c>
    </row>
    <row r="210" spans="2:13" outlineLevel="1">
      <c r="B210" s="78">
        <f t="shared" si="61"/>
        <v>49461</v>
      </c>
      <c r="C210" s="75">
        <v>3844711.4745234251</v>
      </c>
      <c r="D210" s="71">
        <f>IF(F210&lt;&gt;0,VLOOKUP($J210,'Table 1'!$B$13:$C$33,2,FALSE)/12*1000*Study_MW,0)</f>
        <v>0</v>
      </c>
      <c r="E210" s="71">
        <f t="shared" si="56"/>
        <v>3844711.4745234251</v>
      </c>
      <c r="F210" s="75">
        <v>72000</v>
      </c>
      <c r="G210" s="76">
        <f t="shared" si="57"/>
        <v>53.398770479492015</v>
      </c>
      <c r="I210" s="77">
        <f t="shared" si="62"/>
        <v>84</v>
      </c>
      <c r="J210" s="73">
        <f t="shared" si="58"/>
        <v>2035</v>
      </c>
      <c r="K210" s="78">
        <f t="shared" si="59"/>
        <v>49461</v>
      </c>
      <c r="M210" s="41">
        <v>2.1999999999999999E-2</v>
      </c>
    </row>
    <row r="211" spans="2:13" outlineLevel="1">
      <c r="B211" s="78">
        <f t="shared" si="61"/>
        <v>49491</v>
      </c>
      <c r="C211" s="75">
        <v>9112797.2727298141</v>
      </c>
      <c r="D211" s="71">
        <f>IF(F211&lt;&gt;0,VLOOKUP($J211,'Table 1'!$B$13:$C$33,2,FALSE)/12*1000*Study_MW,0)</f>
        <v>0</v>
      </c>
      <c r="E211" s="71">
        <f t="shared" si="56"/>
        <v>9112797.2727298141</v>
      </c>
      <c r="F211" s="75">
        <v>74400</v>
      </c>
      <c r="G211" s="76">
        <f t="shared" si="57"/>
        <v>122.4838343108846</v>
      </c>
      <c r="I211" s="77">
        <f t="shared" si="62"/>
        <v>85</v>
      </c>
      <c r="J211" s="73">
        <f t="shared" si="58"/>
        <v>2035</v>
      </c>
      <c r="K211" s="78">
        <f t="shared" si="59"/>
        <v>49491</v>
      </c>
      <c r="M211" s="41">
        <v>2.1999999999999999E-2</v>
      </c>
    </row>
    <row r="212" spans="2:13" outlineLevel="1">
      <c r="B212" s="78">
        <f t="shared" si="61"/>
        <v>49522</v>
      </c>
      <c r="C212" s="75">
        <v>9809665.7300961018</v>
      </c>
      <c r="D212" s="71">
        <f>IF(F212&lt;&gt;0,VLOOKUP($J212,'Table 1'!$B$13:$C$33,2,FALSE)/12*1000*Study_MW,0)</f>
        <v>0</v>
      </c>
      <c r="E212" s="71">
        <f t="shared" si="56"/>
        <v>9809665.7300961018</v>
      </c>
      <c r="F212" s="75">
        <v>74400</v>
      </c>
      <c r="G212" s="76">
        <f t="shared" si="57"/>
        <v>131.85034583462502</v>
      </c>
      <c r="I212" s="77">
        <f t="shared" si="62"/>
        <v>86</v>
      </c>
      <c r="J212" s="73">
        <f t="shared" si="58"/>
        <v>2035</v>
      </c>
      <c r="K212" s="78">
        <f t="shared" si="59"/>
        <v>49522</v>
      </c>
      <c r="M212" s="41">
        <v>2.1999999999999999E-2</v>
      </c>
    </row>
    <row r="213" spans="2:13" outlineLevel="1">
      <c r="B213" s="78">
        <f t="shared" si="61"/>
        <v>49553</v>
      </c>
      <c r="C213" s="75">
        <v>3853840.795519799</v>
      </c>
      <c r="D213" s="71">
        <f>IF(F213&lt;&gt;0,VLOOKUP($J213,'Table 1'!$B$13:$C$33,2,FALSE)/12*1000*Study_MW,0)</f>
        <v>0</v>
      </c>
      <c r="E213" s="71">
        <f t="shared" si="56"/>
        <v>3853840.795519799</v>
      </c>
      <c r="F213" s="75">
        <v>72000</v>
      </c>
      <c r="G213" s="76">
        <f t="shared" si="57"/>
        <v>53.52556660444165</v>
      </c>
      <c r="I213" s="77">
        <f t="shared" si="62"/>
        <v>87</v>
      </c>
      <c r="J213" s="73">
        <f t="shared" si="58"/>
        <v>2035</v>
      </c>
      <c r="K213" s="78">
        <f t="shared" si="59"/>
        <v>49553</v>
      </c>
      <c r="M213" s="41">
        <v>2.1999999999999999E-2</v>
      </c>
    </row>
    <row r="214" spans="2:13" outlineLevel="1">
      <c r="B214" s="78">
        <f t="shared" si="61"/>
        <v>49583</v>
      </c>
      <c r="C214" s="75">
        <v>3322189.6419614553</v>
      </c>
      <c r="D214" s="71">
        <f>IF(F214&lt;&gt;0,VLOOKUP($J214,'Table 1'!$B$13:$C$33,2,FALSE)/12*1000*Study_MW,0)</f>
        <v>0</v>
      </c>
      <c r="E214" s="71">
        <f t="shared" si="56"/>
        <v>3322189.6419614553</v>
      </c>
      <c r="F214" s="75">
        <v>74400</v>
      </c>
      <c r="G214" s="76">
        <f t="shared" si="57"/>
        <v>44.653086585503431</v>
      </c>
      <c r="I214" s="77">
        <f t="shared" si="62"/>
        <v>88</v>
      </c>
      <c r="J214" s="73">
        <f t="shared" si="58"/>
        <v>2035</v>
      </c>
      <c r="K214" s="78">
        <f t="shared" si="59"/>
        <v>49583</v>
      </c>
      <c r="M214" s="41">
        <v>2.1999999999999999E-2</v>
      </c>
    </row>
    <row r="215" spans="2:13" outlineLevel="1">
      <c r="B215" s="78">
        <f t="shared" si="61"/>
        <v>49614</v>
      </c>
      <c r="C215" s="75">
        <v>3210265.3085280061</v>
      </c>
      <c r="D215" s="71">
        <f>IF(F215&lt;&gt;0,VLOOKUP($J215,'Table 1'!$B$13:$C$33,2,FALSE)/12*1000*Study_MW,0)</f>
        <v>0</v>
      </c>
      <c r="E215" s="71">
        <f t="shared" si="56"/>
        <v>3210265.3085280061</v>
      </c>
      <c r="F215" s="75">
        <v>72000</v>
      </c>
      <c r="G215" s="76">
        <f t="shared" si="57"/>
        <v>44.587018174000086</v>
      </c>
      <c r="I215" s="77">
        <f t="shared" si="62"/>
        <v>89</v>
      </c>
      <c r="J215" s="73">
        <f t="shared" si="58"/>
        <v>2035</v>
      </c>
      <c r="K215" s="78">
        <f t="shared" si="59"/>
        <v>49614</v>
      </c>
      <c r="M215" s="41">
        <v>2.1999999999999999E-2</v>
      </c>
    </row>
    <row r="216" spans="2:13" outlineLevel="1">
      <c r="B216" s="82">
        <f t="shared" si="61"/>
        <v>49644</v>
      </c>
      <c r="C216" s="79">
        <v>3940457.7933636308</v>
      </c>
      <c r="D216" s="80">
        <f>IF(F216&lt;&gt;0,VLOOKUP($J216,'Table 1'!$B$13:$C$33,2,FALSE)/12*1000*Study_MW,0)</f>
        <v>0</v>
      </c>
      <c r="E216" s="80">
        <f t="shared" si="56"/>
        <v>3940457.7933636308</v>
      </c>
      <c r="F216" s="79">
        <v>74400</v>
      </c>
      <c r="G216" s="81">
        <f t="shared" si="57"/>
        <v>52.963142383919767</v>
      </c>
      <c r="I216" s="64">
        <f t="shared" si="62"/>
        <v>90</v>
      </c>
      <c r="J216" s="73">
        <f t="shared" si="58"/>
        <v>2035</v>
      </c>
      <c r="K216" s="82">
        <f t="shared" si="59"/>
        <v>49644</v>
      </c>
      <c r="M216" s="41">
        <v>2.1999999999999999E-2</v>
      </c>
    </row>
    <row r="217" spans="2:13" outlineLevel="1">
      <c r="B217" s="74">
        <f t="shared" si="61"/>
        <v>49675</v>
      </c>
      <c r="C217" s="69">
        <v>3458407.5177619457</v>
      </c>
      <c r="D217" s="70">
        <f>IF(F217&lt;&gt;0,VLOOKUP($J217,'Table 1'!$B$13:$C$33,2,FALSE)/12*1000*Study_MW,0)</f>
        <v>0</v>
      </c>
      <c r="E217" s="70">
        <f t="shared" si="56"/>
        <v>3458407.5177619457</v>
      </c>
      <c r="F217" s="69">
        <v>74400</v>
      </c>
      <c r="G217" s="72">
        <f t="shared" si="57"/>
        <v>46.483972012929378</v>
      </c>
      <c r="I217" s="60">
        <f>I97</f>
        <v>92</v>
      </c>
      <c r="J217" s="73">
        <f t="shared" si="58"/>
        <v>2036</v>
      </c>
      <c r="K217" s="74">
        <f t="shared" si="59"/>
        <v>49675</v>
      </c>
      <c r="M217" s="41">
        <v>2.1999999999999999E-2</v>
      </c>
    </row>
    <row r="218" spans="2:13" outlineLevel="1">
      <c r="B218" s="78">
        <f t="shared" si="61"/>
        <v>49706</v>
      </c>
      <c r="C218" s="75">
        <v>3296187.7628451884</v>
      </c>
      <c r="D218" s="71">
        <f>IF(F218&lt;&gt;0,VLOOKUP($J218,'Table 1'!$B$13:$C$33,2,FALSE)/12*1000*Study_MW,0)</f>
        <v>0</v>
      </c>
      <c r="E218" s="71">
        <f t="shared" si="56"/>
        <v>3296187.7628451884</v>
      </c>
      <c r="F218" s="75">
        <v>69600</v>
      </c>
      <c r="G218" s="76">
        <f t="shared" si="57"/>
        <v>47.359019581109031</v>
      </c>
      <c r="I218" s="77">
        <f t="shared" si="62"/>
        <v>93</v>
      </c>
      <c r="J218" s="73">
        <f t="shared" si="58"/>
        <v>2036</v>
      </c>
      <c r="K218" s="78">
        <f t="shared" si="59"/>
        <v>49706</v>
      </c>
      <c r="M218" s="41">
        <v>2.1999999999999999E-2</v>
      </c>
    </row>
    <row r="219" spans="2:13" outlineLevel="1">
      <c r="B219" s="78">
        <f t="shared" si="61"/>
        <v>49735</v>
      </c>
      <c r="C219" s="75">
        <v>3122037.1032250524</v>
      </c>
      <c r="D219" s="71">
        <f>IF(F219&lt;&gt;0,VLOOKUP($J219,'Table 1'!$B$13:$C$33,2,FALSE)/12*1000*Study_MW,0)</f>
        <v>0</v>
      </c>
      <c r="E219" s="71">
        <f t="shared" si="56"/>
        <v>3122037.1032250524</v>
      </c>
      <c r="F219" s="75">
        <v>74400</v>
      </c>
      <c r="G219" s="76">
        <f t="shared" si="57"/>
        <v>41.962864290659304</v>
      </c>
      <c r="I219" s="77">
        <f t="shared" si="62"/>
        <v>94</v>
      </c>
      <c r="J219" s="73">
        <f t="shared" si="58"/>
        <v>2036</v>
      </c>
      <c r="K219" s="78">
        <f t="shared" si="59"/>
        <v>49735</v>
      </c>
      <c r="M219" s="41">
        <v>2.1999999999999999E-2</v>
      </c>
    </row>
    <row r="220" spans="2:13" outlineLevel="1">
      <c r="B220" s="78">
        <f t="shared" si="61"/>
        <v>49766</v>
      </c>
      <c r="C220" s="75">
        <v>2895734.7241853774</v>
      </c>
      <c r="D220" s="71">
        <f>IF(F220&lt;&gt;0,VLOOKUP($J220,'Table 1'!$B$13:$C$33,2,FALSE)/12*1000*Study_MW,0)</f>
        <v>0</v>
      </c>
      <c r="E220" s="71">
        <f t="shared" si="56"/>
        <v>2895734.7241853774</v>
      </c>
      <c r="F220" s="75">
        <v>72000</v>
      </c>
      <c r="G220" s="76">
        <f t="shared" si="57"/>
        <v>40.218537835908016</v>
      </c>
      <c r="I220" s="77">
        <f t="shared" si="62"/>
        <v>95</v>
      </c>
      <c r="J220" s="73">
        <f t="shared" si="58"/>
        <v>2036</v>
      </c>
      <c r="K220" s="78">
        <f t="shared" si="59"/>
        <v>49766</v>
      </c>
      <c r="M220" s="41">
        <v>2.1999999999999999E-2</v>
      </c>
    </row>
    <row r="221" spans="2:13" outlineLevel="1">
      <c r="B221" s="78">
        <f t="shared" si="61"/>
        <v>49796</v>
      </c>
      <c r="C221" s="75">
        <v>2667833.7133660316</v>
      </c>
      <c r="D221" s="71">
        <f>IF(F221&lt;&gt;0,VLOOKUP($J221,'Table 1'!$B$13:$C$33,2,FALSE)/12*1000*Study_MW,0)</f>
        <v>0</v>
      </c>
      <c r="E221" s="71">
        <f t="shared" si="56"/>
        <v>2667833.7133660316</v>
      </c>
      <c r="F221" s="75">
        <v>74400</v>
      </c>
      <c r="G221" s="76">
        <f t="shared" si="57"/>
        <v>35.857980018360642</v>
      </c>
      <c r="I221" s="77">
        <f t="shared" si="62"/>
        <v>96</v>
      </c>
      <c r="J221" s="73">
        <f t="shared" si="58"/>
        <v>2036</v>
      </c>
      <c r="K221" s="78">
        <f t="shared" si="59"/>
        <v>49796</v>
      </c>
      <c r="M221" s="41">
        <v>2.1999999999999999E-2</v>
      </c>
    </row>
    <row r="222" spans="2:13" outlineLevel="1">
      <c r="B222" s="78">
        <f t="shared" si="61"/>
        <v>49827</v>
      </c>
      <c r="C222" s="75">
        <v>4146573.6336189806</v>
      </c>
      <c r="D222" s="71">
        <f>IF(F222&lt;&gt;0,VLOOKUP($J222,'Table 1'!$B$13:$C$33,2,FALSE)/12*1000*Study_MW,0)</f>
        <v>0</v>
      </c>
      <c r="E222" s="71">
        <f t="shared" si="56"/>
        <v>4146573.6336189806</v>
      </c>
      <c r="F222" s="75">
        <v>72000</v>
      </c>
      <c r="G222" s="76">
        <f t="shared" si="57"/>
        <v>57.591300466930285</v>
      </c>
      <c r="I222" s="77">
        <f t="shared" si="62"/>
        <v>97</v>
      </c>
      <c r="J222" s="73">
        <f t="shared" si="58"/>
        <v>2036</v>
      </c>
      <c r="K222" s="78">
        <f t="shared" si="59"/>
        <v>49827</v>
      </c>
      <c r="M222" s="41">
        <v>2.1999999999999999E-2</v>
      </c>
    </row>
    <row r="223" spans="2:13" outlineLevel="1">
      <c r="B223" s="78">
        <f t="shared" si="61"/>
        <v>49857</v>
      </c>
      <c r="C223" s="75">
        <v>10169076.591745317</v>
      </c>
      <c r="D223" s="71">
        <f>IF(F223&lt;&gt;0,VLOOKUP($J223,'Table 1'!$B$13:$C$33,2,FALSE)/12*1000*Study_MW,0)</f>
        <v>0</v>
      </c>
      <c r="E223" s="71">
        <f t="shared" si="56"/>
        <v>10169076.591745317</v>
      </c>
      <c r="F223" s="75">
        <v>74400</v>
      </c>
      <c r="G223" s="76">
        <f t="shared" si="57"/>
        <v>136.68113698582414</v>
      </c>
      <c r="I223" s="77">
        <f t="shared" si="62"/>
        <v>98</v>
      </c>
      <c r="J223" s="73">
        <f t="shared" si="58"/>
        <v>2036</v>
      </c>
      <c r="K223" s="78">
        <f t="shared" si="59"/>
        <v>49857</v>
      </c>
      <c r="M223" s="41">
        <v>2.1999999999999999E-2</v>
      </c>
    </row>
    <row r="224" spans="2:13" outlineLevel="1">
      <c r="B224" s="78">
        <f t="shared" si="61"/>
        <v>49888</v>
      </c>
      <c r="C224" s="75">
        <v>9201533.0024064183</v>
      </c>
      <c r="D224" s="71">
        <f>IF(F224&lt;&gt;0,VLOOKUP($J224,'Table 1'!$B$13:$C$33,2,FALSE)/12*1000*Study_MW,0)</f>
        <v>0</v>
      </c>
      <c r="E224" s="71">
        <f t="shared" si="56"/>
        <v>9201533.0024064183</v>
      </c>
      <c r="F224" s="75">
        <v>74400</v>
      </c>
      <c r="G224" s="76">
        <f t="shared" si="57"/>
        <v>123.67651884954863</v>
      </c>
      <c r="I224" s="77">
        <f t="shared" si="62"/>
        <v>99</v>
      </c>
      <c r="J224" s="73">
        <f t="shared" si="58"/>
        <v>2036</v>
      </c>
      <c r="K224" s="78">
        <f t="shared" si="59"/>
        <v>49888</v>
      </c>
      <c r="M224" s="41">
        <v>2.1999999999999999E-2</v>
      </c>
    </row>
    <row r="225" spans="2:20" outlineLevel="1">
      <c r="B225" s="78">
        <f t="shared" si="61"/>
        <v>49919</v>
      </c>
      <c r="C225" s="75">
        <v>4216499.4715083539</v>
      </c>
      <c r="D225" s="71">
        <f>IF(F225&lt;&gt;0,VLOOKUP($J225,'Table 1'!$B$13:$C$33,2,FALSE)/12*1000*Study_MW,0)</f>
        <v>0</v>
      </c>
      <c r="E225" s="71">
        <f t="shared" si="56"/>
        <v>4216499.4715083539</v>
      </c>
      <c r="F225" s="75">
        <v>72000</v>
      </c>
      <c r="G225" s="76">
        <f t="shared" si="57"/>
        <v>58.562492659838249</v>
      </c>
      <c r="I225" s="77">
        <f t="shared" si="62"/>
        <v>100</v>
      </c>
      <c r="J225" s="73">
        <f t="shared" si="58"/>
        <v>2036</v>
      </c>
      <c r="K225" s="78">
        <f t="shared" si="59"/>
        <v>49919</v>
      </c>
      <c r="M225" s="41">
        <v>2.1999999999999999E-2</v>
      </c>
    </row>
    <row r="226" spans="2:20" outlineLevel="1">
      <c r="B226" s="78">
        <f t="shared" si="61"/>
        <v>49949</v>
      </c>
      <c r="C226" s="75">
        <v>3653460.6562313139</v>
      </c>
      <c r="D226" s="71">
        <f>IF(F226&lt;&gt;0,VLOOKUP($J226,'Table 1'!$B$13:$C$33,2,FALSE)/12*1000*Study_MW,0)</f>
        <v>0</v>
      </c>
      <c r="E226" s="71">
        <f t="shared" si="56"/>
        <v>3653460.6562313139</v>
      </c>
      <c r="F226" s="75">
        <v>74400</v>
      </c>
      <c r="G226" s="76">
        <f t="shared" si="57"/>
        <v>49.10565398160368</v>
      </c>
      <c r="I226" s="77">
        <f t="shared" si="62"/>
        <v>101</v>
      </c>
      <c r="J226" s="73">
        <f t="shared" si="58"/>
        <v>2036</v>
      </c>
      <c r="K226" s="78">
        <f t="shared" si="59"/>
        <v>49949</v>
      </c>
      <c r="M226" s="41">
        <v>2.1999999999999999E-2</v>
      </c>
    </row>
    <row r="227" spans="2:20" outlineLevel="1">
      <c r="B227" s="78">
        <f t="shared" si="61"/>
        <v>49980</v>
      </c>
      <c r="C227" s="75">
        <v>3343423.9112618864</v>
      </c>
      <c r="D227" s="71">
        <f>IF(F227&lt;&gt;0,VLOOKUP($J227,'Table 1'!$B$13:$C$33,2,FALSE)/12*1000*Study_MW,0)</f>
        <v>0</v>
      </c>
      <c r="E227" s="71">
        <f t="shared" si="56"/>
        <v>3343423.9112618864</v>
      </c>
      <c r="F227" s="75">
        <v>72000</v>
      </c>
      <c r="G227" s="76">
        <f t="shared" si="57"/>
        <v>46.436443211970641</v>
      </c>
      <c r="I227" s="77">
        <f t="shared" si="62"/>
        <v>102</v>
      </c>
      <c r="J227" s="73">
        <f t="shared" si="58"/>
        <v>2036</v>
      </c>
      <c r="K227" s="78">
        <f t="shared" si="59"/>
        <v>49980</v>
      </c>
      <c r="M227" s="41">
        <v>2.1999999999999999E-2</v>
      </c>
      <c r="T227" s="192"/>
    </row>
    <row r="228" spans="2:20" outlineLevel="1">
      <c r="B228" s="82">
        <f t="shared" si="61"/>
        <v>50010</v>
      </c>
      <c r="C228" s="79">
        <v>4209022.58564502</v>
      </c>
      <c r="D228" s="80">
        <f>IF(F228&lt;&gt;0,VLOOKUP($J228,'Table 1'!$B$13:$C$33,2,FALSE)/12*1000*Study_MW,0)</f>
        <v>0</v>
      </c>
      <c r="E228" s="80">
        <f t="shared" si="56"/>
        <v>4209022.58564502</v>
      </c>
      <c r="F228" s="79">
        <v>74400</v>
      </c>
      <c r="G228" s="81">
        <f t="shared" si="57"/>
        <v>56.572884215658874</v>
      </c>
      <c r="I228" s="64">
        <f t="shared" si="62"/>
        <v>103</v>
      </c>
      <c r="J228" s="73">
        <f t="shared" si="58"/>
        <v>2036</v>
      </c>
      <c r="K228" s="82">
        <f t="shared" si="59"/>
        <v>50010</v>
      </c>
      <c r="M228" s="41">
        <v>2.1999999999999999E-2</v>
      </c>
      <c r="T228" s="192"/>
    </row>
    <row r="229" spans="2:20" hidden="1" outlineLevel="1">
      <c r="B229" s="211">
        <f t="shared" ref="B229:B264" si="63">EDATE(B228,1)</f>
        <v>50041</v>
      </c>
      <c r="C229" s="200">
        <f t="shared" ref="C229:C252" si="64">(C217*(1+M229))*IF(AND(MONTH(K229)=2,OR(J217=2036,J217=2040)),28/29,1)</f>
        <v>3534492.4831527085</v>
      </c>
      <c r="D229" s="201">
        <f>IF(ISNUMBER($F229)*SUM(F229:F240)&lt;&gt;0,VLOOKUP($J229,'Table 1'!$B$13:$C$33,2,FALSE)/12*1000*Study_MW,0)</f>
        <v>0</v>
      </c>
      <c r="E229" s="201">
        <f t="shared" ref="E229:E252" si="65">C229+D229</f>
        <v>3534492.4831527085</v>
      </c>
      <c r="F229" s="200">
        <v>74400</v>
      </c>
      <c r="G229" s="202">
        <f t="shared" ref="G229:G252" si="66">IFERROR(E229/$F229,0)</f>
        <v>47.506619397213825</v>
      </c>
      <c r="I229" s="60">
        <f>I109</f>
        <v>105</v>
      </c>
      <c r="J229" s="73">
        <f t="shared" si="58"/>
        <v>2037</v>
      </c>
      <c r="K229" s="74">
        <f t="shared" si="59"/>
        <v>50041</v>
      </c>
      <c r="M229" s="41">
        <v>2.1999999999999999E-2</v>
      </c>
      <c r="T229" s="192"/>
    </row>
    <row r="230" spans="2:20" hidden="1" outlineLevel="1">
      <c r="B230" s="212">
        <f t="shared" si="63"/>
        <v>50072</v>
      </c>
      <c r="C230" s="194">
        <f t="shared" si="64"/>
        <v>3252541.6903992388</v>
      </c>
      <c r="D230" s="195">
        <f>IF(ISNUMBER($F230)*SUM(F230:F241)&lt;&gt;0,VLOOKUP($J230,'Table 1'!$B$13:$C$33,2,FALSE)/12*1000*Study_MW,0)</f>
        <v>0</v>
      </c>
      <c r="E230" s="195">
        <f t="shared" si="65"/>
        <v>3252541.6903992388</v>
      </c>
      <c r="F230" s="194">
        <v>67200</v>
      </c>
      <c r="G230" s="196">
        <f t="shared" si="66"/>
        <v>48.400918011893438</v>
      </c>
      <c r="I230" s="77">
        <f t="shared" ref="I230:I264" si="67">I110</f>
        <v>106</v>
      </c>
      <c r="J230" s="73">
        <f t="shared" si="58"/>
        <v>2037</v>
      </c>
      <c r="K230" s="78">
        <f t="shared" si="59"/>
        <v>50072</v>
      </c>
      <c r="M230" s="41">
        <v>2.1999999999999999E-2</v>
      </c>
      <c r="T230" s="192"/>
    </row>
    <row r="231" spans="2:20" hidden="1" outlineLevel="1">
      <c r="B231" s="212">
        <f t="shared" si="63"/>
        <v>50100</v>
      </c>
      <c r="C231" s="194">
        <f t="shared" si="64"/>
        <v>3190721.9194960035</v>
      </c>
      <c r="D231" s="195">
        <f>IF(ISNUMBER($F231)*SUM(F231:F242)&lt;&gt;0,VLOOKUP($J231,'Table 1'!$B$13:$C$33,2,FALSE)/12*1000*Study_MW,0)</f>
        <v>0</v>
      </c>
      <c r="E231" s="195">
        <f t="shared" si="65"/>
        <v>3190721.9194960035</v>
      </c>
      <c r="F231" s="194">
        <v>74400</v>
      </c>
      <c r="G231" s="196">
        <f t="shared" si="66"/>
        <v>42.886047305053808</v>
      </c>
      <c r="I231" s="77">
        <f t="shared" si="67"/>
        <v>107</v>
      </c>
      <c r="J231" s="73">
        <f t="shared" si="58"/>
        <v>2037</v>
      </c>
      <c r="K231" s="78">
        <f t="shared" si="59"/>
        <v>50100</v>
      </c>
      <c r="M231" s="41">
        <v>2.1999999999999999E-2</v>
      </c>
      <c r="T231" s="192"/>
    </row>
    <row r="232" spans="2:20" hidden="1" outlineLevel="1">
      <c r="B232" s="212">
        <f t="shared" si="63"/>
        <v>50131</v>
      </c>
      <c r="C232" s="194">
        <f t="shared" si="64"/>
        <v>2959440.8881174559</v>
      </c>
      <c r="D232" s="195">
        <f>IF(ISNUMBER($F232)*SUM(F232:F243)&lt;&gt;0,VLOOKUP($J232,'Table 1'!$B$13:$C$33,2,FALSE)/12*1000*Study_MW,0)</f>
        <v>0</v>
      </c>
      <c r="E232" s="195">
        <f t="shared" si="65"/>
        <v>2959440.8881174559</v>
      </c>
      <c r="F232" s="194">
        <v>72000</v>
      </c>
      <c r="G232" s="196">
        <f t="shared" si="66"/>
        <v>41.103345668297997</v>
      </c>
      <c r="I232" s="77">
        <f t="shared" si="67"/>
        <v>108</v>
      </c>
      <c r="J232" s="73">
        <f t="shared" si="58"/>
        <v>2037</v>
      </c>
      <c r="K232" s="78">
        <f t="shared" si="59"/>
        <v>50131</v>
      </c>
      <c r="M232" s="41">
        <v>2.1999999999999999E-2</v>
      </c>
      <c r="T232" s="192"/>
    </row>
    <row r="233" spans="2:20" hidden="1" outlineLevel="1">
      <c r="B233" s="212">
        <f t="shared" si="63"/>
        <v>50161</v>
      </c>
      <c r="C233" s="194">
        <f t="shared" si="64"/>
        <v>2726526.0550600844</v>
      </c>
      <c r="D233" s="195">
        <f>IF(ISNUMBER($F233)*SUM(F233:F244)&lt;&gt;0,VLOOKUP($J233,'Table 1'!$B$13:$C$33,2,FALSE)/12*1000*Study_MW,0)</f>
        <v>0</v>
      </c>
      <c r="E233" s="195">
        <f t="shared" si="65"/>
        <v>2726526.0550600844</v>
      </c>
      <c r="F233" s="194">
        <v>74400</v>
      </c>
      <c r="G233" s="196">
        <f t="shared" si="66"/>
        <v>36.646855578764573</v>
      </c>
      <c r="I233" s="77">
        <f t="shared" si="67"/>
        <v>109</v>
      </c>
      <c r="J233" s="73">
        <f t="shared" si="58"/>
        <v>2037</v>
      </c>
      <c r="K233" s="78">
        <f t="shared" si="59"/>
        <v>50161</v>
      </c>
      <c r="M233" s="41">
        <v>2.1999999999999999E-2</v>
      </c>
      <c r="T233" s="192"/>
    </row>
    <row r="234" spans="2:20" hidden="1" outlineLevel="1">
      <c r="B234" s="212">
        <f t="shared" si="63"/>
        <v>50192</v>
      </c>
      <c r="C234" s="194">
        <f t="shared" si="64"/>
        <v>4237798.2535585985</v>
      </c>
      <c r="D234" s="195">
        <f>IF(ISNUMBER($F234)*SUM(F234:F245)&lt;&gt;0,VLOOKUP($J234,'Table 1'!$B$13:$C$33,2,FALSE)/12*1000*Study_MW,0)</f>
        <v>0</v>
      </c>
      <c r="E234" s="195">
        <f t="shared" si="65"/>
        <v>4237798.2535585985</v>
      </c>
      <c r="F234" s="194">
        <v>72000</v>
      </c>
      <c r="G234" s="196">
        <f t="shared" si="66"/>
        <v>58.858309077202755</v>
      </c>
      <c r="I234" s="77">
        <f t="shared" si="67"/>
        <v>110</v>
      </c>
      <c r="J234" s="73">
        <f t="shared" si="58"/>
        <v>2037</v>
      </c>
      <c r="K234" s="78">
        <f t="shared" si="59"/>
        <v>50192</v>
      </c>
      <c r="M234" s="41">
        <v>2.1999999999999999E-2</v>
      </c>
      <c r="T234" s="192"/>
    </row>
    <row r="235" spans="2:20" hidden="1" outlineLevel="1">
      <c r="B235" s="212">
        <f t="shared" si="63"/>
        <v>50222</v>
      </c>
      <c r="C235" s="194">
        <f t="shared" si="64"/>
        <v>10392796.276763715</v>
      </c>
      <c r="D235" s="195">
        <f>IF(ISNUMBER($F235)*SUM(F235:F246)&lt;&gt;0,VLOOKUP($J235,'Table 1'!$B$13:$C$33,2,FALSE)/12*1000*Study_MW,0)</f>
        <v>0</v>
      </c>
      <c r="E235" s="195">
        <f t="shared" si="65"/>
        <v>10392796.276763715</v>
      </c>
      <c r="F235" s="194">
        <v>74400</v>
      </c>
      <c r="G235" s="196">
        <f t="shared" si="66"/>
        <v>139.6881219995123</v>
      </c>
      <c r="I235" s="77">
        <f t="shared" si="67"/>
        <v>111</v>
      </c>
      <c r="J235" s="73">
        <f t="shared" si="58"/>
        <v>2037</v>
      </c>
      <c r="K235" s="78">
        <f t="shared" si="59"/>
        <v>50222</v>
      </c>
      <c r="M235" s="41">
        <v>2.1999999999999999E-2</v>
      </c>
      <c r="T235" s="192"/>
    </row>
    <row r="236" spans="2:20" hidden="1" outlineLevel="1">
      <c r="B236" s="212">
        <f t="shared" si="63"/>
        <v>50253</v>
      </c>
      <c r="C236" s="194">
        <f t="shared" si="64"/>
        <v>9403966.7284593601</v>
      </c>
      <c r="D236" s="195">
        <f>IF(ISNUMBER($F236)*SUM(F236:F247)&lt;&gt;0,VLOOKUP($J236,'Table 1'!$B$13:$C$33,2,FALSE)/12*1000*Study_MW,0)</f>
        <v>0</v>
      </c>
      <c r="E236" s="195">
        <f t="shared" si="65"/>
        <v>9403966.7284593601</v>
      </c>
      <c r="F236" s="194">
        <v>74400</v>
      </c>
      <c r="G236" s="196">
        <f t="shared" si="66"/>
        <v>126.39740226423871</v>
      </c>
      <c r="I236" s="77">
        <f t="shared" si="67"/>
        <v>112</v>
      </c>
      <c r="J236" s="73">
        <f t="shared" si="58"/>
        <v>2037</v>
      </c>
      <c r="K236" s="78">
        <f t="shared" si="59"/>
        <v>50253</v>
      </c>
      <c r="M236" s="41">
        <v>2.1999999999999999E-2</v>
      </c>
      <c r="T236" s="192"/>
    </row>
    <row r="237" spans="2:20" hidden="1" outlineLevel="1">
      <c r="B237" s="212">
        <f t="shared" si="63"/>
        <v>50284</v>
      </c>
      <c r="C237" s="194">
        <f t="shared" si="64"/>
        <v>4309262.4598815376</v>
      </c>
      <c r="D237" s="195">
        <f>IF(ISNUMBER($F237)*SUM(F237:F248)&lt;&gt;0,VLOOKUP($J237,'Table 1'!$B$13:$C$33,2,FALSE)/12*1000*Study_MW,0)</f>
        <v>0</v>
      </c>
      <c r="E237" s="195">
        <f t="shared" si="65"/>
        <v>4309262.4598815376</v>
      </c>
      <c r="F237" s="194">
        <v>72000</v>
      </c>
      <c r="G237" s="196">
        <f t="shared" si="66"/>
        <v>59.850867498354688</v>
      </c>
      <c r="I237" s="77">
        <f t="shared" si="67"/>
        <v>113</v>
      </c>
      <c r="J237" s="73">
        <f t="shared" si="58"/>
        <v>2037</v>
      </c>
      <c r="K237" s="78">
        <f t="shared" si="59"/>
        <v>50284</v>
      </c>
      <c r="M237" s="41">
        <v>2.1999999999999999E-2</v>
      </c>
      <c r="T237" s="192"/>
    </row>
    <row r="238" spans="2:20" hidden="1" outlineLevel="1">
      <c r="B238" s="212">
        <f t="shared" si="63"/>
        <v>50314</v>
      </c>
      <c r="C238" s="194">
        <f t="shared" si="64"/>
        <v>3733836.7906684028</v>
      </c>
      <c r="D238" s="195">
        <f>IF(ISNUMBER($F238)*SUM(F238:F249)&lt;&gt;0,VLOOKUP($J238,'Table 1'!$B$13:$C$33,2,FALSE)/12*1000*Study_MW,0)</f>
        <v>0</v>
      </c>
      <c r="E238" s="195">
        <f t="shared" si="65"/>
        <v>3733836.7906684028</v>
      </c>
      <c r="F238" s="194">
        <v>74400</v>
      </c>
      <c r="G238" s="196">
        <f t="shared" si="66"/>
        <v>50.185978369198963</v>
      </c>
      <c r="I238" s="77">
        <f t="shared" si="67"/>
        <v>114</v>
      </c>
      <c r="J238" s="73">
        <f t="shared" si="58"/>
        <v>2037</v>
      </c>
      <c r="K238" s="78">
        <f t="shared" si="59"/>
        <v>50314</v>
      </c>
      <c r="M238" s="41">
        <v>2.1999999999999999E-2</v>
      </c>
      <c r="T238" s="192"/>
    </row>
    <row r="239" spans="2:20" hidden="1" outlineLevel="1">
      <c r="B239" s="212">
        <f t="shared" si="63"/>
        <v>50345</v>
      </c>
      <c r="C239" s="194">
        <f t="shared" si="64"/>
        <v>3416979.2373096477</v>
      </c>
      <c r="D239" s="195">
        <f>IF(ISNUMBER($F239)*SUM(F239:F250)&lt;&gt;0,VLOOKUP($J239,'Table 1'!$B$13:$C$33,2,FALSE)/12*1000*Study_MW,0)</f>
        <v>0</v>
      </c>
      <c r="E239" s="195">
        <f t="shared" si="65"/>
        <v>3416979.2373096477</v>
      </c>
      <c r="F239" s="194">
        <v>72000</v>
      </c>
      <c r="G239" s="196">
        <f t="shared" si="66"/>
        <v>47.458044962633998</v>
      </c>
      <c r="I239" s="77">
        <f t="shared" si="67"/>
        <v>115</v>
      </c>
      <c r="J239" s="73">
        <f t="shared" si="58"/>
        <v>2037</v>
      </c>
      <c r="K239" s="78">
        <f t="shared" si="59"/>
        <v>50345</v>
      </c>
      <c r="M239" s="41">
        <v>2.1999999999999999E-2</v>
      </c>
      <c r="T239" s="192"/>
    </row>
    <row r="240" spans="2:20" hidden="1" outlineLevel="1">
      <c r="B240" s="213">
        <f t="shared" si="63"/>
        <v>50375</v>
      </c>
      <c r="C240" s="197">
        <f t="shared" si="64"/>
        <v>4301621.0825292105</v>
      </c>
      <c r="D240" s="198">
        <f>IF(ISNUMBER($F240)*SUM(F240:F251)&lt;&gt;0,VLOOKUP($J240,'Table 1'!$B$13:$C$33,2,FALSE)/12*1000*Study_MW,0)</f>
        <v>0</v>
      </c>
      <c r="E240" s="198">
        <f t="shared" si="65"/>
        <v>4301621.0825292105</v>
      </c>
      <c r="F240" s="197">
        <v>74400</v>
      </c>
      <c r="G240" s="199">
        <f t="shared" si="66"/>
        <v>57.817487668403366</v>
      </c>
      <c r="I240" s="64">
        <f t="shared" si="67"/>
        <v>116</v>
      </c>
      <c r="J240" s="73">
        <f t="shared" si="58"/>
        <v>2037</v>
      </c>
      <c r="K240" s="82">
        <f t="shared" si="59"/>
        <v>50375</v>
      </c>
      <c r="M240" s="41">
        <v>2.1999999999999999E-2</v>
      </c>
      <c r="T240" s="192"/>
    </row>
    <row r="241" spans="2:20" hidden="1" outlineLevel="1">
      <c r="B241" s="211">
        <f t="shared" si="63"/>
        <v>50406</v>
      </c>
      <c r="C241" s="200">
        <f t="shared" si="64"/>
        <v>3612251.3177820682</v>
      </c>
      <c r="D241" s="201">
        <f>IF(ISNUMBER($F241)*SUM(F241:F252)&lt;&gt;0,VLOOKUP($J241,'Table 1'!$B$13:$C$33,2,FALSE)/12*1000*Study_MW,0)</f>
        <v>0</v>
      </c>
      <c r="E241" s="201">
        <f t="shared" si="65"/>
        <v>3612251.3177820682</v>
      </c>
      <c r="F241" s="200">
        <v>74400</v>
      </c>
      <c r="G241" s="202">
        <f t="shared" si="66"/>
        <v>48.551765023952527</v>
      </c>
      <c r="I241" s="60">
        <f>I121</f>
        <v>118</v>
      </c>
      <c r="J241" s="73">
        <f t="shared" si="58"/>
        <v>2038</v>
      </c>
      <c r="K241" s="74">
        <f t="shared" si="59"/>
        <v>50406</v>
      </c>
      <c r="M241" s="41">
        <v>2.1999999999999999E-2</v>
      </c>
      <c r="T241" s="192"/>
    </row>
    <row r="242" spans="2:20" hidden="1" outlineLevel="1">
      <c r="B242" s="212">
        <f t="shared" si="63"/>
        <v>50437</v>
      </c>
      <c r="C242" s="194">
        <f t="shared" si="64"/>
        <v>3324097.607588022</v>
      </c>
      <c r="D242" s="195">
        <f>IF(ISNUMBER($F242)*SUM(F242:F253)&lt;&gt;0,VLOOKUP($J242,'Table 1'!$B$13:$C$33,2,FALSE)/12*1000*Study_MW,0)</f>
        <v>0</v>
      </c>
      <c r="E242" s="195">
        <f t="shared" si="65"/>
        <v>3324097.607588022</v>
      </c>
      <c r="F242" s="194">
        <v>67200</v>
      </c>
      <c r="G242" s="196">
        <f t="shared" si="66"/>
        <v>49.465738208155088</v>
      </c>
      <c r="I242" s="77">
        <f t="shared" si="67"/>
        <v>119</v>
      </c>
      <c r="J242" s="73">
        <f t="shared" si="58"/>
        <v>2038</v>
      </c>
      <c r="K242" s="78">
        <f t="shared" si="59"/>
        <v>50437</v>
      </c>
      <c r="M242" s="41">
        <v>2.1999999999999999E-2</v>
      </c>
      <c r="T242" s="192"/>
    </row>
    <row r="243" spans="2:20" hidden="1" outlineLevel="1">
      <c r="B243" s="212">
        <f t="shared" si="63"/>
        <v>50465</v>
      </c>
      <c r="C243" s="194">
        <f t="shared" si="64"/>
        <v>3260917.8017249159</v>
      </c>
      <c r="D243" s="195">
        <f>IF(ISNUMBER($F243)*SUM(F243:F254)&lt;&gt;0,VLOOKUP($J243,'Table 1'!$B$13:$C$33,2,FALSE)/12*1000*Study_MW,0)</f>
        <v>0</v>
      </c>
      <c r="E243" s="195">
        <f t="shared" si="65"/>
        <v>3260917.8017249159</v>
      </c>
      <c r="F243" s="194">
        <v>74400</v>
      </c>
      <c r="G243" s="196">
        <f t="shared" si="66"/>
        <v>43.829540345764997</v>
      </c>
      <c r="I243" s="77">
        <f t="shared" si="67"/>
        <v>120</v>
      </c>
      <c r="J243" s="73">
        <f t="shared" si="58"/>
        <v>2038</v>
      </c>
      <c r="K243" s="78">
        <f t="shared" si="59"/>
        <v>50465</v>
      </c>
      <c r="M243" s="41">
        <v>2.1999999999999999E-2</v>
      </c>
      <c r="T243" s="192"/>
    </row>
    <row r="244" spans="2:20" hidden="1" outlineLevel="1">
      <c r="B244" s="212">
        <f t="shared" si="63"/>
        <v>50496</v>
      </c>
      <c r="C244" s="194">
        <f t="shared" si="64"/>
        <v>3024548.5876560397</v>
      </c>
      <c r="D244" s="195">
        <f>IF(ISNUMBER($F244)*SUM(F244:F255)&lt;&gt;0,VLOOKUP($J244,'Table 1'!$B$13:$C$33,2,FALSE)/12*1000*Study_MW,0)</f>
        <v>0</v>
      </c>
      <c r="E244" s="195">
        <f t="shared" si="65"/>
        <v>3024548.5876560397</v>
      </c>
      <c r="F244" s="194">
        <v>72000</v>
      </c>
      <c r="G244" s="196">
        <f t="shared" si="66"/>
        <v>42.00761927300055</v>
      </c>
      <c r="I244" s="77">
        <f t="shared" si="67"/>
        <v>121</v>
      </c>
      <c r="J244" s="73">
        <f t="shared" si="58"/>
        <v>2038</v>
      </c>
      <c r="K244" s="78">
        <f t="shared" si="59"/>
        <v>50496</v>
      </c>
      <c r="M244" s="41">
        <v>2.1999999999999999E-2</v>
      </c>
      <c r="T244" s="192"/>
    </row>
    <row r="245" spans="2:20" hidden="1" outlineLevel="1">
      <c r="B245" s="212">
        <f t="shared" si="63"/>
        <v>50526</v>
      </c>
      <c r="C245" s="194">
        <f t="shared" si="64"/>
        <v>2786509.6282714065</v>
      </c>
      <c r="D245" s="195">
        <f>IF(ISNUMBER($F245)*SUM(F245:F256)&lt;&gt;0,VLOOKUP($J245,'Table 1'!$B$13:$C$33,2,FALSE)/12*1000*Study_MW,0)</f>
        <v>0</v>
      </c>
      <c r="E245" s="195">
        <f t="shared" si="65"/>
        <v>2786509.6282714065</v>
      </c>
      <c r="F245" s="194">
        <v>74400</v>
      </c>
      <c r="G245" s="196">
        <f t="shared" si="66"/>
        <v>37.453086401497401</v>
      </c>
      <c r="I245" s="77">
        <f t="shared" si="67"/>
        <v>122</v>
      </c>
      <c r="J245" s="73">
        <f t="shared" si="58"/>
        <v>2038</v>
      </c>
      <c r="K245" s="78">
        <f t="shared" si="59"/>
        <v>50526</v>
      </c>
      <c r="M245" s="41">
        <v>2.1999999999999999E-2</v>
      </c>
      <c r="T245" s="192"/>
    </row>
    <row r="246" spans="2:20" hidden="1" outlineLevel="1">
      <c r="B246" s="212">
        <f t="shared" si="63"/>
        <v>50557</v>
      </c>
      <c r="C246" s="194">
        <f t="shared" si="64"/>
        <v>4331029.8151368881</v>
      </c>
      <c r="D246" s="195">
        <f>IF(ISNUMBER($F246)*SUM(F246:F257)&lt;&gt;0,VLOOKUP($J246,'Table 1'!$B$13:$C$33,2,FALSE)/12*1000*Study_MW,0)</f>
        <v>0</v>
      </c>
      <c r="E246" s="195">
        <f t="shared" si="65"/>
        <v>4331029.8151368881</v>
      </c>
      <c r="F246" s="194">
        <v>72000</v>
      </c>
      <c r="G246" s="196">
        <f t="shared" si="66"/>
        <v>60.153191876901225</v>
      </c>
      <c r="I246" s="77">
        <f t="shared" si="67"/>
        <v>123</v>
      </c>
      <c r="J246" s="73">
        <f t="shared" si="58"/>
        <v>2038</v>
      </c>
      <c r="K246" s="78">
        <f t="shared" si="59"/>
        <v>50557</v>
      </c>
      <c r="M246" s="41">
        <v>2.1999999999999999E-2</v>
      </c>
      <c r="T246" s="192"/>
    </row>
    <row r="247" spans="2:20" hidden="1" outlineLevel="1">
      <c r="B247" s="212">
        <f t="shared" si="63"/>
        <v>50587</v>
      </c>
      <c r="C247" s="194">
        <f t="shared" si="64"/>
        <v>10621437.794852518</v>
      </c>
      <c r="D247" s="195">
        <f>IF(ISNUMBER($F247)*SUM(F247:F258)&lt;&gt;0,VLOOKUP($J247,'Table 1'!$B$13:$C$33,2,FALSE)/12*1000*Study_MW,0)</f>
        <v>0</v>
      </c>
      <c r="E247" s="195">
        <f t="shared" si="65"/>
        <v>10621437.794852518</v>
      </c>
      <c r="F247" s="194">
        <v>74400</v>
      </c>
      <c r="G247" s="196">
        <f t="shared" si="66"/>
        <v>142.76126068350158</v>
      </c>
      <c r="I247" s="77">
        <f t="shared" si="67"/>
        <v>124</v>
      </c>
      <c r="J247" s="73">
        <f t="shared" si="58"/>
        <v>2038</v>
      </c>
      <c r="K247" s="78">
        <f t="shared" si="59"/>
        <v>50587</v>
      </c>
      <c r="M247" s="41">
        <v>2.1999999999999999E-2</v>
      </c>
      <c r="T247" s="192"/>
    </row>
    <row r="248" spans="2:20" hidden="1" outlineLevel="1">
      <c r="B248" s="212">
        <f t="shared" si="63"/>
        <v>50618</v>
      </c>
      <c r="C248" s="194">
        <f t="shared" si="64"/>
        <v>9610853.9964854661</v>
      </c>
      <c r="D248" s="195">
        <f>IF(ISNUMBER($F248)*SUM(F248:F259)&lt;&gt;0,VLOOKUP($J248,'Table 1'!$B$13:$C$33,2,FALSE)/12*1000*Study_MW,0)</f>
        <v>0</v>
      </c>
      <c r="E248" s="195">
        <f t="shared" si="65"/>
        <v>9610853.9964854661</v>
      </c>
      <c r="F248" s="194">
        <v>74400</v>
      </c>
      <c r="G248" s="196">
        <f t="shared" si="66"/>
        <v>129.17814511405197</v>
      </c>
      <c r="I248" s="77">
        <f t="shared" si="67"/>
        <v>125</v>
      </c>
      <c r="J248" s="73">
        <f t="shared" si="58"/>
        <v>2038</v>
      </c>
      <c r="K248" s="78">
        <f t="shared" si="59"/>
        <v>50618</v>
      </c>
      <c r="M248" s="41">
        <v>2.1999999999999999E-2</v>
      </c>
      <c r="T248" s="192"/>
    </row>
    <row r="249" spans="2:20" hidden="1" outlineLevel="1">
      <c r="B249" s="212">
        <f t="shared" si="63"/>
        <v>50649</v>
      </c>
      <c r="C249" s="194">
        <f t="shared" si="64"/>
        <v>4404066.2339989319</v>
      </c>
      <c r="D249" s="195">
        <f>IF(ISNUMBER($F249)*SUM(F249:F260)&lt;&gt;0,VLOOKUP($J249,'Table 1'!$B$13:$C$33,2,FALSE)/12*1000*Study_MW,0)</f>
        <v>0</v>
      </c>
      <c r="E249" s="195">
        <f t="shared" si="65"/>
        <v>4404066.2339989319</v>
      </c>
      <c r="F249" s="194">
        <v>72000</v>
      </c>
      <c r="G249" s="196">
        <f t="shared" si="66"/>
        <v>61.167586583318496</v>
      </c>
      <c r="I249" s="77">
        <f t="shared" si="67"/>
        <v>126</v>
      </c>
      <c r="J249" s="73">
        <f t="shared" si="58"/>
        <v>2038</v>
      </c>
      <c r="K249" s="78">
        <f t="shared" si="59"/>
        <v>50649</v>
      </c>
      <c r="M249" s="41">
        <v>2.1999999999999999E-2</v>
      </c>
      <c r="T249" s="192"/>
    </row>
    <row r="250" spans="2:20" hidden="1" outlineLevel="1">
      <c r="B250" s="212">
        <f t="shared" si="63"/>
        <v>50679</v>
      </c>
      <c r="C250" s="194">
        <f t="shared" si="64"/>
        <v>3815981.2000631075</v>
      </c>
      <c r="D250" s="195">
        <f>IF(ISNUMBER($F250)*SUM(F250:F261)&lt;&gt;0,VLOOKUP($J250,'Table 1'!$B$13:$C$33,2,FALSE)/12*1000*Study_MW,0)</f>
        <v>0</v>
      </c>
      <c r="E250" s="195">
        <f t="shared" si="65"/>
        <v>3815981.2000631075</v>
      </c>
      <c r="F250" s="194">
        <v>74400</v>
      </c>
      <c r="G250" s="196">
        <f t="shared" si="66"/>
        <v>51.290069893321338</v>
      </c>
      <c r="I250" s="77">
        <f t="shared" si="67"/>
        <v>127</v>
      </c>
      <c r="J250" s="73">
        <f t="shared" si="58"/>
        <v>2038</v>
      </c>
      <c r="K250" s="78">
        <f t="shared" si="59"/>
        <v>50679</v>
      </c>
      <c r="M250" s="41">
        <v>2.1999999999999999E-2</v>
      </c>
      <c r="T250" s="192"/>
    </row>
    <row r="251" spans="2:20" hidden="1" outlineLevel="1">
      <c r="B251" s="212">
        <f t="shared" si="63"/>
        <v>50710</v>
      </c>
      <c r="C251" s="194">
        <f t="shared" si="64"/>
        <v>3492152.7805304602</v>
      </c>
      <c r="D251" s="195">
        <f>IF(ISNUMBER($F251)*SUM(F251:F262)&lt;&gt;0,VLOOKUP($J251,'Table 1'!$B$13:$C$33,2,FALSE)/12*1000*Study_MW,0)</f>
        <v>0</v>
      </c>
      <c r="E251" s="195">
        <f t="shared" si="65"/>
        <v>3492152.7805304602</v>
      </c>
      <c r="F251" s="194">
        <v>72000</v>
      </c>
      <c r="G251" s="196">
        <f t="shared" si="66"/>
        <v>48.502121951811944</v>
      </c>
      <c r="I251" s="77">
        <f t="shared" si="67"/>
        <v>128</v>
      </c>
      <c r="J251" s="73">
        <f t="shared" si="58"/>
        <v>2038</v>
      </c>
      <c r="K251" s="78">
        <f t="shared" si="59"/>
        <v>50710</v>
      </c>
      <c r="M251" s="41">
        <v>2.1999999999999999E-2</v>
      </c>
      <c r="O251" s="192"/>
      <c r="P251" s="192"/>
      <c r="T251" s="192"/>
    </row>
    <row r="252" spans="2:20" hidden="1" outlineLevel="1" collapsed="1">
      <c r="B252" s="213">
        <f t="shared" si="63"/>
        <v>50740</v>
      </c>
      <c r="C252" s="197">
        <f t="shared" si="64"/>
        <v>4396256.7463448532</v>
      </c>
      <c r="D252" s="198">
        <f>IF(ISNUMBER($F252)*SUM(F252:F263)&lt;&gt;0,VLOOKUP($J252,'Table 1'!$B$13:$C$33,2,FALSE)/12*1000*Study_MW,0)</f>
        <v>0</v>
      </c>
      <c r="E252" s="198">
        <f t="shared" si="65"/>
        <v>4396256.7463448532</v>
      </c>
      <c r="F252" s="197">
        <v>74400</v>
      </c>
      <c r="G252" s="199">
        <f t="shared" si="66"/>
        <v>59.089472397108239</v>
      </c>
      <c r="I252" s="64">
        <f t="shared" si="67"/>
        <v>129</v>
      </c>
      <c r="J252" s="73">
        <f t="shared" si="58"/>
        <v>2038</v>
      </c>
      <c r="K252" s="82">
        <f t="shared" si="59"/>
        <v>50740</v>
      </c>
      <c r="M252" s="41">
        <v>2.1999999999999999E-2</v>
      </c>
      <c r="O252" s="192"/>
      <c r="P252" s="192"/>
      <c r="T252" s="192"/>
    </row>
    <row r="253" spans="2:20" hidden="1" outlineLevel="1">
      <c r="B253" s="211">
        <f t="shared" si="63"/>
        <v>50771</v>
      </c>
      <c r="C253" s="200">
        <f t="shared" ref="C253:C259" si="68">(C241*(1+M253))*IF(AND(MONTH(K253)=2,OR(J241=2036,J241=2040)),28/29,1)</f>
        <v>3691720.8467732738</v>
      </c>
      <c r="D253" s="201">
        <f>IF(ISNUMBER($F253)*SUM(F253:F264)&lt;&gt;0,VLOOKUP($J253,'Table 1'!$B$13:$C$33,2,FALSE)/12*1000*Study_MW,0)</f>
        <v>0</v>
      </c>
      <c r="E253" s="201">
        <f t="shared" ref="E253:E259" si="69">C253+D253</f>
        <v>3691720.8467732738</v>
      </c>
      <c r="F253" s="200">
        <v>74400</v>
      </c>
      <c r="G253" s="202">
        <f t="shared" ref="G253:G259" si="70">IFERROR(E253/$F253,0)</f>
        <v>49.619903854479489</v>
      </c>
      <c r="I253" s="60">
        <f>I133</f>
        <v>1</v>
      </c>
      <c r="J253" s="73">
        <f t="shared" si="58"/>
        <v>2039</v>
      </c>
      <c r="K253" s="74">
        <f t="shared" si="59"/>
        <v>50771</v>
      </c>
      <c r="M253" s="41">
        <v>2.1999999999999999E-2</v>
      </c>
      <c r="O253" s="192"/>
      <c r="P253" s="192"/>
      <c r="T253" s="192"/>
    </row>
    <row r="254" spans="2:20" hidden="1" outlineLevel="1">
      <c r="B254" s="212">
        <f t="shared" si="63"/>
        <v>50802</v>
      </c>
      <c r="C254" s="194">
        <f t="shared" si="68"/>
        <v>3397227.7549549583</v>
      </c>
      <c r="D254" s="195">
        <f>IF(ISNUMBER($F254)*SUM(F254:F265)&lt;&gt;0,VLOOKUP($J254,'Table 1'!$B$13:$C$33,2,FALSE)/12*1000*Study_MW,0)</f>
        <v>0</v>
      </c>
      <c r="E254" s="195">
        <f t="shared" si="69"/>
        <v>3397227.7549549583</v>
      </c>
      <c r="F254" s="194">
        <v>67200</v>
      </c>
      <c r="G254" s="196">
        <f t="shared" si="70"/>
        <v>50.553984448734496</v>
      </c>
      <c r="I254" s="77">
        <f t="shared" si="67"/>
        <v>2</v>
      </c>
      <c r="J254" s="73">
        <f t="shared" si="58"/>
        <v>2039</v>
      </c>
      <c r="K254" s="78">
        <f t="shared" si="59"/>
        <v>50802</v>
      </c>
      <c r="M254" s="41">
        <v>2.1999999999999999E-2</v>
      </c>
      <c r="O254" s="192"/>
      <c r="P254" s="192"/>
      <c r="T254" s="192"/>
    </row>
    <row r="255" spans="2:20" hidden="1" outlineLevel="1">
      <c r="B255" s="212">
        <f t="shared" si="63"/>
        <v>50830</v>
      </c>
      <c r="C255" s="194">
        <f t="shared" si="68"/>
        <v>3332657.993362864</v>
      </c>
      <c r="D255" s="195">
        <f>IF(ISNUMBER($F255)*SUM(F255:F266)&lt;&gt;0,VLOOKUP($J255,'Table 1'!$B$13:$C$33,2,FALSE)/12*1000*Study_MW,0)</f>
        <v>0</v>
      </c>
      <c r="E255" s="195">
        <f t="shared" si="69"/>
        <v>3332657.993362864</v>
      </c>
      <c r="F255" s="194">
        <v>74400</v>
      </c>
      <c r="G255" s="196">
        <f t="shared" si="70"/>
        <v>44.79379023337183</v>
      </c>
      <c r="I255" s="77">
        <f t="shared" si="67"/>
        <v>3</v>
      </c>
      <c r="J255" s="73">
        <f t="shared" si="58"/>
        <v>2039</v>
      </c>
      <c r="K255" s="78">
        <f t="shared" si="59"/>
        <v>50830</v>
      </c>
      <c r="M255" s="41">
        <v>2.1999999999999999E-2</v>
      </c>
      <c r="O255" s="192"/>
      <c r="P255" s="192"/>
      <c r="T255" s="192"/>
    </row>
    <row r="256" spans="2:20" hidden="1" outlineLevel="1">
      <c r="B256" s="212">
        <f t="shared" si="63"/>
        <v>50861</v>
      </c>
      <c r="C256" s="194">
        <f t="shared" si="68"/>
        <v>3091088.6565844729</v>
      </c>
      <c r="D256" s="195">
        <f>IF(ISNUMBER($F256)*SUM(F256:F267)&lt;&gt;0,VLOOKUP($J256,'Table 1'!$B$13:$C$33,2,FALSE)/12*1000*Study_MW,0)</f>
        <v>0</v>
      </c>
      <c r="E256" s="195">
        <f t="shared" si="69"/>
        <v>3091088.6565844729</v>
      </c>
      <c r="F256" s="194">
        <v>72000</v>
      </c>
      <c r="G256" s="196">
        <f t="shared" si="70"/>
        <v>42.931786897006567</v>
      </c>
      <c r="I256" s="77">
        <f t="shared" si="67"/>
        <v>4</v>
      </c>
      <c r="J256" s="73">
        <f t="shared" si="58"/>
        <v>2039</v>
      </c>
      <c r="K256" s="78">
        <f t="shared" si="59"/>
        <v>50861</v>
      </c>
      <c r="M256" s="41">
        <v>2.1999999999999999E-2</v>
      </c>
      <c r="O256" s="192"/>
      <c r="P256" s="192"/>
      <c r="T256" s="192"/>
    </row>
    <row r="257" spans="2:20" hidden="1" outlineLevel="1">
      <c r="B257" s="212">
        <f t="shared" si="63"/>
        <v>50891</v>
      </c>
      <c r="C257" s="194">
        <f t="shared" si="68"/>
        <v>2847812.8400933775</v>
      </c>
      <c r="D257" s="195">
        <f>IF(ISNUMBER($F257)*SUM(F257:F268)&lt;&gt;0,VLOOKUP($J257,'Table 1'!$B$13:$C$33,2,FALSE)/12*1000*Study_MW,0)</f>
        <v>0</v>
      </c>
      <c r="E257" s="195">
        <f t="shared" si="69"/>
        <v>2847812.8400933775</v>
      </c>
      <c r="F257" s="194">
        <v>74400</v>
      </c>
      <c r="G257" s="196">
        <f t="shared" si="70"/>
        <v>38.277054302330342</v>
      </c>
      <c r="I257" s="77">
        <f t="shared" si="67"/>
        <v>5</v>
      </c>
      <c r="J257" s="73">
        <f t="shared" ref="J257:J264" si="71">YEAR(B257)</f>
        <v>2039</v>
      </c>
      <c r="K257" s="78">
        <f t="shared" ref="K257:K264" si="72">IF(ISNUMBER(F257),IF(F257&lt;&gt;0,B257,""),"")</f>
        <v>50891</v>
      </c>
      <c r="M257" s="41">
        <v>2.1999999999999999E-2</v>
      </c>
      <c r="O257" s="192"/>
      <c r="P257" s="192"/>
      <c r="T257" s="192"/>
    </row>
    <row r="258" spans="2:20" hidden="1" outlineLevel="1">
      <c r="B258" s="212">
        <f t="shared" si="63"/>
        <v>50922</v>
      </c>
      <c r="C258" s="194">
        <f t="shared" si="68"/>
        <v>4426312.4710698994</v>
      </c>
      <c r="D258" s="195">
        <f>IF(ISNUMBER($F258)*SUM(F258:F269)&lt;&gt;0,VLOOKUP($J258,'Table 1'!$B$13:$C$33,2,FALSE)/12*1000*Study_MW,0)</f>
        <v>0</v>
      </c>
      <c r="E258" s="195">
        <f t="shared" si="69"/>
        <v>4426312.4710698994</v>
      </c>
      <c r="F258" s="194">
        <v>72000</v>
      </c>
      <c r="G258" s="196">
        <f t="shared" si="70"/>
        <v>61.47656209819305</v>
      </c>
      <c r="I258" s="77">
        <f t="shared" si="67"/>
        <v>6</v>
      </c>
      <c r="J258" s="73">
        <f t="shared" si="71"/>
        <v>2039</v>
      </c>
      <c r="K258" s="78">
        <f t="shared" si="72"/>
        <v>50922</v>
      </c>
      <c r="M258" s="41">
        <v>2.1999999999999999E-2</v>
      </c>
      <c r="O258" s="192"/>
      <c r="P258" s="192"/>
      <c r="T258" s="192"/>
    </row>
    <row r="259" spans="2:20" hidden="1" outlineLevel="1">
      <c r="B259" s="212">
        <f t="shared" si="63"/>
        <v>50952</v>
      </c>
      <c r="C259" s="194">
        <f t="shared" si="68"/>
        <v>10855109.426339272</v>
      </c>
      <c r="D259" s="195">
        <f>IF(ISNUMBER($F259)*SUM(F259:F270)&lt;&gt;0,VLOOKUP($J259,'Table 1'!$B$13:$C$33,2,FALSE)/12*1000*Study_MW,0)</f>
        <v>0</v>
      </c>
      <c r="E259" s="195">
        <f t="shared" si="69"/>
        <v>10855109.426339272</v>
      </c>
      <c r="F259" s="194">
        <v>74400</v>
      </c>
      <c r="G259" s="196">
        <f t="shared" si="70"/>
        <v>145.9020084185386</v>
      </c>
      <c r="I259" s="77">
        <f t="shared" si="67"/>
        <v>7</v>
      </c>
      <c r="J259" s="73">
        <f t="shared" si="71"/>
        <v>2039</v>
      </c>
      <c r="K259" s="78">
        <f t="shared" si="72"/>
        <v>50952</v>
      </c>
      <c r="M259" s="41">
        <v>2.1999999999999999E-2</v>
      </c>
      <c r="O259" s="192"/>
      <c r="P259" s="192"/>
    </row>
    <row r="260" spans="2:20" hidden="1" outlineLevel="1">
      <c r="B260" s="212">
        <f t="shared" si="63"/>
        <v>50983</v>
      </c>
      <c r="C260" s="194">
        <f t="shared" ref="C260" si="73">(C248*(1+M260))*IF(AND(MONTH(K260)=2,OR(J248=2036,J248=2040)),28/29,1)</f>
        <v>9822292.7844081465</v>
      </c>
      <c r="D260" s="195">
        <f>IF(ISNUMBER($F260)*SUM(F260:F271)&lt;&gt;0,VLOOKUP($J260,'Table 1'!$B$13:$C$33,2,FALSE)/12*1000*Study_MW,0)</f>
        <v>0</v>
      </c>
      <c r="E260" s="195">
        <f t="shared" ref="E260" si="74">C260+D260</f>
        <v>9822292.7844081465</v>
      </c>
      <c r="F260" s="194">
        <v>74400</v>
      </c>
      <c r="G260" s="196">
        <f t="shared" ref="G260" si="75">IFERROR(E260/$F260,0)</f>
        <v>132.0200643065611</v>
      </c>
      <c r="I260" s="77">
        <f t="shared" si="67"/>
        <v>8</v>
      </c>
      <c r="J260" s="73">
        <f t="shared" si="71"/>
        <v>2039</v>
      </c>
      <c r="K260" s="78">
        <f t="shared" si="72"/>
        <v>50983</v>
      </c>
      <c r="M260" s="41">
        <v>2.1999999999999999E-2</v>
      </c>
      <c r="O260" s="192"/>
      <c r="P260" s="192"/>
    </row>
    <row r="261" spans="2:20" hidden="1" outlineLevel="1">
      <c r="B261" s="212">
        <f t="shared" si="63"/>
        <v>51014</v>
      </c>
      <c r="C261" s="194">
        <f t="shared" ref="C261:C264" si="76">(C249*(1+M261))*IF(AND(MONTH(K261)=2,OR(J249=2036,J249=2040)),28/29,1)</f>
        <v>4500955.6911469083</v>
      </c>
      <c r="D261" s="195">
        <f>IF(ISNUMBER($F261)*SUM(F261:F272)&lt;&gt;0,VLOOKUP($J261,'Table 1'!$B$13:$C$33,2,FALSE)/12*1000*Study_MW,0)</f>
        <v>0</v>
      </c>
      <c r="E261" s="195">
        <f t="shared" ref="E261:E264" si="77">C261+D261</f>
        <v>4500955.6911469083</v>
      </c>
      <c r="F261" s="194">
        <v>72000</v>
      </c>
      <c r="G261" s="196">
        <f t="shared" ref="G261:G264" si="78">IFERROR(E261/$F261,0)</f>
        <v>62.513273488151505</v>
      </c>
      <c r="I261" s="77">
        <f t="shared" si="67"/>
        <v>9</v>
      </c>
      <c r="J261" s="73">
        <f t="shared" si="71"/>
        <v>2039</v>
      </c>
      <c r="K261" s="78">
        <f t="shared" si="72"/>
        <v>51014</v>
      </c>
      <c r="M261" s="41">
        <v>2.1999999999999999E-2</v>
      </c>
      <c r="O261" s="192"/>
      <c r="P261" s="192"/>
    </row>
    <row r="262" spans="2:20" hidden="1" outlineLevel="1">
      <c r="B262" s="212">
        <f t="shared" si="63"/>
        <v>51044</v>
      </c>
      <c r="C262" s="194">
        <f t="shared" si="76"/>
        <v>3899932.7864644961</v>
      </c>
      <c r="D262" s="195">
        <f>IF(ISNUMBER($F262)*SUM(F262:F273)&lt;&gt;0,VLOOKUP($J262,'Table 1'!$B$13:$C$33,2,FALSE)/12*1000*Study_MW,0)</f>
        <v>0</v>
      </c>
      <c r="E262" s="195">
        <f t="shared" si="77"/>
        <v>3899932.7864644961</v>
      </c>
      <c r="F262" s="194">
        <v>74400</v>
      </c>
      <c r="G262" s="196">
        <f t="shared" si="78"/>
        <v>52.418451430974407</v>
      </c>
      <c r="I262" s="77">
        <f t="shared" si="67"/>
        <v>10</v>
      </c>
      <c r="J262" s="73">
        <f t="shared" si="71"/>
        <v>2039</v>
      </c>
      <c r="K262" s="78">
        <f t="shared" si="72"/>
        <v>51044</v>
      </c>
      <c r="M262" s="41">
        <v>2.1999999999999999E-2</v>
      </c>
    </row>
    <row r="263" spans="2:20" hidden="1" outlineLevel="1">
      <c r="B263" s="212">
        <f t="shared" si="63"/>
        <v>51075</v>
      </c>
      <c r="C263" s="194">
        <f t="shared" si="76"/>
        <v>3568980.1417021304</v>
      </c>
      <c r="D263" s="195">
        <f>IF(ISNUMBER($F263)*SUM(F263:F274)&lt;&gt;0,VLOOKUP($J263,'Table 1'!$B$13:$C$33,2,FALSE)/12*1000*Study_MW,0)</f>
        <v>0</v>
      </c>
      <c r="E263" s="195">
        <f t="shared" si="77"/>
        <v>3568980.1417021304</v>
      </c>
      <c r="F263" s="194">
        <v>72000</v>
      </c>
      <c r="G263" s="196">
        <f t="shared" si="78"/>
        <v>49.569168634751811</v>
      </c>
      <c r="I263" s="77">
        <f t="shared" si="67"/>
        <v>11</v>
      </c>
      <c r="J263" s="73">
        <f t="shared" si="71"/>
        <v>2039</v>
      </c>
      <c r="K263" s="78">
        <f t="shared" si="72"/>
        <v>51075</v>
      </c>
      <c r="M263" s="41">
        <v>2.1999999999999999E-2</v>
      </c>
    </row>
    <row r="264" spans="2:20" hidden="1" outlineLevel="1">
      <c r="B264" s="213">
        <f t="shared" si="63"/>
        <v>51105</v>
      </c>
      <c r="C264" s="197">
        <f t="shared" si="76"/>
        <v>4492974.3947644401</v>
      </c>
      <c r="D264" s="198">
        <f>IF(ISNUMBER($F264)*SUM(F264:F275)&lt;&gt;0,VLOOKUP($J264,'Table 1'!$B$13:$C$33,2,FALSE)/12*1000*Study_MW,0)</f>
        <v>0</v>
      </c>
      <c r="E264" s="198">
        <f t="shared" si="77"/>
        <v>4492974.3947644401</v>
      </c>
      <c r="F264" s="197">
        <v>74400</v>
      </c>
      <c r="G264" s="199">
        <f t="shared" si="78"/>
        <v>60.389440789844627</v>
      </c>
      <c r="I264" s="64">
        <f t="shared" si="67"/>
        <v>12</v>
      </c>
      <c r="J264" s="73">
        <f t="shared" si="71"/>
        <v>2039</v>
      </c>
      <c r="K264" s="82">
        <f t="shared" si="72"/>
        <v>51105</v>
      </c>
      <c r="M264" s="41">
        <v>2.1999999999999999E-2</v>
      </c>
    </row>
    <row r="265" spans="2:20" hidden="1" outlineLevel="1">
      <c r="B265" s="211"/>
      <c r="C265" s="200"/>
      <c r="D265" s="201"/>
      <c r="E265" s="201"/>
      <c r="F265" s="200"/>
      <c r="G265" s="202"/>
      <c r="I265" s="60">
        <f>I145</f>
        <v>14</v>
      </c>
      <c r="J265" s="73">
        <f t="shared" ref="J265:J276" si="79">YEAR(B265)</f>
        <v>1900</v>
      </c>
      <c r="K265" s="74" t="str">
        <f t="shared" ref="K265:K276" si="80">IF(ISNUMBER(F265),IF(F265&lt;&gt;0,B265,""),"")</f>
        <v/>
      </c>
      <c r="M265" s="41" t="e">
        <v>#N/A</v>
      </c>
      <c r="O265" s="192"/>
      <c r="P265" s="192"/>
      <c r="T265" s="192"/>
    </row>
    <row r="266" spans="2:20" hidden="1" outlineLevel="1">
      <c r="B266" s="212"/>
      <c r="C266" s="194"/>
      <c r="D266" s="195"/>
      <c r="E266" s="195"/>
      <c r="F266" s="194"/>
      <c r="G266" s="196"/>
      <c r="I266" s="77">
        <f t="shared" ref="I266:I276" si="81">I146</f>
        <v>15</v>
      </c>
      <c r="J266" s="73">
        <f t="shared" si="79"/>
        <v>1900</v>
      </c>
      <c r="K266" s="78" t="str">
        <f t="shared" si="80"/>
        <v/>
      </c>
      <c r="M266" s="41" t="e">
        <v>#N/A</v>
      </c>
      <c r="O266" s="192"/>
      <c r="P266" s="192"/>
      <c r="T266" s="192"/>
    </row>
    <row r="267" spans="2:20" hidden="1" outlineLevel="1">
      <c r="B267" s="212"/>
      <c r="C267" s="194"/>
      <c r="D267" s="195"/>
      <c r="E267" s="195"/>
      <c r="F267" s="194"/>
      <c r="G267" s="196"/>
      <c r="I267" s="77">
        <f t="shared" si="81"/>
        <v>16</v>
      </c>
      <c r="J267" s="73">
        <f t="shared" si="79"/>
        <v>1900</v>
      </c>
      <c r="K267" s="78" t="str">
        <f t="shared" si="80"/>
        <v/>
      </c>
      <c r="M267" s="41" t="e">
        <v>#N/A</v>
      </c>
      <c r="O267" s="192"/>
      <c r="P267" s="192"/>
      <c r="T267" s="192"/>
    </row>
    <row r="268" spans="2:20" hidden="1" outlineLevel="1">
      <c r="B268" s="212"/>
      <c r="C268" s="194"/>
      <c r="D268" s="195"/>
      <c r="E268" s="195"/>
      <c r="F268" s="194"/>
      <c r="G268" s="196"/>
      <c r="I268" s="77">
        <f t="shared" si="81"/>
        <v>17</v>
      </c>
      <c r="J268" s="73">
        <f t="shared" si="79"/>
        <v>1900</v>
      </c>
      <c r="K268" s="78" t="str">
        <f t="shared" si="80"/>
        <v/>
      </c>
      <c r="M268" s="41" t="e">
        <v>#N/A</v>
      </c>
      <c r="O268" s="192"/>
      <c r="P268" s="192"/>
      <c r="T268" s="192"/>
    </row>
    <row r="269" spans="2:20" hidden="1" outlineLevel="1">
      <c r="B269" s="212"/>
      <c r="C269" s="194"/>
      <c r="D269" s="195"/>
      <c r="E269" s="195"/>
      <c r="F269" s="194"/>
      <c r="G269" s="196"/>
      <c r="I269" s="77">
        <f t="shared" si="81"/>
        <v>18</v>
      </c>
      <c r="J269" s="73">
        <f t="shared" si="79"/>
        <v>1900</v>
      </c>
      <c r="K269" s="78" t="str">
        <f t="shared" si="80"/>
        <v/>
      </c>
      <c r="M269" s="41" t="e">
        <v>#N/A</v>
      </c>
      <c r="O269" s="192"/>
      <c r="P269" s="192"/>
      <c r="T269" s="192"/>
    </row>
    <row r="270" spans="2:20" hidden="1" outlineLevel="1">
      <c r="B270" s="212"/>
      <c r="C270" s="194"/>
      <c r="D270" s="195"/>
      <c r="E270" s="195"/>
      <c r="F270" s="194"/>
      <c r="G270" s="196"/>
      <c r="I270" s="77">
        <f t="shared" si="81"/>
        <v>19</v>
      </c>
      <c r="J270" s="73">
        <f t="shared" si="79"/>
        <v>1900</v>
      </c>
      <c r="K270" s="78" t="str">
        <f t="shared" si="80"/>
        <v/>
      </c>
      <c r="M270" s="41" t="e">
        <v>#N/A</v>
      </c>
      <c r="O270" s="192"/>
      <c r="P270" s="192"/>
      <c r="T270" s="192"/>
    </row>
    <row r="271" spans="2:20" hidden="1" outlineLevel="1">
      <c r="B271" s="212"/>
      <c r="C271" s="194"/>
      <c r="D271" s="195"/>
      <c r="E271" s="195"/>
      <c r="F271" s="194"/>
      <c r="G271" s="196"/>
      <c r="I271" s="77">
        <f t="shared" si="81"/>
        <v>20</v>
      </c>
      <c r="J271" s="73">
        <f t="shared" si="79"/>
        <v>1900</v>
      </c>
      <c r="K271" s="78" t="str">
        <f t="shared" si="80"/>
        <v/>
      </c>
      <c r="M271" s="41" t="e">
        <v>#N/A</v>
      </c>
      <c r="O271" s="192"/>
      <c r="P271" s="192"/>
    </row>
    <row r="272" spans="2:20" hidden="1" outlineLevel="1">
      <c r="B272" s="212"/>
      <c r="C272" s="194"/>
      <c r="D272" s="195"/>
      <c r="E272" s="195"/>
      <c r="F272" s="194"/>
      <c r="G272" s="196"/>
      <c r="I272" s="77">
        <f t="shared" si="81"/>
        <v>21</v>
      </c>
      <c r="J272" s="73">
        <f t="shared" si="79"/>
        <v>1900</v>
      </c>
      <c r="K272" s="78" t="str">
        <f t="shared" si="80"/>
        <v/>
      </c>
      <c r="M272" s="41" t="e">
        <v>#N/A</v>
      </c>
      <c r="O272" s="192"/>
      <c r="P272" s="192"/>
    </row>
    <row r="273" spans="2:16" hidden="1" outlineLevel="1">
      <c r="B273" s="212"/>
      <c r="C273" s="194"/>
      <c r="D273" s="195"/>
      <c r="E273" s="195"/>
      <c r="F273" s="194"/>
      <c r="G273" s="196"/>
      <c r="I273" s="77">
        <f t="shared" si="81"/>
        <v>22</v>
      </c>
      <c r="J273" s="73">
        <f t="shared" si="79"/>
        <v>1900</v>
      </c>
      <c r="K273" s="78" t="str">
        <f t="shared" si="80"/>
        <v/>
      </c>
      <c r="M273" s="41" t="e">
        <v>#N/A</v>
      </c>
      <c r="O273" s="192"/>
      <c r="P273" s="192"/>
    </row>
    <row r="274" spans="2:16" hidden="1" outlineLevel="1">
      <c r="B274" s="212"/>
      <c r="C274" s="194"/>
      <c r="D274" s="195"/>
      <c r="E274" s="195"/>
      <c r="F274" s="194"/>
      <c r="G274" s="196"/>
      <c r="I274" s="77">
        <f t="shared" si="81"/>
        <v>23</v>
      </c>
      <c r="J274" s="73">
        <f t="shared" si="79"/>
        <v>1900</v>
      </c>
      <c r="K274" s="78" t="str">
        <f t="shared" si="80"/>
        <v/>
      </c>
      <c r="M274" s="41" t="e">
        <v>#N/A</v>
      </c>
    </row>
    <row r="275" spans="2:16" hidden="1" outlineLevel="1">
      <c r="B275" s="212"/>
      <c r="C275" s="194"/>
      <c r="D275" s="195"/>
      <c r="E275" s="195"/>
      <c r="F275" s="194"/>
      <c r="G275" s="196"/>
      <c r="I275" s="77">
        <f t="shared" si="81"/>
        <v>24</v>
      </c>
      <c r="J275" s="73">
        <f t="shared" si="79"/>
        <v>1900</v>
      </c>
      <c r="K275" s="78" t="str">
        <f t="shared" si="80"/>
        <v/>
      </c>
      <c r="M275" s="41" t="e">
        <v>#N/A</v>
      </c>
    </row>
    <row r="276" spans="2:16" hidden="1" outlineLevel="1">
      <c r="B276" s="213"/>
      <c r="C276" s="197"/>
      <c r="D276" s="198"/>
      <c r="E276" s="198"/>
      <c r="F276" s="197"/>
      <c r="G276" s="199"/>
      <c r="I276" s="64">
        <f t="shared" si="81"/>
        <v>25</v>
      </c>
      <c r="J276" s="73">
        <f t="shared" si="79"/>
        <v>1900</v>
      </c>
      <c r="K276" s="82" t="str">
        <f t="shared" si="80"/>
        <v/>
      </c>
      <c r="M276" s="41" t="e">
        <v>#N/A</v>
      </c>
    </row>
    <row r="277" spans="2:16" collapsed="1"/>
  </sheetData>
  <printOptions horizontalCentered="1"/>
  <pageMargins left="0.25" right="0.25" top="0.75" bottom="0.75" header="0.3" footer="0.3"/>
  <pageSetup scale="87" fitToHeight="0" orientation="portrait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2" sqref="H3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3.83203125" style="121" customWidth="1"/>
    <col min="9" max="10" width="12.5" style="121" customWidth="1"/>
    <col min="11" max="11" width="11.6640625" style="121" customWidth="1"/>
    <col min="12" max="12" width="9.33203125" style="121"/>
    <col min="13" max="13" width="6.1640625" style="121" customWidth="1"/>
    <col min="14" max="14" width="7.83203125" style="172" customWidth="1"/>
    <col min="15" max="16384" width="9.33203125" style="121"/>
  </cols>
  <sheetData>
    <row r="1" spans="2:16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6" ht="15.75">
      <c r="B2" s="119" t="s">
        <v>100</v>
      </c>
      <c r="C2" s="120"/>
      <c r="D2" s="120"/>
      <c r="E2" s="120"/>
      <c r="F2" s="120"/>
      <c r="G2" s="120"/>
      <c r="H2" s="120"/>
      <c r="I2" s="120"/>
      <c r="J2" s="120"/>
    </row>
    <row r="3" spans="2:16" ht="15.75">
      <c r="B3" s="119"/>
      <c r="C3" s="120"/>
      <c r="D3" s="120"/>
      <c r="E3" s="120"/>
      <c r="F3" s="120"/>
      <c r="G3" s="120"/>
      <c r="H3" s="120"/>
      <c r="I3" s="120"/>
      <c r="J3" s="120"/>
    </row>
    <row r="4" spans="2:16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6" ht="51.75" customHeight="1">
      <c r="B5" s="124" t="s">
        <v>0</v>
      </c>
      <c r="C5" s="125" t="s">
        <v>106</v>
      </c>
      <c r="D5" s="125" t="s">
        <v>101</v>
      </c>
      <c r="E5" s="17" t="s">
        <v>54</v>
      </c>
      <c r="H5" s="172"/>
      <c r="N5" s="121"/>
    </row>
    <row r="6" spans="2:16" ht="24" customHeight="1">
      <c r="B6" s="126"/>
      <c r="C6" s="128" t="s">
        <v>9</v>
      </c>
      <c r="D6" s="127" t="s">
        <v>102</v>
      </c>
      <c r="E6" s="19" t="s">
        <v>9</v>
      </c>
      <c r="H6" s="172"/>
      <c r="N6" s="121"/>
    </row>
    <row r="7" spans="2:16">
      <c r="C7" s="129" t="s">
        <v>2</v>
      </c>
      <c r="D7" s="129" t="s">
        <v>4</v>
      </c>
      <c r="E7" s="129" t="s">
        <v>24</v>
      </c>
      <c r="H7" s="172"/>
      <c r="N7" s="121"/>
    </row>
    <row r="8" spans="2:16" ht="6" customHeight="1">
      <c r="H8" s="172"/>
      <c r="N8" s="121"/>
    </row>
    <row r="9" spans="2:16" ht="15.75">
      <c r="B9" s="43" t="str">
        <f>B2</f>
        <v>2017 IRP Aeolus-Bridger/Anticline Transmission</v>
      </c>
      <c r="D9" s="123"/>
      <c r="E9" s="123"/>
      <c r="N9" s="121"/>
    </row>
    <row r="10" spans="2:16">
      <c r="B10" s="140">
        <v>2020</v>
      </c>
      <c r="C10" s="132">
        <f>ROUND(C11/(1+$D44),2)</f>
        <v>47.55</v>
      </c>
      <c r="D10" s="140">
        <v>2</v>
      </c>
      <c r="E10" s="134">
        <f t="shared" ref="E10:E32" si="0">SUM(C10:C10)*D10/12</f>
        <v>7.9249999999999998</v>
      </c>
      <c r="F10" s="123"/>
      <c r="G10" s="159"/>
      <c r="M10" s="173"/>
      <c r="N10" s="137"/>
      <c r="O10" s="138"/>
      <c r="P10" s="139"/>
    </row>
    <row r="11" spans="2:16">
      <c r="B11" s="140">
        <f t="shared" ref="B11:B32" si="1">B10+1</f>
        <v>2021</v>
      </c>
      <c r="C11" s="132">
        <f>D36</f>
        <v>48.5910167356733</v>
      </c>
      <c r="D11" s="140">
        <v>12</v>
      </c>
      <c r="E11" s="134">
        <f t="shared" si="0"/>
        <v>48.5910167356733</v>
      </c>
      <c r="F11" s="123"/>
      <c r="G11" s="159"/>
      <c r="M11" s="173"/>
      <c r="N11" s="203"/>
      <c r="O11" s="203"/>
      <c r="P11" s="139"/>
    </row>
    <row r="12" spans="2:16">
      <c r="B12" s="140">
        <f t="shared" si="1"/>
        <v>2022</v>
      </c>
      <c r="C12" s="132">
        <f>ROUND(C11*(1+(IFERROR(INDEX($D$41:$D$49,MATCH($B12,$C$41:$C$49,0),1),0)+IFERROR(INDEX($G$41:$G$49,MATCH($B12,$F$41:$F$49,0),1),0)+IFERROR(INDEX($J$41:$J$49,MATCH($B12,$I$41:$I$49,0),1),0))),2)</f>
        <v>49.71</v>
      </c>
      <c r="D12" s="140">
        <v>12</v>
      </c>
      <c r="E12" s="134">
        <f t="shared" si="0"/>
        <v>49.71</v>
      </c>
      <c r="F12" s="123"/>
      <c r="H12" s="173"/>
      <c r="J12" s="204"/>
      <c r="N12" s="121"/>
    </row>
    <row r="13" spans="2:16">
      <c r="B13" s="140">
        <f t="shared" si="1"/>
        <v>2023</v>
      </c>
      <c r="C13" s="132">
        <f t="shared" ref="C13:C32" si="2">ROUND(C12*(1+(IFERROR(INDEX($D$41:$D$49,MATCH($B13,$C$41:$C$49,0),1),0)+IFERROR(INDEX($G$41:$G$49,MATCH($B13,$F$41:$F$49,0),1),0)+IFERROR(INDEX($J$41:$J$49,MATCH($B13,$I$41:$I$49,0),1),0))),2)</f>
        <v>50.8</v>
      </c>
      <c r="D13" s="140">
        <v>12</v>
      </c>
      <c r="E13" s="134">
        <f t="shared" si="0"/>
        <v>50.79999999999999</v>
      </c>
      <c r="F13" s="123"/>
      <c r="H13" s="173"/>
      <c r="I13" s="137"/>
      <c r="J13" s="204"/>
      <c r="N13" s="121"/>
    </row>
    <row r="14" spans="2:16">
      <c r="B14" s="140">
        <f t="shared" si="1"/>
        <v>2024</v>
      </c>
      <c r="C14" s="132">
        <f t="shared" si="2"/>
        <v>51.92</v>
      </c>
      <c r="D14" s="140">
        <v>12</v>
      </c>
      <c r="E14" s="134">
        <f t="shared" si="0"/>
        <v>51.919999999999995</v>
      </c>
      <c r="F14" s="123"/>
      <c r="H14" s="173"/>
      <c r="K14" s="205"/>
      <c r="N14" s="121"/>
    </row>
    <row r="15" spans="2:16">
      <c r="B15" s="140">
        <f t="shared" si="1"/>
        <v>2025</v>
      </c>
      <c r="C15" s="132">
        <f t="shared" si="2"/>
        <v>53.06</v>
      </c>
      <c r="D15" s="140">
        <v>12</v>
      </c>
      <c r="E15" s="134">
        <f t="shared" si="0"/>
        <v>53.06</v>
      </c>
      <c r="F15" s="123"/>
      <c r="H15" s="173"/>
      <c r="N15" s="121"/>
    </row>
    <row r="16" spans="2:16">
      <c r="B16" s="140">
        <f t="shared" si="1"/>
        <v>2026</v>
      </c>
      <c r="C16" s="132">
        <f t="shared" si="2"/>
        <v>54.23</v>
      </c>
      <c r="D16" s="140">
        <v>12</v>
      </c>
      <c r="E16" s="134">
        <f t="shared" si="0"/>
        <v>54.23</v>
      </c>
      <c r="F16" s="123"/>
      <c r="H16" s="173"/>
      <c r="J16" s="170"/>
      <c r="N16" s="121"/>
    </row>
    <row r="17" spans="2:14">
      <c r="B17" s="140">
        <f t="shared" si="1"/>
        <v>2027</v>
      </c>
      <c r="C17" s="132">
        <f t="shared" si="2"/>
        <v>55.42</v>
      </c>
      <c r="D17" s="140">
        <v>12</v>
      </c>
      <c r="E17" s="134">
        <f t="shared" si="0"/>
        <v>55.419999999999995</v>
      </c>
      <c r="F17" s="123"/>
      <c r="H17" s="173"/>
      <c r="N17" s="121"/>
    </row>
    <row r="18" spans="2:14">
      <c r="B18" s="140">
        <f t="shared" si="1"/>
        <v>2028</v>
      </c>
      <c r="C18" s="132">
        <f t="shared" si="2"/>
        <v>56.69</v>
      </c>
      <c r="D18" s="140">
        <v>12</v>
      </c>
      <c r="E18" s="134">
        <f t="shared" si="0"/>
        <v>56.69</v>
      </c>
      <c r="F18" s="123"/>
      <c r="H18" s="173"/>
      <c r="N18" s="121"/>
    </row>
    <row r="19" spans="2:14">
      <c r="B19" s="140">
        <f t="shared" si="1"/>
        <v>2029</v>
      </c>
      <c r="C19" s="132">
        <f t="shared" si="2"/>
        <v>57.99</v>
      </c>
      <c r="D19" s="140">
        <v>12</v>
      </c>
      <c r="E19" s="134">
        <f t="shared" si="0"/>
        <v>57.99</v>
      </c>
      <c r="F19" s="123"/>
      <c r="H19" s="173"/>
      <c r="N19" s="121"/>
    </row>
    <row r="20" spans="2:14">
      <c r="B20" s="140">
        <f t="shared" si="1"/>
        <v>2030</v>
      </c>
      <c r="C20" s="132">
        <f t="shared" si="2"/>
        <v>59.32</v>
      </c>
      <c r="D20" s="140">
        <v>12</v>
      </c>
      <c r="E20" s="134">
        <f t="shared" si="0"/>
        <v>59.32</v>
      </c>
      <c r="F20" s="123"/>
      <c r="H20" s="173"/>
      <c r="N20" s="121"/>
    </row>
    <row r="21" spans="2:14">
      <c r="B21" s="140">
        <f t="shared" si="1"/>
        <v>2031</v>
      </c>
      <c r="C21" s="132">
        <f t="shared" si="2"/>
        <v>60.68</v>
      </c>
      <c r="D21" s="140">
        <v>12</v>
      </c>
      <c r="E21" s="134">
        <f t="shared" si="0"/>
        <v>60.68</v>
      </c>
      <c r="F21" s="123"/>
      <c r="H21" s="173"/>
      <c r="N21" s="121"/>
    </row>
    <row r="22" spans="2:14">
      <c r="B22" s="140">
        <f t="shared" si="1"/>
        <v>2032</v>
      </c>
      <c r="C22" s="132">
        <f t="shared" si="2"/>
        <v>62.08</v>
      </c>
      <c r="D22" s="140">
        <v>12</v>
      </c>
      <c r="E22" s="134">
        <f t="shared" si="0"/>
        <v>62.080000000000005</v>
      </c>
      <c r="F22" s="123"/>
      <c r="H22" s="173"/>
      <c r="N22" s="121"/>
    </row>
    <row r="23" spans="2:14">
      <c r="B23" s="140">
        <f t="shared" si="1"/>
        <v>2033</v>
      </c>
      <c r="C23" s="132">
        <f t="shared" si="2"/>
        <v>63.45</v>
      </c>
      <c r="D23" s="140">
        <v>12</v>
      </c>
      <c r="E23" s="134">
        <f t="shared" si="0"/>
        <v>63.45000000000001</v>
      </c>
      <c r="F23" s="123"/>
      <c r="H23" s="173"/>
      <c r="N23" s="121"/>
    </row>
    <row r="24" spans="2:14">
      <c r="B24" s="140">
        <f t="shared" si="1"/>
        <v>2034</v>
      </c>
      <c r="C24" s="132">
        <f t="shared" si="2"/>
        <v>64.849999999999994</v>
      </c>
      <c r="D24" s="140">
        <v>12</v>
      </c>
      <c r="E24" s="134">
        <f t="shared" si="0"/>
        <v>64.849999999999994</v>
      </c>
      <c r="F24" s="123"/>
      <c r="H24" s="173"/>
      <c r="N24" s="121"/>
    </row>
    <row r="25" spans="2:14">
      <c r="B25" s="140">
        <f t="shared" si="1"/>
        <v>2035</v>
      </c>
      <c r="C25" s="132">
        <f t="shared" si="2"/>
        <v>66.28</v>
      </c>
      <c r="D25" s="140">
        <v>12</v>
      </c>
      <c r="E25" s="134">
        <f t="shared" si="0"/>
        <v>66.28</v>
      </c>
      <c r="F25" s="123"/>
      <c r="H25" s="173"/>
      <c r="N25" s="121"/>
    </row>
    <row r="26" spans="2:14">
      <c r="B26" s="140">
        <f t="shared" si="1"/>
        <v>2036</v>
      </c>
      <c r="C26" s="132">
        <f t="shared" si="2"/>
        <v>67.739999999999995</v>
      </c>
      <c r="D26" s="140">
        <v>12</v>
      </c>
      <c r="E26" s="134">
        <f t="shared" si="0"/>
        <v>67.739999999999995</v>
      </c>
      <c r="F26" s="123"/>
      <c r="H26" s="173"/>
      <c r="N26" s="121"/>
    </row>
    <row r="27" spans="2:14">
      <c r="B27" s="140">
        <f t="shared" si="1"/>
        <v>2037</v>
      </c>
      <c r="C27" s="132">
        <f t="shared" si="2"/>
        <v>69.23</v>
      </c>
      <c r="D27" s="140">
        <v>12</v>
      </c>
      <c r="E27" s="134">
        <f t="shared" si="0"/>
        <v>69.23</v>
      </c>
      <c r="F27" s="123"/>
      <c r="H27" s="173"/>
      <c r="N27" s="121"/>
    </row>
    <row r="28" spans="2:14">
      <c r="B28" s="140">
        <f t="shared" si="1"/>
        <v>2038</v>
      </c>
      <c r="C28" s="132">
        <f t="shared" si="2"/>
        <v>70.75</v>
      </c>
      <c r="D28" s="140">
        <v>12</v>
      </c>
      <c r="E28" s="134">
        <f t="shared" si="0"/>
        <v>70.75</v>
      </c>
      <c r="F28" s="123"/>
      <c r="H28" s="173"/>
      <c r="N28" s="121"/>
    </row>
    <row r="29" spans="2:14">
      <c r="B29" s="140">
        <f t="shared" si="1"/>
        <v>2039</v>
      </c>
      <c r="C29" s="132">
        <f t="shared" si="2"/>
        <v>72.31</v>
      </c>
      <c r="D29" s="140">
        <v>12</v>
      </c>
      <c r="E29" s="134">
        <f t="shared" si="0"/>
        <v>72.31</v>
      </c>
      <c r="F29" s="123"/>
      <c r="H29" s="173"/>
      <c r="N29" s="121"/>
    </row>
    <row r="30" spans="2:14">
      <c r="B30" s="140">
        <f t="shared" si="1"/>
        <v>2040</v>
      </c>
      <c r="C30" s="132">
        <f t="shared" si="2"/>
        <v>73.900000000000006</v>
      </c>
      <c r="D30" s="140">
        <v>12</v>
      </c>
      <c r="E30" s="134">
        <f t="shared" si="0"/>
        <v>73.900000000000006</v>
      </c>
      <c r="F30" s="123"/>
      <c r="H30" s="173"/>
      <c r="N30" s="121"/>
    </row>
    <row r="31" spans="2:14">
      <c r="B31" s="140">
        <f t="shared" si="1"/>
        <v>2041</v>
      </c>
      <c r="C31" s="132">
        <f t="shared" si="2"/>
        <v>75.53</v>
      </c>
      <c r="D31" s="140">
        <v>12</v>
      </c>
      <c r="E31" s="134">
        <f t="shared" si="0"/>
        <v>75.53</v>
      </c>
      <c r="F31" s="123"/>
      <c r="H31" s="173"/>
      <c r="N31" s="121"/>
    </row>
    <row r="32" spans="2:14">
      <c r="B32" s="140">
        <f t="shared" si="1"/>
        <v>2042</v>
      </c>
      <c r="C32" s="132">
        <f t="shared" si="2"/>
        <v>77.27</v>
      </c>
      <c r="D32" s="140">
        <v>12</v>
      </c>
      <c r="E32" s="134">
        <f t="shared" si="0"/>
        <v>77.27</v>
      </c>
      <c r="F32" s="123"/>
      <c r="G32" s="159"/>
      <c r="H32" s="173"/>
      <c r="N32" s="121"/>
    </row>
    <row r="33" spans="2:14">
      <c r="B33" s="140"/>
      <c r="C33" s="136"/>
      <c r="D33" s="132"/>
      <c r="E33" s="132"/>
      <c r="F33" s="133"/>
      <c r="G33" s="132"/>
      <c r="H33" s="132"/>
      <c r="I33" s="134"/>
      <c r="J33" s="134"/>
      <c r="K33" s="143"/>
    </row>
    <row r="34" spans="2:14">
      <c r="B34" s="130"/>
      <c r="C34" s="136"/>
      <c r="D34" s="132"/>
      <c r="E34" s="132"/>
      <c r="F34" s="133"/>
      <c r="G34" s="132"/>
      <c r="H34" s="132"/>
      <c r="I34" s="134"/>
      <c r="J34" s="134"/>
      <c r="K34" s="143"/>
    </row>
    <row r="35" spans="2:14" ht="15">
      <c r="C35" s="206" t="s">
        <v>103</v>
      </c>
      <c r="D35" s="207">
        <v>750</v>
      </c>
      <c r="E35" s="132"/>
      <c r="F35" s="133"/>
      <c r="G35" s="132"/>
      <c r="H35" s="132"/>
      <c r="I35" s="134"/>
      <c r="J35" s="134"/>
      <c r="K35" s="143"/>
    </row>
    <row r="36" spans="2:14" ht="39.75" customHeight="1">
      <c r="B36" s="337" t="s">
        <v>107</v>
      </c>
      <c r="C36" s="338"/>
      <c r="D36" s="217">
        <v>48.5910167356733</v>
      </c>
      <c r="E36" s="132"/>
      <c r="F36" s="133"/>
      <c r="G36" s="132"/>
      <c r="H36" s="132"/>
      <c r="I36" s="134"/>
      <c r="J36" s="134"/>
      <c r="K36" s="143"/>
    </row>
    <row r="39" spans="2:14" ht="13.5" thickBot="1">
      <c r="D39" s="160"/>
    </row>
    <row r="40" spans="2:14" ht="13.5" thickBot="1">
      <c r="C40" s="40" t="str">
        <f>"Company Official Inflation Forecast Dated "&amp;TEXT('Table 4'!$G$5,"mmmm dd, yyyy")</f>
        <v>Company Official Inflation Forecast Dated June 28, 2019</v>
      </c>
      <c r="D40" s="148"/>
      <c r="E40" s="148"/>
      <c r="F40" s="148"/>
      <c r="G40" s="148"/>
      <c r="H40" s="148"/>
      <c r="I40" s="148"/>
      <c r="J40" s="148"/>
      <c r="K40" s="150"/>
    </row>
    <row r="41" spans="2:14">
      <c r="C41" s="87">
        <v>2017</v>
      </c>
      <c r="D41" s="41">
        <v>0.02</v>
      </c>
      <c r="E41" s="85"/>
      <c r="F41" s="87">
        <f>C49+1</f>
        <v>2026</v>
      </c>
      <c r="G41" s="41">
        <v>2.1999999999999999E-2</v>
      </c>
      <c r="H41" s="85"/>
      <c r="I41" s="87">
        <f>F49+1</f>
        <v>2035</v>
      </c>
      <c r="J41" s="41">
        <v>2.1999999999999999E-2</v>
      </c>
    </row>
    <row r="42" spans="2:14">
      <c r="C42" s="87">
        <f t="shared" ref="C42:C49" si="3">C41+1</f>
        <v>2018</v>
      </c>
      <c r="D42" s="41">
        <v>2.3E-2</v>
      </c>
      <c r="E42" s="85"/>
      <c r="F42" s="87">
        <f t="shared" ref="F42:F49" si="4">F41+1</f>
        <v>2027</v>
      </c>
      <c r="G42" s="41">
        <v>2.1999999999999999E-2</v>
      </c>
      <c r="H42" s="85"/>
      <c r="I42" s="87">
        <f t="shared" ref="I42:I49" si="5">I41+1</f>
        <v>2036</v>
      </c>
      <c r="J42" s="41">
        <v>2.1999999999999999E-2</v>
      </c>
    </row>
    <row r="43" spans="2:14">
      <c r="C43" s="87">
        <f t="shared" si="3"/>
        <v>2019</v>
      </c>
      <c r="D43" s="41">
        <v>1.9E-2</v>
      </c>
      <c r="E43" s="85"/>
      <c r="F43" s="87">
        <f t="shared" si="4"/>
        <v>2028</v>
      </c>
      <c r="G43" s="41">
        <v>2.3E-2</v>
      </c>
      <c r="H43" s="85"/>
      <c r="I43" s="87">
        <f t="shared" si="5"/>
        <v>2037</v>
      </c>
      <c r="J43" s="41">
        <v>2.1999999999999999E-2</v>
      </c>
    </row>
    <row r="44" spans="2:14">
      <c r="C44" s="87">
        <f t="shared" si="3"/>
        <v>2020</v>
      </c>
      <c r="D44" s="41">
        <v>2.1999999999999999E-2</v>
      </c>
      <c r="E44" s="85"/>
      <c r="F44" s="87">
        <f t="shared" si="4"/>
        <v>2029</v>
      </c>
      <c r="G44" s="41">
        <v>2.3E-2</v>
      </c>
      <c r="H44" s="85"/>
      <c r="I44" s="87">
        <f t="shared" si="5"/>
        <v>2038</v>
      </c>
      <c r="J44" s="41">
        <v>2.1999999999999999E-2</v>
      </c>
    </row>
    <row r="45" spans="2:14">
      <c r="C45" s="87">
        <f t="shared" si="3"/>
        <v>2021</v>
      </c>
      <c r="D45" s="41">
        <v>2.1999999999999999E-2</v>
      </c>
      <c r="E45" s="85"/>
      <c r="F45" s="87">
        <f t="shared" si="4"/>
        <v>2030</v>
      </c>
      <c r="G45" s="41">
        <v>2.3E-2</v>
      </c>
      <c r="H45" s="85"/>
      <c r="I45" s="87">
        <f t="shared" si="5"/>
        <v>2039</v>
      </c>
      <c r="J45" s="41">
        <v>2.1999999999999999E-2</v>
      </c>
    </row>
    <row r="46" spans="2:14">
      <c r="C46" s="87">
        <f t="shared" si="3"/>
        <v>2022</v>
      </c>
      <c r="D46" s="41">
        <v>2.3E-2</v>
      </c>
      <c r="E46" s="85"/>
      <c r="F46" s="87">
        <f t="shared" si="4"/>
        <v>2031</v>
      </c>
      <c r="G46" s="41">
        <v>2.3E-2</v>
      </c>
      <c r="H46" s="85"/>
      <c r="I46" s="87">
        <f t="shared" si="5"/>
        <v>2040</v>
      </c>
      <c r="J46" s="41">
        <v>2.1999999999999999E-2</v>
      </c>
    </row>
    <row r="47" spans="2:14" s="123" customFormat="1">
      <c r="C47" s="87">
        <f t="shared" si="3"/>
        <v>2023</v>
      </c>
      <c r="D47" s="41">
        <v>2.1999999999999999E-2</v>
      </c>
      <c r="E47" s="86"/>
      <c r="F47" s="87">
        <f t="shared" si="4"/>
        <v>2032</v>
      </c>
      <c r="G47" s="41">
        <v>2.3E-2</v>
      </c>
      <c r="H47" s="86"/>
      <c r="I47" s="87">
        <f t="shared" si="5"/>
        <v>2041</v>
      </c>
      <c r="J47" s="41">
        <v>2.1999999999999999E-2</v>
      </c>
      <c r="N47" s="175"/>
    </row>
    <row r="48" spans="2:14" s="123" customFormat="1">
      <c r="C48" s="87">
        <f t="shared" si="3"/>
        <v>2024</v>
      </c>
      <c r="D48" s="41">
        <v>2.1999999999999999E-2</v>
      </c>
      <c r="E48" s="86"/>
      <c r="F48" s="87">
        <f t="shared" si="4"/>
        <v>2033</v>
      </c>
      <c r="G48" s="41">
        <v>2.1999999999999999E-2</v>
      </c>
      <c r="H48" s="86"/>
      <c r="I48" s="87">
        <f t="shared" si="5"/>
        <v>2042</v>
      </c>
      <c r="J48" s="41">
        <v>2.3E-2</v>
      </c>
      <c r="N48" s="175"/>
    </row>
    <row r="49" spans="3:14" s="123" customFormat="1">
      <c r="C49" s="87">
        <f t="shared" si="3"/>
        <v>2025</v>
      </c>
      <c r="D49" s="41">
        <v>2.1999999999999999E-2</v>
      </c>
      <c r="E49" s="86"/>
      <c r="F49" s="87">
        <f t="shared" si="4"/>
        <v>2034</v>
      </c>
      <c r="G49" s="41">
        <v>2.1999999999999999E-2</v>
      </c>
      <c r="H49" s="86"/>
      <c r="I49" s="87">
        <f t="shared" si="5"/>
        <v>2043</v>
      </c>
      <c r="J49" s="41">
        <v>2.3E-2</v>
      </c>
      <c r="N49" s="175"/>
    </row>
    <row r="50" spans="3:14" s="123" customFormat="1">
      <c r="N50" s="175"/>
    </row>
    <row r="51" spans="3:14" s="123" customFormat="1">
      <c r="N51" s="175"/>
    </row>
    <row r="68" spans="3:4">
      <c r="C68" s="156"/>
      <c r="D68" s="160"/>
    </row>
    <row r="69" spans="3:4">
      <c r="C69" s="156"/>
      <c r="D69" s="160"/>
    </row>
    <row r="70" spans="3:4">
      <c r="C70" s="156"/>
      <c r="D70" s="160"/>
    </row>
    <row r="71" spans="3:4">
      <c r="C71" s="156"/>
      <c r="D71" s="160"/>
    </row>
    <row r="72" spans="3:4">
      <c r="C72" s="156"/>
      <c r="D72" s="160"/>
    </row>
    <row r="73" spans="3:4">
      <c r="C73" s="156"/>
      <c r="D73" s="160"/>
    </row>
    <row r="74" spans="3:4">
      <c r="C74" s="156"/>
      <c r="D74" s="160"/>
    </row>
    <row r="75" spans="3:4">
      <c r="C75" s="156"/>
      <c r="D75" s="160"/>
    </row>
    <row r="76" spans="3:4">
      <c r="C76" s="156"/>
      <c r="D76" s="160"/>
    </row>
    <row r="77" spans="3:4">
      <c r="C77" s="156"/>
      <c r="D77" s="160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G24" sqref="G24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87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14.420385918397407</v>
      </c>
      <c r="G13" s="132">
        <f>ROUND(G12*(1+(IFERROR(INDEX($D$66:$D$74,MATCH($B13,$C$66:$C$74,0),1),0)+IFERROR(INDEX($G$66:$G$74,MATCH($B13,$F$66:$F$74,0),1),0)+IFERROR(INDEX($J$66:$J$74,MATCH($B13,$I$66:$I$74,0),1),0))),2)</f>
        <v>0</v>
      </c>
      <c r="H13" s="132">
        <f>ROUND(H12*(1+(IFERROR(INDEX($D$66:$D$74,MATCH($B13,$C$66:$C$74,0),1),0)+IFERROR(INDEX($G$66:$G$74,MATCH($B13,$F$66:$F$74,0),1),0)+IFERROR(INDEX($J$66:$J$74,MATCH($B13,$I$66:$I$74,0),1),0))),2)</f>
        <v>0</v>
      </c>
      <c r="I13" s="134">
        <f t="shared" si="2"/>
        <v>14.420385918397407</v>
      </c>
      <c r="J13" s="134">
        <f t="shared" si="3"/>
        <v>39.159999999999997</v>
      </c>
      <c r="K13" s="132">
        <f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ref="D14:H36" si="5">ROUND(E13*(1+(IFERROR(INDEX($D$66:$D$74,MATCH($B14,$C$66:$C$74,0),1),0)+IFERROR(INDEX($G$66:$G$74,MATCH($B14,$F$66:$F$74,0),1),0)+IFERROR(INDEX($J$66:$J$74,MATCH($B14,$I$66:$I$74,0),1),0))),2)</f>
        <v>40.020000000000003</v>
      </c>
      <c r="F14" s="134">
        <f t="shared" si="1"/>
        <v>14.737074679628813</v>
      </c>
      <c r="G14" s="132">
        <f t="shared" si="5"/>
        <v>0</v>
      </c>
      <c r="H14" s="132">
        <f t="shared" si="5"/>
        <v>0</v>
      </c>
      <c r="I14" s="134">
        <f t="shared" si="2"/>
        <v>14.737074679628813</v>
      </c>
      <c r="J14" s="134">
        <f t="shared" si="3"/>
        <v>40.020000000000003</v>
      </c>
      <c r="K14" s="132">
        <f t="shared" ref="K14:K36" si="6">ROUND(K13*(1+(IFERROR(INDEX($D$66:$D$74,MATCH($B14,$C$66:$C$74,0),1),0)+IFERROR(INDEX($G$66:$G$74,MATCH($B14,$F$66:$F$74,0),1),0)+IFERROR(INDEX($J$66:$J$74,MATCH($B14,$I$66:$I$74,0),1),0))),2)</f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15.061128295772575</v>
      </c>
      <c r="G15" s="132">
        <f t="shared" si="5"/>
        <v>0</v>
      </c>
      <c r="H15" s="132">
        <f t="shared" si="5"/>
        <v>0</v>
      </c>
      <c r="I15" s="134">
        <f t="shared" si="2"/>
        <v>15.061128295772575</v>
      </c>
      <c r="J15" s="134">
        <f t="shared" si="3"/>
        <v>40.9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15.407276476653413</v>
      </c>
      <c r="G16" s="132">
        <f t="shared" si="5"/>
        <v>0</v>
      </c>
      <c r="H16" s="132">
        <f t="shared" si="5"/>
        <v>0</v>
      </c>
      <c r="I16" s="134">
        <f t="shared" si="2"/>
        <v>15.407276476653413</v>
      </c>
      <c r="J16" s="134">
        <f t="shared" si="3"/>
        <v>41.84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15.74605980262189</v>
      </c>
      <c r="G17" s="132">
        <f t="shared" si="5"/>
        <v>0</v>
      </c>
      <c r="H17" s="132">
        <f t="shared" si="5"/>
        <v>0</v>
      </c>
      <c r="I17" s="134">
        <f t="shared" si="2"/>
        <v>15.74605980262189</v>
      </c>
      <c r="J17" s="134">
        <f t="shared" si="3"/>
        <v>42.76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16.092207983502728</v>
      </c>
      <c r="G18" s="132">
        <f t="shared" si="5"/>
        <v>0</v>
      </c>
      <c r="H18" s="132">
        <f t="shared" si="5"/>
        <v>0</v>
      </c>
      <c r="I18" s="134">
        <f t="shared" si="2"/>
        <v>16.092207983502728</v>
      </c>
      <c r="J18" s="134">
        <f t="shared" si="3"/>
        <v>43.7</v>
      </c>
      <c r="K18" s="132">
        <f t="shared" si="6"/>
        <v>0.66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16.44572101929592</v>
      </c>
      <c r="G19" s="132">
        <f t="shared" si="5"/>
        <v>0</v>
      </c>
      <c r="H19" s="132">
        <f t="shared" si="5"/>
        <v>0</v>
      </c>
      <c r="I19" s="134">
        <f t="shared" si="2"/>
        <v>16.44572101929592</v>
      </c>
      <c r="J19" s="134">
        <f t="shared" si="3"/>
        <v>44.66</v>
      </c>
      <c r="K19" s="132">
        <f t="shared" si="6"/>
        <v>0.67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16.806598910001476</v>
      </c>
      <c r="G20" s="132">
        <f t="shared" si="5"/>
        <v>0</v>
      </c>
      <c r="H20" s="132">
        <f t="shared" si="5"/>
        <v>0</v>
      </c>
      <c r="I20" s="134">
        <f t="shared" si="2"/>
        <v>16.806598910001476</v>
      </c>
      <c r="J20" s="134">
        <f t="shared" si="3"/>
        <v>45.64</v>
      </c>
      <c r="K20" s="132">
        <f t="shared" si="6"/>
        <v>0.68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17.174841655619385</v>
      </c>
      <c r="G21" s="132">
        <f t="shared" si="5"/>
        <v>0</v>
      </c>
      <c r="H21" s="132">
        <f t="shared" si="5"/>
        <v>0</v>
      </c>
      <c r="I21" s="134">
        <f t="shared" si="2"/>
        <v>17.174841655619385</v>
      </c>
      <c r="J21" s="134">
        <f t="shared" si="3"/>
        <v>46.64</v>
      </c>
      <c r="K21" s="132">
        <f t="shared" si="6"/>
        <v>0.69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17.568861393430552</v>
      </c>
      <c r="G22" s="132">
        <f t="shared" si="5"/>
        <v>0</v>
      </c>
      <c r="H22" s="132">
        <f t="shared" si="5"/>
        <v>0</v>
      </c>
      <c r="I22" s="134">
        <f t="shared" si="2"/>
        <v>17.568861393430552</v>
      </c>
      <c r="J22" s="134">
        <f t="shared" si="3"/>
        <v>47.71</v>
      </c>
      <c r="K22" s="132">
        <f t="shared" si="6"/>
        <v>0.71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17.973928413610253</v>
      </c>
      <c r="G23" s="132">
        <f t="shared" si="5"/>
        <v>0</v>
      </c>
      <c r="H23" s="132">
        <f t="shared" si="5"/>
        <v>0</v>
      </c>
      <c r="I23" s="134">
        <f t="shared" si="2"/>
        <v>17.973928413610253</v>
      </c>
      <c r="J23" s="134">
        <f t="shared" si="3"/>
        <v>48.81</v>
      </c>
      <c r="K23" s="132">
        <f t="shared" si="6"/>
        <v>0.73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1351.8149072293081</v>
      </c>
      <c r="D24" s="132">
        <f>C24*$C$62</f>
        <v>96.059849537504135</v>
      </c>
      <c r="E24" s="132">
        <f t="shared" si="5"/>
        <v>49.93</v>
      </c>
      <c r="F24" s="134">
        <f t="shared" ref="F24:F29" si="8">(D24+E24)/(8.76*$C$63)</f>
        <v>53.759703026036291</v>
      </c>
      <c r="G24" s="132">
        <f t="shared" si="5"/>
        <v>0</v>
      </c>
      <c r="H24" s="132">
        <f t="shared" si="5"/>
        <v>0</v>
      </c>
      <c r="I24" s="134">
        <f t="shared" ref="I24:I29" si="9">F24+H24+G24</f>
        <v>53.759703026036291</v>
      </c>
      <c r="J24" s="134">
        <f t="shared" ref="J24:J29" si="10">ROUND(I24*$C$63*8.76,2)</f>
        <v>145.99</v>
      </c>
      <c r="K24" s="132">
        <f t="shared" si="6"/>
        <v>0.75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98.27</v>
      </c>
      <c r="E25" s="132">
        <f t="shared" si="5"/>
        <v>51.08</v>
      </c>
      <c r="F25" s="134">
        <f t="shared" si="8"/>
        <v>54.997054058035062</v>
      </c>
      <c r="G25" s="132">
        <f t="shared" si="5"/>
        <v>0</v>
      </c>
      <c r="H25" s="132">
        <f t="shared" si="5"/>
        <v>0</v>
      </c>
      <c r="I25" s="134">
        <f t="shared" si="9"/>
        <v>54.997054058035062</v>
      </c>
      <c r="J25" s="134">
        <f t="shared" si="10"/>
        <v>149.35</v>
      </c>
      <c r="K25" s="132">
        <f t="shared" si="6"/>
        <v>0.77</v>
      </c>
      <c r="L25" s="123"/>
      <c r="M25" s="251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ref="D26:D36" si="11">ROUND(D25*(1+(IFERROR(INDEX($D$66:$D$74,MATCH($B26,$C$66:$C$74,0),1),0)+IFERROR(INDEX($G$66:$G$74,MATCH($B26,$F$66:$F$74,0),1),0)+IFERROR(INDEX($J$66:$J$74,MATCH($B26,$I$66:$I$74,0),1),0))),2)</f>
        <v>100.53</v>
      </c>
      <c r="E26" s="132">
        <f t="shared" si="5"/>
        <v>52.25</v>
      </c>
      <c r="F26" s="134">
        <f t="shared" si="8"/>
        <v>56.260126675504495</v>
      </c>
      <c r="G26" s="132">
        <f t="shared" si="5"/>
        <v>0</v>
      </c>
      <c r="H26" s="132">
        <f t="shared" si="5"/>
        <v>0</v>
      </c>
      <c r="I26" s="134">
        <f t="shared" si="9"/>
        <v>56.260126675504495</v>
      </c>
      <c r="J26" s="134">
        <f t="shared" si="10"/>
        <v>152.78</v>
      </c>
      <c r="K26" s="132">
        <f t="shared" si="6"/>
        <v>0.79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11"/>
        <v>102.74</v>
      </c>
      <c r="E27" s="132">
        <f t="shared" si="5"/>
        <v>53.4</v>
      </c>
      <c r="F27" s="134">
        <f t="shared" si="8"/>
        <v>57.497422300780677</v>
      </c>
      <c r="G27" s="132">
        <f t="shared" si="5"/>
        <v>0</v>
      </c>
      <c r="H27" s="132">
        <f t="shared" si="5"/>
        <v>0</v>
      </c>
      <c r="I27" s="134">
        <f t="shared" si="9"/>
        <v>57.497422300780677</v>
      </c>
      <c r="J27" s="134">
        <f t="shared" si="10"/>
        <v>156.13999999999999</v>
      </c>
      <c r="K27" s="132">
        <f t="shared" si="6"/>
        <v>0.81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11"/>
        <v>105</v>
      </c>
      <c r="E28" s="132">
        <f t="shared" si="5"/>
        <v>54.57</v>
      </c>
      <c r="F28" s="134">
        <f t="shared" si="8"/>
        <v>58.76049491825011</v>
      </c>
      <c r="G28" s="132">
        <f t="shared" si="5"/>
        <v>0</v>
      </c>
      <c r="H28" s="132">
        <f t="shared" si="5"/>
        <v>0</v>
      </c>
      <c r="I28" s="134">
        <f t="shared" si="9"/>
        <v>58.76049491825011</v>
      </c>
      <c r="J28" s="134">
        <f t="shared" si="10"/>
        <v>159.57</v>
      </c>
      <c r="K28" s="132">
        <f t="shared" si="6"/>
        <v>0.83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11"/>
        <v>107.31</v>
      </c>
      <c r="E29" s="132">
        <f t="shared" si="5"/>
        <v>55.77</v>
      </c>
      <c r="F29" s="134">
        <f t="shared" si="8"/>
        <v>60.053026955368992</v>
      </c>
      <c r="G29" s="132">
        <f t="shared" si="5"/>
        <v>0</v>
      </c>
      <c r="H29" s="132">
        <f t="shared" si="5"/>
        <v>0</v>
      </c>
      <c r="I29" s="134">
        <f t="shared" si="9"/>
        <v>60.053026955368992</v>
      </c>
      <c r="J29" s="134">
        <f t="shared" si="10"/>
        <v>163.08000000000001</v>
      </c>
      <c r="K29" s="132">
        <f t="shared" si="6"/>
        <v>0.85</v>
      </c>
      <c r="L29" s="123"/>
      <c r="P29" s="169">
        <f t="shared" ref="P29:P36" si="12">ROUND(P28*(1+$J66),2)</f>
        <v>0</v>
      </c>
    </row>
    <row r="30" spans="2:17">
      <c r="B30" s="140">
        <f t="shared" si="0"/>
        <v>2036</v>
      </c>
      <c r="C30" s="141"/>
      <c r="D30" s="132">
        <f t="shared" si="11"/>
        <v>109.67</v>
      </c>
      <c r="E30" s="132">
        <f t="shared" si="5"/>
        <v>57</v>
      </c>
      <c r="F30" s="134">
        <f t="shared" si="1"/>
        <v>61.375018412137294</v>
      </c>
      <c r="G30" s="132">
        <f t="shared" si="5"/>
        <v>0</v>
      </c>
      <c r="H30" s="132">
        <f t="shared" si="5"/>
        <v>0</v>
      </c>
      <c r="I30" s="134">
        <f t="shared" si="2"/>
        <v>61.375018412137294</v>
      </c>
      <c r="J30" s="134">
        <f t="shared" si="3"/>
        <v>166.67</v>
      </c>
      <c r="K30" s="132">
        <f t="shared" si="6"/>
        <v>0.87</v>
      </c>
      <c r="L30" s="123"/>
      <c r="P30" s="169">
        <f t="shared" si="12"/>
        <v>0</v>
      </c>
    </row>
    <row r="31" spans="2:17">
      <c r="B31" s="140">
        <f t="shared" si="0"/>
        <v>2037</v>
      </c>
      <c r="C31" s="141"/>
      <c r="D31" s="132">
        <f t="shared" si="11"/>
        <v>112.08</v>
      </c>
      <c r="E31" s="132">
        <f t="shared" si="5"/>
        <v>58.25</v>
      </c>
      <c r="F31" s="134">
        <f t="shared" si="1"/>
        <v>62.722786861098832</v>
      </c>
      <c r="G31" s="132">
        <f t="shared" si="5"/>
        <v>0</v>
      </c>
      <c r="H31" s="132">
        <f t="shared" si="5"/>
        <v>0</v>
      </c>
      <c r="I31" s="134">
        <f t="shared" si="2"/>
        <v>62.722786861098832</v>
      </c>
      <c r="J31" s="134">
        <f t="shared" si="3"/>
        <v>170.33</v>
      </c>
      <c r="K31" s="132">
        <f t="shared" si="6"/>
        <v>0.89</v>
      </c>
      <c r="L31" s="123"/>
      <c r="P31" s="169">
        <f t="shared" si="12"/>
        <v>0</v>
      </c>
    </row>
    <row r="32" spans="2:17">
      <c r="B32" s="140">
        <f t="shared" si="0"/>
        <v>2038</v>
      </c>
      <c r="C32" s="141"/>
      <c r="D32" s="132">
        <f t="shared" si="11"/>
        <v>114.55</v>
      </c>
      <c r="E32" s="132">
        <f t="shared" si="5"/>
        <v>59.53</v>
      </c>
      <c r="F32" s="134">
        <f t="shared" si="1"/>
        <v>64.103697157165996</v>
      </c>
      <c r="G32" s="132">
        <f t="shared" si="5"/>
        <v>0</v>
      </c>
      <c r="H32" s="132">
        <f t="shared" si="5"/>
        <v>0</v>
      </c>
      <c r="I32" s="134">
        <f t="shared" si="2"/>
        <v>64.103697157165996</v>
      </c>
      <c r="J32" s="134">
        <f t="shared" si="3"/>
        <v>174.08</v>
      </c>
      <c r="K32" s="132">
        <f t="shared" si="6"/>
        <v>0.91</v>
      </c>
      <c r="L32" s="123"/>
      <c r="P32" s="169">
        <f t="shared" si="12"/>
        <v>0</v>
      </c>
    </row>
    <row r="33" spans="2:16">
      <c r="B33" s="140">
        <f t="shared" si="0"/>
        <v>2039</v>
      </c>
      <c r="C33" s="141"/>
      <c r="D33" s="132">
        <f t="shared" si="11"/>
        <v>117.07</v>
      </c>
      <c r="E33" s="132">
        <f t="shared" si="5"/>
        <v>60.84</v>
      </c>
      <c r="F33" s="134">
        <f t="shared" si="1"/>
        <v>65.514066872882609</v>
      </c>
      <c r="G33" s="132">
        <f t="shared" si="5"/>
        <v>0</v>
      </c>
      <c r="H33" s="132">
        <f t="shared" si="5"/>
        <v>0</v>
      </c>
      <c r="I33" s="134">
        <f t="shared" si="2"/>
        <v>65.514066872882609</v>
      </c>
      <c r="J33" s="134">
        <f t="shared" si="3"/>
        <v>177.91</v>
      </c>
      <c r="K33" s="132">
        <f t="shared" si="6"/>
        <v>0.93</v>
      </c>
      <c r="L33" s="123"/>
      <c r="P33" s="169">
        <f t="shared" si="12"/>
        <v>0</v>
      </c>
    </row>
    <row r="34" spans="2:16">
      <c r="B34" s="140">
        <f t="shared" si="0"/>
        <v>2040</v>
      </c>
      <c r="C34" s="141"/>
      <c r="D34" s="132">
        <f t="shared" si="11"/>
        <v>119.65</v>
      </c>
      <c r="E34" s="132">
        <f t="shared" si="5"/>
        <v>62.18</v>
      </c>
      <c r="F34" s="134">
        <f t="shared" si="1"/>
        <v>66.957578435704832</v>
      </c>
      <c r="G34" s="132">
        <f t="shared" si="5"/>
        <v>0</v>
      </c>
      <c r="H34" s="132">
        <f t="shared" si="5"/>
        <v>0</v>
      </c>
      <c r="I34" s="134">
        <f t="shared" si="2"/>
        <v>66.957578435704832</v>
      </c>
      <c r="J34" s="134">
        <f t="shared" si="3"/>
        <v>181.83</v>
      </c>
      <c r="K34" s="132">
        <f t="shared" si="6"/>
        <v>0.95</v>
      </c>
      <c r="L34" s="123"/>
      <c r="P34" s="169">
        <f t="shared" si="12"/>
        <v>0</v>
      </c>
    </row>
    <row r="35" spans="2:16">
      <c r="B35" s="140">
        <f t="shared" si="0"/>
        <v>2041</v>
      </c>
      <c r="C35" s="141"/>
      <c r="D35" s="132">
        <f t="shared" si="11"/>
        <v>122.28</v>
      </c>
      <c r="E35" s="132">
        <f t="shared" si="5"/>
        <v>63.55</v>
      </c>
      <c r="F35" s="134">
        <f t="shared" si="1"/>
        <v>68.430549418176454</v>
      </c>
      <c r="G35" s="132">
        <f t="shared" si="5"/>
        <v>0</v>
      </c>
      <c r="H35" s="132">
        <f t="shared" si="5"/>
        <v>0</v>
      </c>
      <c r="I35" s="134">
        <f t="shared" si="2"/>
        <v>68.430549418176454</v>
      </c>
      <c r="J35" s="134">
        <f t="shared" si="3"/>
        <v>185.83</v>
      </c>
      <c r="K35" s="132">
        <f t="shared" si="6"/>
        <v>0.97</v>
      </c>
      <c r="L35" s="123"/>
      <c r="P35" s="169">
        <f t="shared" si="12"/>
        <v>0</v>
      </c>
    </row>
    <row r="36" spans="2:16">
      <c r="B36" s="140">
        <f t="shared" si="0"/>
        <v>2042</v>
      </c>
      <c r="C36" s="141"/>
      <c r="D36" s="132">
        <f t="shared" si="11"/>
        <v>125.09</v>
      </c>
      <c r="E36" s="132">
        <f t="shared" si="5"/>
        <v>65.010000000000005</v>
      </c>
      <c r="F36" s="134">
        <f t="shared" si="1"/>
        <v>70.002945941964953</v>
      </c>
      <c r="G36" s="132">
        <f t="shared" si="5"/>
        <v>0</v>
      </c>
      <c r="H36" s="132">
        <f t="shared" si="5"/>
        <v>0</v>
      </c>
      <c r="I36" s="134">
        <f t="shared" si="2"/>
        <v>70.002945941964953</v>
      </c>
      <c r="J36" s="134">
        <f t="shared" si="3"/>
        <v>190.1</v>
      </c>
      <c r="K36" s="132">
        <f t="shared" si="6"/>
        <v>0.99</v>
      </c>
      <c r="L36" s="123"/>
      <c r="P36" s="169">
        <f t="shared" si="12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185">
        <v>1351.8149072293081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0.31</v>
      </c>
      <c r="D63" s="121" t="s">
        <v>38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3">C66+1</f>
        <v>2018</v>
      </c>
      <c r="D67" s="41">
        <v>2.3E-2</v>
      </c>
      <c r="E67" s="85"/>
      <c r="F67" s="87">
        <f t="shared" ref="F67:F74" si="14">F66+1</f>
        <v>2027</v>
      </c>
      <c r="G67" s="41">
        <v>2.1999999999999999E-2</v>
      </c>
      <c r="H67" s="85"/>
      <c r="I67" s="87">
        <f t="shared" ref="I67:I74" si="15">I66+1</f>
        <v>2036</v>
      </c>
      <c r="J67" s="41">
        <v>2.1999999999999999E-2</v>
      </c>
    </row>
    <row r="68" spans="3:11">
      <c r="C68" s="87">
        <f t="shared" si="13"/>
        <v>2019</v>
      </c>
      <c r="D68" s="41">
        <v>1.9E-2</v>
      </c>
      <c r="E68" s="85"/>
      <c r="F68" s="87">
        <f t="shared" si="14"/>
        <v>2028</v>
      </c>
      <c r="G68" s="41">
        <v>2.3E-2</v>
      </c>
      <c r="H68" s="85"/>
      <c r="I68" s="87">
        <f t="shared" si="15"/>
        <v>2037</v>
      </c>
      <c r="J68" s="41">
        <v>2.1999999999999999E-2</v>
      </c>
    </row>
    <row r="69" spans="3:11">
      <c r="C69" s="87">
        <f t="shared" si="13"/>
        <v>2020</v>
      </c>
      <c r="D69" s="41">
        <v>2.1999999999999999E-2</v>
      </c>
      <c r="E69" s="85"/>
      <c r="F69" s="87">
        <f t="shared" si="14"/>
        <v>2029</v>
      </c>
      <c r="G69" s="41">
        <v>2.3E-2</v>
      </c>
      <c r="H69" s="85"/>
      <c r="I69" s="87">
        <f t="shared" si="15"/>
        <v>2038</v>
      </c>
      <c r="J69" s="41">
        <v>2.1999999999999999E-2</v>
      </c>
    </row>
    <row r="70" spans="3:11">
      <c r="C70" s="87">
        <f t="shared" si="13"/>
        <v>2021</v>
      </c>
      <c r="D70" s="41">
        <v>2.1999999999999999E-2</v>
      </c>
      <c r="E70" s="85"/>
      <c r="F70" s="87">
        <f t="shared" si="14"/>
        <v>2030</v>
      </c>
      <c r="G70" s="41">
        <v>2.3E-2</v>
      </c>
      <c r="H70" s="85"/>
      <c r="I70" s="87">
        <f t="shared" si="15"/>
        <v>2039</v>
      </c>
      <c r="J70" s="41">
        <v>2.1999999999999999E-2</v>
      </c>
    </row>
    <row r="71" spans="3:11">
      <c r="C71" s="87">
        <f t="shared" si="13"/>
        <v>2022</v>
      </c>
      <c r="D71" s="41">
        <v>2.3E-2</v>
      </c>
      <c r="E71" s="85"/>
      <c r="F71" s="87">
        <f t="shared" si="14"/>
        <v>2031</v>
      </c>
      <c r="G71" s="41">
        <v>2.3E-2</v>
      </c>
      <c r="H71" s="85"/>
      <c r="I71" s="87">
        <f t="shared" si="15"/>
        <v>2040</v>
      </c>
      <c r="J71" s="41">
        <v>2.1999999999999999E-2</v>
      </c>
    </row>
    <row r="72" spans="3:11" s="123" customFormat="1">
      <c r="C72" s="87">
        <f t="shared" si="13"/>
        <v>2023</v>
      </c>
      <c r="D72" s="41">
        <v>2.1999999999999999E-2</v>
      </c>
      <c r="E72" s="86"/>
      <c r="F72" s="87">
        <f t="shared" si="14"/>
        <v>2032</v>
      </c>
      <c r="G72" s="41">
        <v>2.3E-2</v>
      </c>
      <c r="H72" s="86"/>
      <c r="I72" s="87">
        <f t="shared" si="15"/>
        <v>2041</v>
      </c>
      <c r="J72" s="41">
        <v>2.1999999999999999E-2</v>
      </c>
    </row>
    <row r="73" spans="3:11" s="123" customFormat="1">
      <c r="C73" s="87">
        <f t="shared" si="13"/>
        <v>2024</v>
      </c>
      <c r="D73" s="41">
        <v>2.1999999999999999E-2</v>
      </c>
      <c r="E73" s="86"/>
      <c r="F73" s="87">
        <f t="shared" si="14"/>
        <v>2033</v>
      </c>
      <c r="G73" s="41">
        <v>2.1999999999999999E-2</v>
      </c>
      <c r="H73" s="86"/>
      <c r="I73" s="87">
        <f t="shared" si="15"/>
        <v>2042</v>
      </c>
      <c r="J73" s="41">
        <v>2.3E-2</v>
      </c>
    </row>
    <row r="74" spans="3:11" s="123" customFormat="1">
      <c r="C74" s="87">
        <f t="shared" si="13"/>
        <v>2025</v>
      </c>
      <c r="D74" s="41">
        <v>2.1999999999999999E-2</v>
      </c>
      <c r="E74" s="86"/>
      <c r="F74" s="87">
        <f t="shared" si="14"/>
        <v>2034</v>
      </c>
      <c r="G74" s="41">
        <v>2.1999999999999999E-2</v>
      </c>
      <c r="H74" s="86"/>
      <c r="I74" s="87">
        <f t="shared" si="15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>
      <selection activeCell="H29" sqref="H29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TEXT($G$63,"0%")&amp;" Capacity Factor"</f>
        <v>41%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25" t="s">
        <v>87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Wyoming DJ Wind Resource - 41%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37.565582271006477</v>
      </c>
      <c r="F11" s="133">
        <f t="shared" ref="F11:F36" si="1">(D11+E11)/(8.76*$G$63)</f>
        <v>10.383313507083287</v>
      </c>
      <c r="G11" s="133">
        <f>$C$58</f>
        <v>0.65</v>
      </c>
      <c r="H11" s="132">
        <f>ROUND(H10*(1+$D66),2)</f>
        <v>0</v>
      </c>
      <c r="I11" s="134">
        <f t="shared" ref="I11:I36" si="2">F11+H11+G11</f>
        <v>11.033313507083287</v>
      </c>
      <c r="J11" s="134">
        <f t="shared" ref="J11:J36" si="3">ROUND(I11*$G$63*8.76,2)</f>
        <v>39.92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10.622242860459718</v>
      </c>
      <c r="G12" s="132">
        <f>ROUND(G11*(1+(IFERROR(INDEX($D$66:$D$74,MATCH($B12,$C$66:$C$74,0),1),0)+IFERROR(INDEX($G$66:$G$74,MATCH($B12,$F$66:$F$74,0),1),0)+IFERROR(INDEX($J$66:$J$74,MATCH($B12,$I$66:$I$74,0),1),0))),2)</f>
        <v>0.66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11.282242860459718</v>
      </c>
      <c r="J12" s="134">
        <f t="shared" si="3"/>
        <v>40.82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10.824018485964157</v>
      </c>
      <c r="G13" s="132">
        <f t="shared" si="5"/>
        <v>0.67</v>
      </c>
      <c r="H13" s="132">
        <f t="shared" si="5"/>
        <v>0</v>
      </c>
      <c r="I13" s="134">
        <f t="shared" si="2"/>
        <v>11.494018485964157</v>
      </c>
      <c r="J13" s="134">
        <f t="shared" si="3"/>
        <v>41.58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11.061726757106374</v>
      </c>
      <c r="G14" s="132">
        <f t="shared" si="5"/>
        <v>0.68</v>
      </c>
      <c r="H14" s="132">
        <f t="shared" si="5"/>
        <v>0</v>
      </c>
      <c r="I14" s="134">
        <f t="shared" si="2"/>
        <v>11.741726757106374</v>
      </c>
      <c r="J14" s="134">
        <f t="shared" si="3"/>
        <v>42.48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11.304963127577478</v>
      </c>
      <c r="G15" s="132">
        <f t="shared" si="5"/>
        <v>0.69</v>
      </c>
      <c r="H15" s="132">
        <f t="shared" si="5"/>
        <v>0</v>
      </c>
      <c r="I15" s="134">
        <f t="shared" si="2"/>
        <v>11.994963127577478</v>
      </c>
      <c r="J15" s="134">
        <f t="shared" si="3"/>
        <v>43.4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11.56478379603525</v>
      </c>
      <c r="G16" s="132">
        <f t="shared" si="5"/>
        <v>0.71</v>
      </c>
      <c r="H16" s="132">
        <f t="shared" si="5"/>
        <v>0</v>
      </c>
      <c r="I16" s="134">
        <f t="shared" si="2"/>
        <v>12.274783796035251</v>
      </c>
      <c r="J16" s="134">
        <f t="shared" si="3"/>
        <v>44.41</v>
      </c>
      <c r="K16" s="132">
        <f t="shared" si="6"/>
        <v>0.64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11.819076365164131</v>
      </c>
      <c r="G17" s="132">
        <f t="shared" si="5"/>
        <v>0.73</v>
      </c>
      <c r="H17" s="132">
        <f t="shared" si="5"/>
        <v>0</v>
      </c>
      <c r="I17" s="134">
        <f t="shared" si="2"/>
        <v>12.549076365164131</v>
      </c>
      <c r="J17" s="134">
        <f t="shared" si="3"/>
        <v>45.4</v>
      </c>
      <c r="K17" s="132">
        <f t="shared" si="6"/>
        <v>0.65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12.078897033621903</v>
      </c>
      <c r="G18" s="132">
        <f t="shared" si="5"/>
        <v>0.75</v>
      </c>
      <c r="H18" s="132">
        <f t="shared" si="5"/>
        <v>0</v>
      </c>
      <c r="I18" s="134">
        <f t="shared" si="2"/>
        <v>12.828897033621903</v>
      </c>
      <c r="J18" s="134">
        <f t="shared" si="3"/>
        <v>46.41</v>
      </c>
      <c r="K18" s="132">
        <f t="shared" si="6"/>
        <v>0.66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12.34424580140856</v>
      </c>
      <c r="G19" s="132">
        <f t="shared" si="5"/>
        <v>0.77</v>
      </c>
      <c r="H19" s="132">
        <f t="shared" si="5"/>
        <v>0</v>
      </c>
      <c r="I19" s="134">
        <f t="shared" si="2"/>
        <v>13.114245801408559</v>
      </c>
      <c r="J19" s="134">
        <f t="shared" si="3"/>
        <v>47.45</v>
      </c>
      <c r="K19" s="132">
        <f t="shared" si="6"/>
        <v>0.67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12.61512266852411</v>
      </c>
      <c r="G20" s="132">
        <f t="shared" si="5"/>
        <v>0.79</v>
      </c>
      <c r="H20" s="132">
        <f t="shared" si="5"/>
        <v>0</v>
      </c>
      <c r="I20" s="134">
        <f t="shared" si="2"/>
        <v>13.405122668524111</v>
      </c>
      <c r="J20" s="134">
        <f t="shared" si="3"/>
        <v>48.5</v>
      </c>
      <c r="K20" s="132">
        <f t="shared" si="6"/>
        <v>0.68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12.891527634968547</v>
      </c>
      <c r="G21" s="132">
        <f t="shared" si="5"/>
        <v>0.81</v>
      </c>
      <c r="H21" s="132">
        <f t="shared" si="5"/>
        <v>0</v>
      </c>
      <c r="I21" s="134">
        <f t="shared" si="2"/>
        <v>13.701527634968548</v>
      </c>
      <c r="J21" s="134">
        <f t="shared" si="3"/>
        <v>49.57</v>
      </c>
      <c r="K21" s="132">
        <f t="shared" si="6"/>
        <v>0.69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13.187280949064094</v>
      </c>
      <c r="G22" s="132">
        <f t="shared" si="5"/>
        <v>0.83</v>
      </c>
      <c r="H22" s="132">
        <f t="shared" si="5"/>
        <v>0</v>
      </c>
      <c r="I22" s="134">
        <f t="shared" si="2"/>
        <v>14.017280949064094</v>
      </c>
      <c r="J22" s="134">
        <f t="shared" si="3"/>
        <v>50.71</v>
      </c>
      <c r="K22" s="132">
        <f t="shared" si="6"/>
        <v>0.71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13.491326412152976</v>
      </c>
      <c r="G23" s="132">
        <f t="shared" si="5"/>
        <v>0.85</v>
      </c>
      <c r="H23" s="132">
        <f t="shared" si="5"/>
        <v>0</v>
      </c>
      <c r="I23" s="134">
        <f t="shared" si="2"/>
        <v>14.341326412152975</v>
      </c>
      <c r="J23" s="134">
        <f t="shared" si="3"/>
        <v>51.89</v>
      </c>
      <c r="K23" s="132">
        <f t="shared" si="6"/>
        <v>0.73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1353.2739183554006</v>
      </c>
      <c r="D24" s="132">
        <f>C24*$C$62</f>
        <v>96.163526741015119</v>
      </c>
      <c r="E24" s="132">
        <f t="shared" si="5"/>
        <v>49.93</v>
      </c>
      <c r="F24" s="134">
        <f t="shared" si="1"/>
        <v>40.38097635659976</v>
      </c>
      <c r="G24" s="132">
        <f t="shared" si="5"/>
        <v>0.87</v>
      </c>
      <c r="H24" s="132">
        <f t="shared" si="5"/>
        <v>0</v>
      </c>
      <c r="I24" s="134">
        <f t="shared" si="2"/>
        <v>41.250976356599757</v>
      </c>
      <c r="J24" s="134">
        <f t="shared" si="3"/>
        <v>149.24</v>
      </c>
      <c r="K24" s="132">
        <f t="shared" si="6"/>
        <v>0.75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98.38</v>
      </c>
      <c r="E25" s="132">
        <f t="shared" si="5"/>
        <v>51.08</v>
      </c>
      <c r="F25" s="134">
        <f t="shared" si="1"/>
        <v>41.311486284785566</v>
      </c>
      <c r="G25" s="132">
        <f t="shared" si="5"/>
        <v>0.89</v>
      </c>
      <c r="H25" s="132">
        <f t="shared" si="5"/>
        <v>0</v>
      </c>
      <c r="I25" s="134">
        <f t="shared" si="2"/>
        <v>42.201486284785567</v>
      </c>
      <c r="J25" s="134">
        <f t="shared" si="3"/>
        <v>152.68</v>
      </c>
      <c r="K25" s="132">
        <f t="shared" si="6"/>
        <v>0.77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si="5"/>
        <v>100.64</v>
      </c>
      <c r="E26" s="132">
        <f t="shared" si="5"/>
        <v>52.25</v>
      </c>
      <c r="F26" s="134">
        <f t="shared" si="1"/>
        <v>42.259555319689987</v>
      </c>
      <c r="G26" s="132">
        <f t="shared" si="5"/>
        <v>0.91</v>
      </c>
      <c r="H26" s="132">
        <f t="shared" si="5"/>
        <v>0</v>
      </c>
      <c r="I26" s="134">
        <f t="shared" si="2"/>
        <v>43.169555319689984</v>
      </c>
      <c r="J26" s="134">
        <f t="shared" si="3"/>
        <v>156.18</v>
      </c>
      <c r="K26" s="132">
        <f t="shared" si="6"/>
        <v>0.79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5"/>
        <v>102.85</v>
      </c>
      <c r="E27" s="132">
        <f t="shared" si="5"/>
        <v>53.4</v>
      </c>
      <c r="F27" s="134">
        <f t="shared" si="1"/>
        <v>43.188276006943298</v>
      </c>
      <c r="G27" s="132">
        <f t="shared" si="5"/>
        <v>0.93</v>
      </c>
      <c r="H27" s="132">
        <f t="shared" si="5"/>
        <v>0</v>
      </c>
      <c r="I27" s="134">
        <f t="shared" si="2"/>
        <v>44.118276006943297</v>
      </c>
      <c r="J27" s="134">
        <f t="shared" si="3"/>
        <v>159.61000000000001</v>
      </c>
      <c r="K27" s="132">
        <f t="shared" si="6"/>
        <v>0.81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5"/>
        <v>105.11</v>
      </c>
      <c r="E28" s="132">
        <f t="shared" si="5"/>
        <v>54.57</v>
      </c>
      <c r="F28" s="134">
        <f t="shared" si="1"/>
        <v>44.136345041847719</v>
      </c>
      <c r="G28" s="132">
        <f t="shared" si="5"/>
        <v>0.95</v>
      </c>
      <c r="H28" s="132">
        <f t="shared" si="5"/>
        <v>0</v>
      </c>
      <c r="I28" s="134">
        <f t="shared" si="2"/>
        <v>45.086345041847721</v>
      </c>
      <c r="J28" s="134">
        <f t="shared" si="3"/>
        <v>163.12</v>
      </c>
      <c r="K28" s="132">
        <f t="shared" si="6"/>
        <v>0.83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5"/>
        <v>107.42</v>
      </c>
      <c r="E29" s="132">
        <f t="shared" si="5"/>
        <v>55.77</v>
      </c>
      <c r="F29" s="134">
        <f t="shared" si="1"/>
        <v>45.106526474067692</v>
      </c>
      <c r="G29" s="132">
        <f t="shared" si="5"/>
        <v>0.97</v>
      </c>
      <c r="H29" s="132">
        <f t="shared" si="5"/>
        <v>0</v>
      </c>
      <c r="I29" s="134">
        <f t="shared" si="2"/>
        <v>46.076526474067691</v>
      </c>
      <c r="J29" s="134">
        <f t="shared" si="3"/>
        <v>166.7</v>
      </c>
      <c r="K29" s="132">
        <f t="shared" si="6"/>
        <v>0.85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/>
      <c r="D30" s="132">
        <f t="shared" si="5"/>
        <v>109.78</v>
      </c>
      <c r="E30" s="132">
        <f t="shared" si="5"/>
        <v>57</v>
      </c>
      <c r="F30" s="134">
        <f t="shared" si="1"/>
        <v>46.098820303603219</v>
      </c>
      <c r="G30" s="132">
        <f t="shared" si="5"/>
        <v>0.99</v>
      </c>
      <c r="H30" s="132">
        <f t="shared" si="5"/>
        <v>0</v>
      </c>
      <c r="I30" s="134">
        <f t="shared" si="2"/>
        <v>47.088820303603221</v>
      </c>
      <c r="J30" s="134">
        <f t="shared" si="3"/>
        <v>170.36</v>
      </c>
      <c r="K30" s="132">
        <f t="shared" si="6"/>
        <v>0.87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112.2</v>
      </c>
      <c r="E31" s="132">
        <f t="shared" si="5"/>
        <v>58.25</v>
      </c>
      <c r="F31" s="134">
        <f t="shared" si="1"/>
        <v>47.113226530454305</v>
      </c>
      <c r="G31" s="132">
        <f t="shared" si="5"/>
        <v>1.01</v>
      </c>
      <c r="H31" s="132">
        <f t="shared" si="5"/>
        <v>0</v>
      </c>
      <c r="I31" s="134">
        <f t="shared" si="2"/>
        <v>48.123226530454303</v>
      </c>
      <c r="J31" s="134">
        <f t="shared" si="3"/>
        <v>174.1</v>
      </c>
      <c r="K31" s="132">
        <f t="shared" si="6"/>
        <v>0.89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114.67</v>
      </c>
      <c r="E32" s="132">
        <f t="shared" si="5"/>
        <v>59.53</v>
      </c>
      <c r="F32" s="134">
        <f t="shared" si="1"/>
        <v>48.149745154620945</v>
      </c>
      <c r="G32" s="132">
        <f t="shared" si="5"/>
        <v>1.03</v>
      </c>
      <c r="H32" s="132">
        <f t="shared" si="5"/>
        <v>0</v>
      </c>
      <c r="I32" s="134">
        <f t="shared" si="2"/>
        <v>49.179745154620946</v>
      </c>
      <c r="J32" s="134">
        <f t="shared" si="3"/>
        <v>177.93</v>
      </c>
      <c r="K32" s="132">
        <f t="shared" si="6"/>
        <v>0.91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117.19</v>
      </c>
      <c r="E33" s="132">
        <f t="shared" si="5"/>
        <v>60.84</v>
      </c>
      <c r="F33" s="134">
        <f t="shared" si="1"/>
        <v>49.208376176103137</v>
      </c>
      <c r="G33" s="132">
        <f t="shared" si="5"/>
        <v>1.05</v>
      </c>
      <c r="H33" s="132">
        <f t="shared" si="5"/>
        <v>0</v>
      </c>
      <c r="I33" s="134">
        <f t="shared" si="2"/>
        <v>50.258376176103134</v>
      </c>
      <c r="J33" s="134">
        <f t="shared" si="3"/>
        <v>181.83</v>
      </c>
      <c r="K33" s="132">
        <f t="shared" si="6"/>
        <v>0.93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119.77</v>
      </c>
      <c r="E34" s="132">
        <f t="shared" si="5"/>
        <v>62.18</v>
      </c>
      <c r="F34" s="134">
        <f t="shared" si="1"/>
        <v>50.291883644565331</v>
      </c>
      <c r="G34" s="132">
        <f t="shared" si="5"/>
        <v>1.07</v>
      </c>
      <c r="H34" s="132">
        <f t="shared" si="5"/>
        <v>0</v>
      </c>
      <c r="I34" s="134">
        <f t="shared" si="2"/>
        <v>51.361883644565332</v>
      </c>
      <c r="J34" s="134">
        <f t="shared" si="3"/>
        <v>185.82</v>
      </c>
      <c r="K34" s="132">
        <f t="shared" si="6"/>
        <v>0.95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122.4</v>
      </c>
      <c r="E35" s="132">
        <f t="shared" si="5"/>
        <v>63.55</v>
      </c>
      <c r="F35" s="134">
        <f t="shared" si="1"/>
        <v>51.397503510343078</v>
      </c>
      <c r="G35" s="132">
        <f t="shared" si="5"/>
        <v>1.0900000000000001</v>
      </c>
      <c r="H35" s="132">
        <f t="shared" si="5"/>
        <v>0</v>
      </c>
      <c r="I35" s="134">
        <f t="shared" si="2"/>
        <v>52.487503510343082</v>
      </c>
      <c r="J35" s="134">
        <f t="shared" si="3"/>
        <v>189.89</v>
      </c>
      <c r="K35" s="132">
        <f t="shared" si="6"/>
        <v>0.97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125.22</v>
      </c>
      <c r="E36" s="132">
        <f t="shared" si="5"/>
        <v>65.010000000000005</v>
      </c>
      <c r="F36" s="134">
        <f t="shared" si="1"/>
        <v>52.580516766725275</v>
      </c>
      <c r="G36" s="132">
        <f t="shared" si="5"/>
        <v>1.1200000000000001</v>
      </c>
      <c r="H36" s="132">
        <f t="shared" si="5"/>
        <v>0</v>
      </c>
      <c r="I36" s="134">
        <f t="shared" si="2"/>
        <v>53.700516766725272</v>
      </c>
      <c r="J36" s="134">
        <f t="shared" si="3"/>
        <v>194.28</v>
      </c>
      <c r="K36" s="132">
        <f t="shared" si="6"/>
        <v>0.99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"&amp;TEXT(G63,"0.0%")&amp;")"</f>
        <v>= ((b) + (c)) /  (8.76 x 41.3%)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185">
        <v>1353.2739183554006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37.565582271006477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0.65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222">
        <v>0.43118737343656394</v>
      </c>
      <c r="D63" s="121" t="s">
        <v>38</v>
      </c>
      <c r="G63" s="225">
        <v>0.41299999999999998</v>
      </c>
      <c r="H63" s="121" t="s">
        <v>139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2.1999999999999999E-2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1.9E-2</v>
      </c>
      <c r="E68" s="85"/>
      <c r="F68" s="87">
        <f t="shared" si="10"/>
        <v>2028</v>
      </c>
      <c r="G68" s="41">
        <v>2.3E-2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2.3E-2</v>
      </c>
      <c r="H69" s="85"/>
      <c r="I69" s="87">
        <f t="shared" si="11"/>
        <v>2038</v>
      </c>
      <c r="J69" s="41">
        <v>2.1999999999999999E-2</v>
      </c>
    </row>
    <row r="70" spans="3:11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2.1999999999999999E-2</v>
      </c>
    </row>
    <row r="71" spans="3:11">
      <c r="C71" s="87">
        <f t="shared" si="9"/>
        <v>2022</v>
      </c>
      <c r="D71" s="41">
        <v>2.3E-2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2.1999999999999999E-2</v>
      </c>
    </row>
    <row r="72" spans="3:11" s="123" customFormat="1">
      <c r="C72" s="87">
        <f t="shared" si="9"/>
        <v>2023</v>
      </c>
      <c r="D72" s="41">
        <v>2.1999999999999999E-2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2.1999999999999999E-2</v>
      </c>
    </row>
    <row r="73" spans="3:11" s="123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2.1999999999999999E-2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2.1999999999999999E-2</v>
      </c>
      <c r="E74" s="86"/>
      <c r="F74" s="87">
        <f t="shared" si="10"/>
        <v>2034</v>
      </c>
      <c r="G74" s="41">
        <v>2.1999999999999999E-2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H31" sqref="H31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58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68</v>
      </c>
      <c r="G5" s="17" t="s">
        <v>13</v>
      </c>
      <c r="H5" s="125" t="s">
        <v>69</v>
      </c>
      <c r="I5" s="17" t="s">
        <v>54</v>
      </c>
      <c r="J5" s="17" t="s">
        <v>54</v>
      </c>
      <c r="K5" s="125" t="s">
        <v>70</v>
      </c>
      <c r="P5" s="125" t="s">
        <v>69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32</v>
      </c>
      <c r="G6" s="18" t="s">
        <v>32</v>
      </c>
      <c r="H6" s="127" t="s">
        <v>32</v>
      </c>
      <c r="I6" s="127" t="s">
        <v>32</v>
      </c>
      <c r="J6" s="19" t="s">
        <v>9</v>
      </c>
      <c r="K6" s="127" t="s">
        <v>32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23</v>
      </c>
      <c r="J7" s="129" t="s">
        <v>24</v>
      </c>
      <c r="K7" s="129" t="s">
        <v>24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E36" si="5">ROUND(E12*(1+(IFERROR(INDEX($D$66:$D$74,MATCH($B13,$C$66:$C$74,0),1),0)+IFERROR(INDEX($G$66:$G$74,MATCH($B13,$F$66:$F$74,0),1),0)+IFERROR(INDEX($J$66:$J$74,MATCH($B13,$I$66:$I$74,0),1),0))),2)</f>
        <v>39.159999999999997</v>
      </c>
      <c r="F13" s="134">
        <f t="shared" si="1"/>
        <v>11.763999038692623</v>
      </c>
      <c r="G13" s="132">
        <f t="shared" ref="G13:H36" si="6">ROUND(G12*(1+(IFERROR(INDEX($D$66:$D$74,MATCH($B13,$C$66:$C$74,0),1),0)+IFERROR(INDEX($G$66:$G$74,MATCH($B13,$F$66:$F$74,0),1),0)+IFERROR(INDEX($J$66:$J$74,MATCH($B13,$I$66:$I$74,0),1),0))),2)</f>
        <v>0</v>
      </c>
      <c r="H13" s="132">
        <f t="shared" si="6"/>
        <v>0</v>
      </c>
      <c r="I13" s="134">
        <f t="shared" si="3"/>
        <v>11.763999038692623</v>
      </c>
      <c r="J13" s="134">
        <f t="shared" si="2"/>
        <v>39.159999999999997</v>
      </c>
      <c r="K13" s="132">
        <f t="shared" ref="K13:K36" si="7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40.020000000000003</v>
      </c>
      <c r="F14" s="134">
        <f t="shared" si="1"/>
        <v>12.022350396539295</v>
      </c>
      <c r="G14" s="132">
        <f t="shared" si="6"/>
        <v>0</v>
      </c>
      <c r="H14" s="132">
        <f t="shared" si="6"/>
        <v>0</v>
      </c>
      <c r="I14" s="134">
        <f t="shared" si="3"/>
        <v>12.022350396539295</v>
      </c>
      <c r="J14" s="134">
        <f t="shared" si="2"/>
        <v>40.020000000000003</v>
      </c>
      <c r="K14" s="132">
        <f t="shared" si="7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40.9</v>
      </c>
      <c r="F15" s="134">
        <f t="shared" si="1"/>
        <v>12.286709925498679</v>
      </c>
      <c r="G15" s="132">
        <f t="shared" si="6"/>
        <v>0</v>
      </c>
      <c r="H15" s="132">
        <f t="shared" si="6"/>
        <v>0</v>
      </c>
      <c r="I15" s="134">
        <f t="shared" si="3"/>
        <v>12.286709925498679</v>
      </c>
      <c r="J15" s="134">
        <f t="shared" si="2"/>
        <v>40.9</v>
      </c>
      <c r="K15" s="132">
        <f t="shared" si="7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41.84</v>
      </c>
      <c r="F16" s="134">
        <f t="shared" si="1"/>
        <v>12.569093967796205</v>
      </c>
      <c r="G16" s="132">
        <f t="shared" si="6"/>
        <v>0</v>
      </c>
      <c r="H16" s="132">
        <f t="shared" si="6"/>
        <v>0</v>
      </c>
      <c r="I16" s="134">
        <f t="shared" si="3"/>
        <v>12.569093967796205</v>
      </c>
      <c r="J16" s="134">
        <f t="shared" si="2"/>
        <v>41.84</v>
      </c>
      <c r="K16" s="132">
        <f t="shared" si="7"/>
        <v>0.64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42.76</v>
      </c>
      <c r="F17" s="134">
        <f t="shared" si="1"/>
        <v>12.845469838981014</v>
      </c>
      <c r="G17" s="132">
        <f t="shared" si="6"/>
        <v>0</v>
      </c>
      <c r="H17" s="132">
        <f t="shared" si="6"/>
        <v>0</v>
      </c>
      <c r="I17" s="134">
        <f t="shared" si="3"/>
        <v>12.845469838981014</v>
      </c>
      <c r="J17" s="134">
        <f t="shared" si="2"/>
        <v>42.76</v>
      </c>
      <c r="K17" s="132">
        <f t="shared" si="7"/>
        <v>0.65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43.7</v>
      </c>
      <c r="F18" s="134">
        <f t="shared" si="1"/>
        <v>13.12785388127854</v>
      </c>
      <c r="G18" s="132">
        <f t="shared" si="6"/>
        <v>0</v>
      </c>
      <c r="H18" s="132">
        <f t="shared" si="6"/>
        <v>0</v>
      </c>
      <c r="I18" s="134">
        <f t="shared" si="3"/>
        <v>13.12785388127854</v>
      </c>
      <c r="J18" s="134">
        <f t="shared" si="2"/>
        <v>43.7</v>
      </c>
      <c r="K18" s="132">
        <f t="shared" si="7"/>
        <v>0.66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44.66</v>
      </c>
      <c r="F19" s="134">
        <f t="shared" si="1"/>
        <v>13.416246094688777</v>
      </c>
      <c r="G19" s="132">
        <f t="shared" si="6"/>
        <v>0</v>
      </c>
      <c r="H19" s="132">
        <f t="shared" si="6"/>
        <v>0</v>
      </c>
      <c r="I19" s="134">
        <f t="shared" si="3"/>
        <v>13.416246094688777</v>
      </c>
      <c r="J19" s="134">
        <f t="shared" si="2"/>
        <v>44.66</v>
      </c>
      <c r="K19" s="132">
        <f t="shared" si="7"/>
        <v>0.67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45.64</v>
      </c>
      <c r="F20" s="134">
        <f t="shared" si="1"/>
        <v>13.710646479211729</v>
      </c>
      <c r="G20" s="132">
        <f t="shared" si="6"/>
        <v>0</v>
      </c>
      <c r="H20" s="132">
        <f t="shared" si="6"/>
        <v>0</v>
      </c>
      <c r="I20" s="134">
        <f t="shared" si="3"/>
        <v>13.710646479211729</v>
      </c>
      <c r="J20" s="134">
        <f t="shared" si="2"/>
        <v>45.64</v>
      </c>
      <c r="K20" s="132">
        <f t="shared" si="7"/>
        <v>0.68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46.64</v>
      </c>
      <c r="F21" s="134">
        <f t="shared" si="1"/>
        <v>14.011055034847393</v>
      </c>
      <c r="G21" s="132">
        <f t="shared" si="6"/>
        <v>0</v>
      </c>
      <c r="H21" s="132">
        <f t="shared" si="6"/>
        <v>0</v>
      </c>
      <c r="I21" s="134">
        <f t="shared" si="3"/>
        <v>14.011055034847393</v>
      </c>
      <c r="J21" s="134">
        <f t="shared" si="2"/>
        <v>46.64</v>
      </c>
      <c r="K21" s="132">
        <f t="shared" si="7"/>
        <v>0.69</v>
      </c>
      <c r="L21" s="123"/>
      <c r="N21" s="135"/>
      <c r="O21" s="137"/>
      <c r="P21" s="169">
        <f t="shared" ref="P21:P28" si="8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47.71</v>
      </c>
      <c r="F22" s="134">
        <f t="shared" si="1"/>
        <v>14.332492189377556</v>
      </c>
      <c r="G22" s="132">
        <f t="shared" si="6"/>
        <v>0</v>
      </c>
      <c r="H22" s="132">
        <f t="shared" si="6"/>
        <v>0</v>
      </c>
      <c r="I22" s="134">
        <f t="shared" si="3"/>
        <v>14.332492189377556</v>
      </c>
      <c r="J22" s="134">
        <f t="shared" si="2"/>
        <v>47.71</v>
      </c>
      <c r="K22" s="132">
        <f t="shared" si="7"/>
        <v>0.71</v>
      </c>
      <c r="L22" s="123"/>
      <c r="N22" s="135"/>
      <c r="O22" s="137"/>
      <c r="P22" s="169">
        <f t="shared" si="8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48.81</v>
      </c>
      <c r="F23" s="134">
        <f t="shared" si="1"/>
        <v>14.662941600576787</v>
      </c>
      <c r="G23" s="132">
        <f t="shared" si="6"/>
        <v>0</v>
      </c>
      <c r="H23" s="132">
        <f t="shared" si="6"/>
        <v>0</v>
      </c>
      <c r="I23" s="134">
        <f t="shared" si="3"/>
        <v>14.662941600576787</v>
      </c>
      <c r="J23" s="134">
        <f t="shared" si="2"/>
        <v>48.81</v>
      </c>
      <c r="K23" s="132">
        <f t="shared" si="7"/>
        <v>0.73</v>
      </c>
      <c r="L23" s="123"/>
      <c r="N23" s="135"/>
      <c r="O23" s="137"/>
      <c r="P23" s="169">
        <f t="shared" si="8"/>
        <v>0</v>
      </c>
    </row>
    <row r="24" spans="2:16">
      <c r="B24" s="140">
        <f t="shared" si="0"/>
        <v>2030</v>
      </c>
      <c r="C24" s="131">
        <f>$C$55</f>
        <v>1410.7096380374778</v>
      </c>
      <c r="D24" s="132">
        <f>C24*$C$62</f>
        <v>100.24490397781955</v>
      </c>
      <c r="E24" s="132">
        <f t="shared" si="5"/>
        <v>49.93</v>
      </c>
      <c r="F24" s="134">
        <f t="shared" si="1"/>
        <v>45.113825996701387</v>
      </c>
      <c r="G24" s="132">
        <f t="shared" si="6"/>
        <v>0</v>
      </c>
      <c r="H24" s="132">
        <f t="shared" si="6"/>
        <v>0</v>
      </c>
      <c r="I24" s="134">
        <f t="shared" si="3"/>
        <v>45.113825996701387</v>
      </c>
      <c r="J24" s="134">
        <f t="shared" si="2"/>
        <v>150.16999999999999</v>
      </c>
      <c r="K24" s="132">
        <f t="shared" si="7"/>
        <v>0.75</v>
      </c>
      <c r="L24" s="123"/>
      <c r="N24" s="135"/>
      <c r="O24" s="137"/>
      <c r="P24" s="169">
        <f t="shared" si="8"/>
        <v>0</v>
      </c>
    </row>
    <row r="25" spans="2:16">
      <c r="B25" s="140">
        <f t="shared" si="0"/>
        <v>2031</v>
      </c>
      <c r="C25" s="141"/>
      <c r="D25" s="132">
        <f t="shared" si="5"/>
        <v>102.55</v>
      </c>
      <c r="E25" s="132">
        <f t="shared" si="5"/>
        <v>51.08</v>
      </c>
      <c r="F25" s="134">
        <f t="shared" si="1"/>
        <v>46.151766402307139</v>
      </c>
      <c r="G25" s="132">
        <f t="shared" si="6"/>
        <v>0</v>
      </c>
      <c r="H25" s="132">
        <f t="shared" si="6"/>
        <v>0</v>
      </c>
      <c r="I25" s="134">
        <f t="shared" si="3"/>
        <v>46.151766402307139</v>
      </c>
      <c r="J25" s="134">
        <f t="shared" si="2"/>
        <v>153.63</v>
      </c>
      <c r="K25" s="132">
        <f t="shared" si="7"/>
        <v>0.77</v>
      </c>
      <c r="L25" s="123"/>
      <c r="N25" s="135"/>
      <c r="O25" s="137"/>
      <c r="P25" s="169">
        <f t="shared" si="8"/>
        <v>0</v>
      </c>
    </row>
    <row r="26" spans="2:16">
      <c r="B26" s="140">
        <f t="shared" si="0"/>
        <v>2032</v>
      </c>
      <c r="C26" s="141"/>
      <c r="D26" s="132">
        <f t="shared" si="5"/>
        <v>104.91</v>
      </c>
      <c r="E26" s="132">
        <f t="shared" si="5"/>
        <v>52.25</v>
      </c>
      <c r="F26" s="134">
        <f t="shared" si="1"/>
        <v>47.212208603701036</v>
      </c>
      <c r="G26" s="132">
        <f t="shared" si="6"/>
        <v>0</v>
      </c>
      <c r="H26" s="132">
        <f t="shared" si="6"/>
        <v>0</v>
      </c>
      <c r="I26" s="134">
        <f t="shared" si="3"/>
        <v>47.212208603701036</v>
      </c>
      <c r="J26" s="134">
        <f t="shared" si="2"/>
        <v>157.16</v>
      </c>
      <c r="K26" s="132">
        <f t="shared" si="7"/>
        <v>0.79</v>
      </c>
      <c r="L26" s="123"/>
      <c r="N26" s="135"/>
      <c r="O26" s="137"/>
      <c r="P26" s="169">
        <f t="shared" si="8"/>
        <v>0</v>
      </c>
    </row>
    <row r="27" spans="2:16">
      <c r="B27" s="140">
        <f t="shared" si="0"/>
        <v>2033</v>
      </c>
      <c r="C27" s="131"/>
      <c r="D27" s="132">
        <f t="shared" si="5"/>
        <v>107.22</v>
      </c>
      <c r="E27" s="132">
        <f t="shared" si="5"/>
        <v>53.4</v>
      </c>
      <c r="F27" s="134">
        <f t="shared" si="1"/>
        <v>48.251622206200437</v>
      </c>
      <c r="G27" s="132">
        <f t="shared" si="6"/>
        <v>0</v>
      </c>
      <c r="H27" s="132">
        <f t="shared" si="6"/>
        <v>0</v>
      </c>
      <c r="I27" s="134">
        <f t="shared" si="3"/>
        <v>48.251622206200437</v>
      </c>
      <c r="J27" s="134">
        <f t="shared" si="2"/>
        <v>160.62</v>
      </c>
      <c r="K27" s="132">
        <f t="shared" si="7"/>
        <v>0.81</v>
      </c>
      <c r="L27" s="123"/>
      <c r="P27" s="169">
        <f t="shared" si="8"/>
        <v>0</v>
      </c>
    </row>
    <row r="28" spans="2:16">
      <c r="B28" s="140">
        <f t="shared" si="0"/>
        <v>2034</v>
      </c>
      <c r="C28" s="141"/>
      <c r="D28" s="132">
        <f t="shared" si="5"/>
        <v>109.58</v>
      </c>
      <c r="E28" s="132">
        <f t="shared" si="5"/>
        <v>54.57</v>
      </c>
      <c r="F28" s="134">
        <f t="shared" si="1"/>
        <v>49.312064407594335</v>
      </c>
      <c r="G28" s="132">
        <f t="shared" si="6"/>
        <v>0</v>
      </c>
      <c r="H28" s="132">
        <f t="shared" si="6"/>
        <v>0</v>
      </c>
      <c r="I28" s="134">
        <f t="shared" si="3"/>
        <v>49.312064407594335</v>
      </c>
      <c r="J28" s="134">
        <f t="shared" si="2"/>
        <v>164.15</v>
      </c>
      <c r="K28" s="132">
        <f t="shared" si="7"/>
        <v>0.83</v>
      </c>
      <c r="L28" s="123"/>
      <c r="P28" s="169">
        <f t="shared" si="8"/>
        <v>0</v>
      </c>
    </row>
    <row r="29" spans="2:16">
      <c r="B29" s="140">
        <f t="shared" si="0"/>
        <v>2035</v>
      </c>
      <c r="C29" s="141"/>
      <c r="D29" s="132">
        <f t="shared" si="5"/>
        <v>111.99</v>
      </c>
      <c r="E29" s="132">
        <f t="shared" si="5"/>
        <v>55.77</v>
      </c>
      <c r="F29" s="134">
        <f t="shared" si="1"/>
        <v>50.396539293439076</v>
      </c>
      <c r="G29" s="132">
        <f t="shared" si="6"/>
        <v>0</v>
      </c>
      <c r="H29" s="132">
        <f t="shared" si="6"/>
        <v>0</v>
      </c>
      <c r="I29" s="134">
        <f t="shared" si="3"/>
        <v>50.396539293439076</v>
      </c>
      <c r="J29" s="134">
        <f t="shared" si="2"/>
        <v>167.76</v>
      </c>
      <c r="K29" s="132">
        <f t="shared" si="7"/>
        <v>0.85</v>
      </c>
      <c r="L29" s="123"/>
      <c r="P29" s="169">
        <f t="shared" ref="P29:P36" si="9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114.45</v>
      </c>
      <c r="E30" s="132">
        <f t="shared" si="5"/>
        <v>57</v>
      </c>
      <c r="F30" s="134">
        <f t="shared" si="1"/>
        <v>51.505046863734677</v>
      </c>
      <c r="G30" s="132">
        <f t="shared" si="6"/>
        <v>0</v>
      </c>
      <c r="H30" s="132">
        <f t="shared" si="6"/>
        <v>0</v>
      </c>
      <c r="I30" s="134">
        <f t="shared" si="3"/>
        <v>51.505046863734677</v>
      </c>
      <c r="J30" s="134">
        <f t="shared" si="2"/>
        <v>171.45</v>
      </c>
      <c r="K30" s="132">
        <f t="shared" si="7"/>
        <v>0.87</v>
      </c>
      <c r="L30" s="123"/>
      <c r="P30" s="169">
        <f t="shared" si="9"/>
        <v>0</v>
      </c>
    </row>
    <row r="31" spans="2:16">
      <c r="B31" s="140">
        <f t="shared" si="0"/>
        <v>2037</v>
      </c>
      <c r="C31" s="141"/>
      <c r="D31" s="132">
        <f t="shared" si="5"/>
        <v>116.97</v>
      </c>
      <c r="E31" s="132">
        <f t="shared" si="5"/>
        <v>58.25</v>
      </c>
      <c r="F31" s="134">
        <f t="shared" si="1"/>
        <v>52.637587118481136</v>
      </c>
      <c r="G31" s="132">
        <f t="shared" si="6"/>
        <v>0</v>
      </c>
      <c r="H31" s="132">
        <f t="shared" si="6"/>
        <v>0</v>
      </c>
      <c r="I31" s="134">
        <f t="shared" si="3"/>
        <v>52.637587118481136</v>
      </c>
      <c r="J31" s="134">
        <f t="shared" si="2"/>
        <v>175.22</v>
      </c>
      <c r="K31" s="132">
        <f t="shared" si="7"/>
        <v>0.89</v>
      </c>
      <c r="L31" s="123"/>
      <c r="P31" s="169">
        <f t="shared" si="9"/>
        <v>0</v>
      </c>
    </row>
    <row r="32" spans="2:16">
      <c r="B32" s="140">
        <f t="shared" si="0"/>
        <v>2038</v>
      </c>
      <c r="C32" s="141"/>
      <c r="D32" s="132">
        <f t="shared" si="5"/>
        <v>119.54</v>
      </c>
      <c r="E32" s="132">
        <f t="shared" si="5"/>
        <v>59.53</v>
      </c>
      <c r="F32" s="134">
        <f t="shared" si="1"/>
        <v>53.794160057678447</v>
      </c>
      <c r="G32" s="132">
        <f t="shared" si="6"/>
        <v>0</v>
      </c>
      <c r="H32" s="132">
        <f t="shared" si="6"/>
        <v>0</v>
      </c>
      <c r="I32" s="134">
        <f t="shared" si="3"/>
        <v>53.794160057678447</v>
      </c>
      <c r="J32" s="134">
        <f t="shared" si="2"/>
        <v>179.07</v>
      </c>
      <c r="K32" s="132">
        <f t="shared" si="7"/>
        <v>0.91</v>
      </c>
      <c r="L32" s="123"/>
      <c r="P32" s="169">
        <f t="shared" si="9"/>
        <v>0</v>
      </c>
    </row>
    <row r="33" spans="2:16">
      <c r="B33" s="140">
        <f t="shared" si="0"/>
        <v>2039</v>
      </c>
      <c r="C33" s="141"/>
      <c r="D33" s="132">
        <f t="shared" si="5"/>
        <v>122.17</v>
      </c>
      <c r="E33" s="132">
        <f t="shared" si="5"/>
        <v>60.84</v>
      </c>
      <c r="F33" s="134">
        <f t="shared" si="1"/>
        <v>54.977769766882965</v>
      </c>
      <c r="G33" s="132">
        <f t="shared" si="6"/>
        <v>0</v>
      </c>
      <c r="H33" s="132">
        <f t="shared" si="6"/>
        <v>0</v>
      </c>
      <c r="I33" s="134">
        <f t="shared" si="3"/>
        <v>54.977769766882965</v>
      </c>
      <c r="J33" s="134">
        <f t="shared" si="2"/>
        <v>183.01</v>
      </c>
      <c r="K33" s="132">
        <f t="shared" si="7"/>
        <v>0.93</v>
      </c>
      <c r="L33" s="123"/>
      <c r="P33" s="169">
        <f t="shared" si="9"/>
        <v>0</v>
      </c>
    </row>
    <row r="34" spans="2:16">
      <c r="B34" s="140">
        <f t="shared" si="0"/>
        <v>2040</v>
      </c>
      <c r="C34" s="141"/>
      <c r="D34" s="132">
        <f t="shared" si="5"/>
        <v>124.86</v>
      </c>
      <c r="E34" s="132">
        <f t="shared" si="5"/>
        <v>62.18</v>
      </c>
      <c r="F34" s="134">
        <f t="shared" si="1"/>
        <v>56.18841624609469</v>
      </c>
      <c r="G34" s="132">
        <f t="shared" si="6"/>
        <v>0</v>
      </c>
      <c r="H34" s="132">
        <f t="shared" si="6"/>
        <v>0</v>
      </c>
      <c r="I34" s="134">
        <f t="shared" si="3"/>
        <v>56.18841624609469</v>
      </c>
      <c r="J34" s="134">
        <f t="shared" si="2"/>
        <v>187.04</v>
      </c>
      <c r="K34" s="132">
        <f t="shared" si="7"/>
        <v>0.95</v>
      </c>
      <c r="L34" s="123"/>
      <c r="P34" s="169">
        <f t="shared" si="9"/>
        <v>0</v>
      </c>
    </row>
    <row r="35" spans="2:16">
      <c r="B35" s="140">
        <f t="shared" si="0"/>
        <v>2041</v>
      </c>
      <c r="C35" s="141"/>
      <c r="D35" s="132">
        <f t="shared" si="5"/>
        <v>127.61</v>
      </c>
      <c r="E35" s="132">
        <f t="shared" si="5"/>
        <v>63.55</v>
      </c>
      <c r="F35" s="134">
        <f t="shared" si="1"/>
        <v>57.426099495313629</v>
      </c>
      <c r="G35" s="132">
        <f t="shared" si="6"/>
        <v>0</v>
      </c>
      <c r="H35" s="132">
        <f t="shared" si="6"/>
        <v>0</v>
      </c>
      <c r="I35" s="134">
        <f t="shared" si="3"/>
        <v>57.426099495313629</v>
      </c>
      <c r="J35" s="134">
        <f t="shared" si="2"/>
        <v>191.16</v>
      </c>
      <c r="K35" s="132">
        <f t="shared" si="7"/>
        <v>0.97</v>
      </c>
      <c r="L35" s="123"/>
      <c r="P35" s="169">
        <f t="shared" si="9"/>
        <v>0</v>
      </c>
    </row>
    <row r="36" spans="2:16">
      <c r="B36" s="140">
        <f t="shared" si="0"/>
        <v>2042</v>
      </c>
      <c r="C36" s="141"/>
      <c r="D36" s="132">
        <f t="shared" si="5"/>
        <v>130.55000000000001</v>
      </c>
      <c r="E36" s="132">
        <f t="shared" si="5"/>
        <v>65.010000000000005</v>
      </c>
      <c r="F36" s="134">
        <f t="shared" si="1"/>
        <v>58.747897140110553</v>
      </c>
      <c r="G36" s="132">
        <f t="shared" si="6"/>
        <v>0</v>
      </c>
      <c r="H36" s="132">
        <f t="shared" si="6"/>
        <v>0</v>
      </c>
      <c r="I36" s="134">
        <f t="shared" si="3"/>
        <v>58.747897140110553</v>
      </c>
      <c r="J36" s="134">
        <f t="shared" si="2"/>
        <v>195.56</v>
      </c>
      <c r="K36" s="132">
        <f t="shared" si="7"/>
        <v>0.99</v>
      </c>
      <c r="L36" s="123"/>
      <c r="P36" s="169">
        <f t="shared" si="9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26</v>
      </c>
      <c r="C42" s="145"/>
      <c r="D42" s="145"/>
      <c r="E42" s="145"/>
      <c r="F42" s="145"/>
      <c r="G42" s="145"/>
      <c r="H42" s="145"/>
    </row>
    <row r="44" spans="2:16">
      <c r="B44" s="121" t="s">
        <v>71</v>
      </c>
      <c r="C44" s="146" t="s">
        <v>72</v>
      </c>
      <c r="D44" s="147" t="s">
        <v>116</v>
      </c>
    </row>
    <row r="45" spans="2:16">
      <c r="C45" s="146" t="str">
        <f>C7</f>
        <v>(a)</v>
      </c>
      <c r="D45" s="121" t="s">
        <v>73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74</v>
      </c>
      <c r="D53" s="152" t="s">
        <v>75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118</v>
      </c>
      <c r="C55" s="185">
        <v>1410.7096380374778</v>
      </c>
      <c r="D55" s="121" t="s">
        <v>73</v>
      </c>
      <c r="H55" s="121" t="s">
        <v>9</v>
      </c>
    </row>
    <row r="56" spans="2:24">
      <c r="B56" s="85" t="s">
        <v>110</v>
      </c>
      <c r="C56" s="154">
        <v>37.570551305416139</v>
      </c>
      <c r="D56" s="121" t="s">
        <v>76</v>
      </c>
      <c r="H56" s="121" t="s">
        <v>9</v>
      </c>
    </row>
    <row r="57" spans="2:24">
      <c r="B57" s="85" t="s">
        <v>110</v>
      </c>
      <c r="C57" s="159">
        <v>0.58600709999999989</v>
      </c>
      <c r="D57" s="121" t="s">
        <v>81</v>
      </c>
      <c r="H57" s="121" t="s">
        <v>78</v>
      </c>
    </row>
    <row r="58" spans="2:24">
      <c r="B58" s="85" t="s">
        <v>110</v>
      </c>
      <c r="C58" s="154">
        <v>0</v>
      </c>
      <c r="D58" s="121" t="s">
        <v>77</v>
      </c>
      <c r="H58" s="121" t="s">
        <v>78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110</v>
      </c>
      <c r="C59" s="167"/>
      <c r="D59" s="121" t="s">
        <v>79</v>
      </c>
      <c r="H59" s="121" t="s">
        <v>78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37</v>
      </c>
      <c r="K62" s="163"/>
      <c r="L62" s="164"/>
      <c r="M62" s="164"/>
      <c r="O62" s="165"/>
    </row>
    <row r="63" spans="2:24">
      <c r="C63" s="166">
        <v>0.38</v>
      </c>
      <c r="D63" s="121" t="s">
        <v>38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June 28,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2.1999999999999999E-2</v>
      </c>
      <c r="H67" s="85"/>
      <c r="I67" s="87">
        <f t="shared" ref="I67:I74" si="12">I66+1</f>
        <v>2036</v>
      </c>
      <c r="J67" s="41">
        <v>2.1999999999999999E-2</v>
      </c>
    </row>
    <row r="68" spans="3:11">
      <c r="C68" s="87">
        <f t="shared" si="10"/>
        <v>2019</v>
      </c>
      <c r="D68" s="41">
        <v>1.9E-2</v>
      </c>
      <c r="E68" s="85"/>
      <c r="F68" s="87">
        <f t="shared" si="11"/>
        <v>2028</v>
      </c>
      <c r="G68" s="41">
        <v>2.3E-2</v>
      </c>
      <c r="H68" s="85"/>
      <c r="I68" s="87">
        <f t="shared" si="12"/>
        <v>2037</v>
      </c>
      <c r="J68" s="41">
        <v>2.1999999999999999E-2</v>
      </c>
    </row>
    <row r="69" spans="3:11">
      <c r="C69" s="87">
        <f t="shared" si="10"/>
        <v>2020</v>
      </c>
      <c r="D69" s="41">
        <v>2.1999999999999999E-2</v>
      </c>
      <c r="E69" s="85"/>
      <c r="F69" s="87">
        <f t="shared" si="11"/>
        <v>2029</v>
      </c>
      <c r="G69" s="41">
        <v>2.3E-2</v>
      </c>
      <c r="H69" s="85"/>
      <c r="I69" s="87">
        <f t="shared" si="12"/>
        <v>2038</v>
      </c>
      <c r="J69" s="41">
        <v>2.1999999999999999E-2</v>
      </c>
    </row>
    <row r="70" spans="3:11">
      <c r="C70" s="87">
        <f t="shared" si="10"/>
        <v>2021</v>
      </c>
      <c r="D70" s="41">
        <v>2.1999999999999999E-2</v>
      </c>
      <c r="E70" s="85"/>
      <c r="F70" s="87">
        <f t="shared" si="11"/>
        <v>2030</v>
      </c>
      <c r="G70" s="41">
        <v>2.3E-2</v>
      </c>
      <c r="H70" s="85"/>
      <c r="I70" s="87">
        <f t="shared" si="12"/>
        <v>2039</v>
      </c>
      <c r="J70" s="41">
        <v>2.1999999999999999E-2</v>
      </c>
    </row>
    <row r="71" spans="3:11">
      <c r="C71" s="87">
        <f t="shared" si="10"/>
        <v>2022</v>
      </c>
      <c r="D71" s="41">
        <v>2.3E-2</v>
      </c>
      <c r="E71" s="85"/>
      <c r="F71" s="87">
        <f t="shared" si="11"/>
        <v>2031</v>
      </c>
      <c r="G71" s="41">
        <v>2.3E-2</v>
      </c>
      <c r="H71" s="85"/>
      <c r="I71" s="87">
        <f t="shared" si="12"/>
        <v>2040</v>
      </c>
      <c r="J71" s="41">
        <v>2.1999999999999999E-2</v>
      </c>
    </row>
    <row r="72" spans="3:11" s="123" customFormat="1">
      <c r="C72" s="87">
        <f t="shared" si="10"/>
        <v>2023</v>
      </c>
      <c r="D72" s="41">
        <v>2.1999999999999999E-2</v>
      </c>
      <c r="E72" s="86"/>
      <c r="F72" s="87">
        <f t="shared" si="11"/>
        <v>2032</v>
      </c>
      <c r="G72" s="41">
        <v>2.3E-2</v>
      </c>
      <c r="H72" s="86"/>
      <c r="I72" s="87">
        <f t="shared" si="12"/>
        <v>2041</v>
      </c>
      <c r="J72" s="41">
        <v>2.1999999999999999E-2</v>
      </c>
    </row>
    <row r="73" spans="3:11" s="123" customFormat="1">
      <c r="C73" s="87">
        <f t="shared" si="10"/>
        <v>2024</v>
      </c>
      <c r="D73" s="41">
        <v>2.1999999999999999E-2</v>
      </c>
      <c r="E73" s="86"/>
      <c r="F73" s="87">
        <f t="shared" si="11"/>
        <v>2033</v>
      </c>
      <c r="G73" s="41">
        <v>2.1999999999999999E-2</v>
      </c>
      <c r="H73" s="86"/>
      <c r="I73" s="87">
        <f t="shared" si="12"/>
        <v>2042</v>
      </c>
      <c r="J73" s="41">
        <v>2.3E-2</v>
      </c>
    </row>
    <row r="74" spans="3:11" s="123" customFormat="1">
      <c r="C74" s="87">
        <f t="shared" si="10"/>
        <v>2025</v>
      </c>
      <c r="D74" s="41">
        <v>2.1999999999999999E-2</v>
      </c>
      <c r="E74" s="86"/>
      <c r="F74" s="87">
        <f t="shared" si="11"/>
        <v>2034</v>
      </c>
      <c r="G74" s="41">
        <v>2.1999999999999999E-2</v>
      </c>
      <c r="H74" s="86"/>
      <c r="I74" s="87">
        <f t="shared" si="12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67</vt:i4>
      </vt:variant>
    </vt:vector>
  </HeadingPairs>
  <TitlesOfParts>
    <vt:vector size="93" baseType="lpstr">
      <vt:lpstr>Appendix B.1</vt:lpstr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_200_SCCT_UtahN</vt:lpstr>
      <vt:lpstr>_200_SCCT_WYNE</vt:lpstr>
      <vt:lpstr>'Appendix B.1'!_30_Geo_West</vt:lpstr>
      <vt:lpstr>'Table 3 TransCost D2 '!_30_Geo_West</vt:lpstr>
      <vt:lpstr>_30_Geo_West</vt:lpstr>
      <vt:lpstr>'Appendix B.1'!_436_CCCT_WestMain</vt:lpstr>
      <vt:lpstr>'Table 3 TransCost D2 '!_436_CCCT_WestMain</vt:lpstr>
      <vt:lpstr>_436_CCCT_WestMain</vt:lpstr>
      <vt:lpstr>'Appendix B.1'!_477_CCCT_WestMain</vt:lpstr>
      <vt:lpstr>'Table 2'!_477_CCCT_WestMain</vt:lpstr>
      <vt:lpstr>_477_CCCT_WYNE</vt:lpstr>
      <vt:lpstr>'Appendix B.1'!_635_CCCT_UtahS</vt:lpstr>
      <vt:lpstr>'Table 2'!_635_CCCT_UtahS</vt:lpstr>
      <vt:lpstr>'Appendix B.1'!_635_CCCT_WyoNE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'Appendix B.1'!Discount_Rate</vt:lpstr>
      <vt:lpstr>Discount_Rate</vt:lpstr>
      <vt:lpstr>'Appendix B.1'!Print_Area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'Table 5'!Print_Titles</vt:lpstr>
      <vt:lpstr>'Appendix B.1'!Study_Cap_Adj</vt:lpstr>
      <vt:lpstr>'Table 2'!Study_Cap_Adj</vt:lpstr>
      <vt:lpstr>'Table 3 TransCost D2 '!Study_Cap_Adj</vt:lpstr>
      <vt:lpstr>Study_Cap_Adj</vt:lpstr>
      <vt:lpstr>'Appendix B.1'!Study_CF</vt:lpstr>
      <vt:lpstr>Study_CF</vt:lpstr>
      <vt:lpstr>'Appendix B.1'!Study_MW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2019-09-30T20:14:08Z</dcterms:created>
  <dcterms:modified xsi:type="dcterms:W3CDTF">2019-09-30T21:14:27Z</dcterms:modified>
  <cp:contentStatus/>
</cp:coreProperties>
</file>