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55" windowHeight="11520"/>
  </bookViews>
  <sheets>
    <sheet name="Appendix B.2" sheetId="81" r:id="rId1"/>
    <sheet name="Table 1" sheetId="25" r:id="rId2"/>
    <sheet name="Table 2" sheetId="66" r:id="rId3"/>
    <sheet name="Table 4" sheetId="28" r:id="rId4"/>
    <sheet name="Table 5" sheetId="31" r:id="rId5"/>
    <sheet name="Table3ACsummary" sheetId="77" state="hidden" r:id="rId6"/>
    <sheet name="Table 3 TransCost" sheetId="47" state="hidden" r:id="rId7"/>
    <sheet name="Table 3 WYAE Wind_2024" sheetId="43" state="hidden" r:id="rId8"/>
    <sheet name="Table 3 PV wS UTS_2024" sheetId="67" state="hidden" r:id="rId9"/>
    <sheet name="Table 3 PV wS UTS_2030" sheetId="80" state="hidden" r:id="rId10"/>
    <sheet name="Table 3 PV wS UTN_2024" sheetId="70" state="hidden" r:id="rId11"/>
    <sheet name="Table 3 PV wS JB_2024" sheetId="71" r:id="rId12"/>
    <sheet name="Table 3 PV wS JB_2029" sheetId="78" state="hidden" r:id="rId13"/>
    <sheet name="Table 3 PV wS SO_2024" sheetId="72" state="hidden" r:id="rId14"/>
    <sheet name="Table 3 PV wS YK_2024" sheetId="73" state="hidden" r:id="rId15"/>
    <sheet name="Table 3 185 MW (NTN) 2026)" sheetId="68" state="hidden" r:id="rId16"/>
    <sheet name="Table 3 YK Wind wS_2029" sheetId="76" state="hidden" r:id="rId17"/>
    <sheet name="Table 3 ID Wind_2030" sheetId="75" state="hidden" r:id="rId18"/>
    <sheet name="Table 3 ID Wind wS_2032" sheetId="79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15">'Table 1'!$I$17</definedName>
    <definedName name="_30_Geo_West" localSheetId="6">'Table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15">'Table 1'!$I$18</definedName>
    <definedName name="_436_CCCT_WestMain" localSheetId="6">'Table 1'!$I$18</definedName>
    <definedName name="_436_CCCT_WestMain">'Table 1'!$I$18</definedName>
    <definedName name="_477_CCCT_WestMain" localSheetId="0">'[2]Table 1'!$I$18</definedName>
    <definedName name="_477_CCCT_WestMain" localSheetId="2">'Table 1'!$I$18</definedName>
    <definedName name="_477_CCCT_WestMain">'[3]Table 1'!$I$18</definedName>
    <definedName name="_477_CCCT_WYNE">'Table 1'!$I$20</definedName>
    <definedName name="_635_CCCT_UtahS" localSheetId="0">'[2]Table 1'!$I$19</definedName>
    <definedName name="_635_CCCT_UtahS" localSheetId="2">'Table 1'!$I$19</definedName>
    <definedName name="_635_CCCT_UtahS">'[3]Table 1'!$I$19</definedName>
    <definedName name="_635_CCCT_WyoNE" localSheetId="0">'[2]Table 1'!$I$17</definedName>
    <definedName name="_635_CCCT_WyoNE" localSheetId="2">'Table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'[4]Table 1'!#REF!</definedName>
    <definedName name="_Percent_Last_CCCT" localSheetId="2">'[1]Table 1'!#REF!</definedName>
    <definedName name="_Percent_Last_CCCT" localSheetId="18">'[4]Table 1'!#REF!</definedName>
    <definedName name="_Percent_Last_CCCT" localSheetId="17">'[4]Table 1'!#REF!</definedName>
    <definedName name="_Percent_Last_CCCT" localSheetId="11">'[4]Table 1'!#REF!</definedName>
    <definedName name="_Percent_Last_CCCT" localSheetId="12">'[4]Table 1'!#REF!</definedName>
    <definedName name="_Percent_Last_CCCT" localSheetId="13">'[4]Table 1'!#REF!</definedName>
    <definedName name="_Percent_Last_CCCT" localSheetId="10">'[4]Table 1'!#REF!</definedName>
    <definedName name="_Percent_Last_CCCT" localSheetId="8">'[4]Table 1'!#REF!</definedName>
    <definedName name="_Percent_Last_CCCT" localSheetId="9">'[4]Table 1'!#REF!</definedName>
    <definedName name="_Percent_Last_CCCT" localSheetId="14">'[4]Table 1'!#REF!</definedName>
    <definedName name="_Percent_Last_CCCT" localSheetId="16">'[4]Table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'[5]on off peak hours'!$C$15:$ED$15</definedName>
    <definedName name="dateTable" localSheetId="15">'[5]on off peak hours'!$C$15:$ED$15</definedName>
    <definedName name="dateTable">'[5]on off peak hours'!$C$15:$ED$15</definedName>
    <definedName name="Discount_Rate" localSheetId="0">'[2]Table 1'!$I$39</definedName>
    <definedName name="Discount_Rate">'Table 1'!$I$39</definedName>
    <definedName name="Discount_Rate_2015_IRP" localSheetId="0">'[6]Table 7 to 8'!$AE$43</definedName>
    <definedName name="Discount_Rate_2015_IRP" localSheetId="15">'[6]Table 7 to 8'!$AE$43</definedName>
    <definedName name="Discount_Rate_2015_IRP" localSheetId="18">'[7]Table 7 to 8'!$AE$43</definedName>
    <definedName name="Discount_Rate_2015_IRP" localSheetId="17">'[7]Table 7 to 8'!$AE$43</definedName>
    <definedName name="Discount_Rate_2015_IRP" localSheetId="11">'[7]Table 7 to 8'!$AE$43</definedName>
    <definedName name="Discount_Rate_2015_IRP" localSheetId="12">'[7]Table 7 to 8'!$AE$43</definedName>
    <definedName name="Discount_Rate_2015_IRP" localSheetId="13">'[7]Table 7 to 8'!$AE$43</definedName>
    <definedName name="Discount_Rate_2015_IRP" localSheetId="10">'[7]Table 7 to 8'!$AE$43</definedName>
    <definedName name="Discount_Rate_2015_IRP" localSheetId="8">'[7]Table 7 to 8'!$AE$43</definedName>
    <definedName name="Discount_Rate_2015_IRP" localSheetId="9">'[7]Table 7 to 8'!$AE$43</definedName>
    <definedName name="Discount_Rate_2015_IRP" localSheetId="14">'[7]Table 7 to 8'!$AE$43</definedName>
    <definedName name="Discount_Rate_2015_IRP" localSheetId="6">'[7]Table 7 to 8'!$AE$43</definedName>
    <definedName name="Discount_Rate_2015_IRP" localSheetId="7">'[7]Table 7 to 8'!$AE$43</definedName>
    <definedName name="Discount_Rate_2015_IRP" localSheetId="16">'[7]Table 7 to 8'!$AE$43</definedName>
    <definedName name="Discount_Rate_2015_IRP">'[6]Table 7 to 8'!$AE$43</definedName>
    <definedName name="DispatchSum">"GRID Thermal Generation!R2C1:R4C2"</definedName>
    <definedName name="FixedSolar_Capacity_Contr" localSheetId="0">'[6]Exhibit 3- Std FixedSolar QF'!$G$53</definedName>
    <definedName name="FixedSolar_Capacity_Contr" localSheetId="15">'[6]Exhibit 3- Std FixedSolar QF'!$G$53</definedName>
    <definedName name="FixedSolar_Capacity_Contr">'[6]Exhibit 3- Std FixedSolar QF'!$G$53</definedName>
    <definedName name="HoursHoliday" localSheetId="0">'[5]on off peak hours'!$C$16:$ED$20</definedName>
    <definedName name="HoursHoliday" localSheetId="15">'[5]on off peak hours'!$C$16:$ED$20</definedName>
    <definedName name="HoursHoliday">'[5]on off peak hours'!$C$16:$ED$20</definedName>
    <definedName name="Market" localSheetId="0">'[6]OFPC Source'!$J$8:$M$295</definedName>
    <definedName name="Market" localSheetId="15">'[6]OFPC Source'!$J$8:$M$295</definedName>
    <definedName name="Market" localSheetId="18">'[8]OFPC Source'!$J$8:$M$295</definedName>
    <definedName name="Market" localSheetId="17">'[8]OFPC Source'!$J$8:$M$295</definedName>
    <definedName name="Market" localSheetId="11">'[8]OFPC Source'!$J$8:$M$295</definedName>
    <definedName name="Market" localSheetId="12">'[8]OFPC Source'!$J$8:$M$295</definedName>
    <definedName name="Market" localSheetId="13">'[8]OFPC Source'!$J$8:$M$295</definedName>
    <definedName name="Market" localSheetId="10">'[8]OFPC Source'!$J$8:$M$295</definedName>
    <definedName name="Market" localSheetId="8">'[8]OFPC Source'!$J$8:$M$295</definedName>
    <definedName name="Market" localSheetId="9">'[8]OFPC Source'!$J$8:$M$295</definedName>
    <definedName name="Market" localSheetId="14">'[8]OFPC Source'!$J$8:$M$295</definedName>
    <definedName name="Market" localSheetId="6">'[8]OFPC Source'!$J$8:$M$295</definedName>
    <definedName name="Market" localSheetId="7">'[8]OFPC Source'!$J$8:$M$295</definedName>
    <definedName name="Market" localSheetId="16">'[8]OFPC Source'!$J$8:$M$295</definedName>
    <definedName name="Market">'[6]OFPC Source'!$J$8:$M$295</definedName>
    <definedName name="MidC_Flat" localSheetId="0">[9]Market_Price!#REF!</definedName>
    <definedName name="MidC_Flat" localSheetId="2">[9]Market_Price!#REF!</definedName>
    <definedName name="MidC_Flat" localSheetId="18">[9]Market_Price!#REF!</definedName>
    <definedName name="MidC_Flat" localSheetId="17">[9]Market_Price!#REF!</definedName>
    <definedName name="MidC_Flat" localSheetId="11">[9]Market_Price!#REF!</definedName>
    <definedName name="MidC_Flat" localSheetId="12">[9]Market_Price!#REF!</definedName>
    <definedName name="MidC_Flat" localSheetId="13">[9]Market_Price!#REF!</definedName>
    <definedName name="MidC_Flat" localSheetId="10">[9]Market_Price!#REF!</definedName>
    <definedName name="MidC_Flat" localSheetId="8">[9]Market_Price!#REF!</definedName>
    <definedName name="MidC_Flat" localSheetId="9">[9]Market_Price!#REF!</definedName>
    <definedName name="MidC_Flat" localSheetId="14">[9]Market_Price!#REF!</definedName>
    <definedName name="MidC_Flat" localSheetId="16">[9]Market_Price!#REF!</definedName>
    <definedName name="MidC_Flat">[9]Market_Price!#REF!</definedName>
    <definedName name="OR_AC_price" localSheetId="0">#REF!</definedName>
    <definedName name="OR_AC_price" localSheetId="2">#REF!</definedName>
    <definedName name="OR_AC_price" localSheetId="18">#REF!</definedName>
    <definedName name="OR_AC_price" localSheetId="17">#REF!</definedName>
    <definedName name="OR_AC_price" localSheetId="11">#REF!</definedName>
    <definedName name="OR_AC_price" localSheetId="12">#REF!</definedName>
    <definedName name="OR_AC_price" localSheetId="13">#REF!</definedName>
    <definedName name="OR_AC_price" localSheetId="10">#REF!</definedName>
    <definedName name="OR_AC_price" localSheetId="8">#REF!</definedName>
    <definedName name="OR_AC_price" localSheetId="9">#REF!</definedName>
    <definedName name="OR_AC_price" localSheetId="14">#REF!</definedName>
    <definedName name="OR_AC_price" localSheetId="16">#REF!</definedName>
    <definedName name="OR_AC_price">#REF!</definedName>
    <definedName name="_xlnm.Print_Area" localSheetId="0">'Appendix B.2'!$A$1:$L$38</definedName>
    <definedName name="_xlnm.Print_Area" localSheetId="1">'Table 1'!$A$1:$H$66</definedName>
    <definedName name="_xlnm.Print_Area" localSheetId="2">'Table 2'!$B$1:$P$36</definedName>
    <definedName name="_xlnm.Print_Area" localSheetId="15">'Table 3 185 MW (NTN) 2026)'!$A$1:$L$90</definedName>
    <definedName name="_xlnm.Print_Area" localSheetId="18">'Table 3 ID Wind wS_2032'!$A$1:$P$74</definedName>
    <definedName name="_xlnm.Print_Area" localSheetId="17">'Table 3 ID Wind_2030'!$A$1:$N$74</definedName>
    <definedName name="_xlnm.Print_Area" localSheetId="11">'Table 3 PV wS JB_2024'!$A$1:$N$74</definedName>
    <definedName name="_xlnm.Print_Area" localSheetId="12">'Table 3 PV wS JB_2029'!$A$1:$N$74</definedName>
    <definedName name="_xlnm.Print_Area" localSheetId="13">'Table 3 PV wS SO_2024'!$A$1:$N$74</definedName>
    <definedName name="_xlnm.Print_Area" localSheetId="10">'Table 3 PV wS UTN_2024'!$A$1:$P$74</definedName>
    <definedName name="_xlnm.Print_Area" localSheetId="8">'Table 3 PV wS UTS_2024'!$A$1:$N$74</definedName>
    <definedName name="_xlnm.Print_Area" localSheetId="9">'Table 3 PV wS UTS_2030'!$A$1:$N$74</definedName>
    <definedName name="_xlnm.Print_Area" localSheetId="14">'Table 3 PV wS YK_2024'!$A$1:$N$74</definedName>
    <definedName name="_xlnm.Print_Area" localSheetId="6">'Table 3 TransCost'!$A$1:$BD$52</definedName>
    <definedName name="_xlnm.Print_Area" localSheetId="7">'Table 3 WYAE Wind_2024'!$A$1:$O$74</definedName>
    <definedName name="_xlnm.Print_Area" localSheetId="16">'Table 3 YK Wind wS_2029'!$A$1:$L$74</definedName>
    <definedName name="_xlnm.Print_Area" localSheetId="3">'Table 4'!$A$1:$F$44</definedName>
    <definedName name="_xlnm.Print_Area" localSheetId="4">'Table 5'!$A$1:$H$266</definedName>
    <definedName name="_xlnm.Print_Area" localSheetId="5">Table3ACsummary!$A$1:$M$50</definedName>
    <definedName name="_xlnm.Print_Titles" localSheetId="2">'Table 2'!$1:$9</definedName>
    <definedName name="_xlnm.Print_Titles" localSheetId="15">'Table 3 185 MW (NTN) 2026)'!$1:$6</definedName>
    <definedName name="_xlnm.Print_Titles" localSheetId="4">'Table 5'!$11:$12</definedName>
    <definedName name="RenewableMarketShape" localSheetId="0">'[6]OFPC Source'!$P$5:$U$33</definedName>
    <definedName name="RenewableMarketShape" localSheetId="15">'[6]OFPC Source'!$P$5:$U$33</definedName>
    <definedName name="RenewableMarketShape" localSheetId="18">'[8]OFPC Source'!$P$5:$U$28</definedName>
    <definedName name="RenewableMarketShape" localSheetId="17">'[8]OFPC Source'!$P$5:$U$28</definedName>
    <definedName name="RenewableMarketShape" localSheetId="11">'[8]OFPC Source'!$P$5:$U$28</definedName>
    <definedName name="RenewableMarketShape" localSheetId="12">'[8]OFPC Source'!$P$5:$U$28</definedName>
    <definedName name="RenewableMarketShape" localSheetId="13">'[8]OFPC Source'!$P$5:$U$28</definedName>
    <definedName name="RenewableMarketShape" localSheetId="10">'[8]OFPC Source'!$P$5:$U$28</definedName>
    <definedName name="RenewableMarketShape" localSheetId="8">'[8]OFPC Source'!$P$5:$U$28</definedName>
    <definedName name="RenewableMarketShape" localSheetId="9">'[8]OFPC Source'!$P$5:$U$28</definedName>
    <definedName name="RenewableMarketShape" localSheetId="14">'[8]OFPC Source'!$P$5:$U$28</definedName>
    <definedName name="RenewableMarketShape" localSheetId="6">'[8]OFPC Source'!$P$5:$U$28</definedName>
    <definedName name="RenewableMarketShape" localSheetId="7">'[8]OFPC Source'!$P$5:$U$28</definedName>
    <definedName name="RenewableMarketShape" localSheetId="16">'[8]OFPC Source'!$P$5:$U$28</definedName>
    <definedName name="RenewableMarketShape">'[6]OFPC Source'!$P$5:$U$33</definedName>
    <definedName name="RevenueSum">"GRID Thermal Revenue!R2C1:R4C2"</definedName>
    <definedName name="Solar_Fixed_integr_cost" localSheetId="0">'[10]Table 10'!$B$46</definedName>
    <definedName name="Solar_Fixed_integr_cost" localSheetId="15">'[10]Table 10'!$B$46</definedName>
    <definedName name="Solar_Fixed_integr_cost">'[10]Table 10'!$B$46</definedName>
    <definedName name="Solar_HLH" localSheetId="0">'[6]OFPC Source'!$U$48</definedName>
    <definedName name="Solar_HLH" localSheetId="15">'[6]OFPC Source'!$U$48</definedName>
    <definedName name="Solar_HLH" localSheetId="18">'[8]OFPC Source'!$U$47</definedName>
    <definedName name="Solar_HLH" localSheetId="17">'[8]OFPC Source'!$U$47</definedName>
    <definedName name="Solar_HLH" localSheetId="11">'[8]OFPC Source'!$U$47</definedName>
    <definedName name="Solar_HLH" localSheetId="12">'[8]OFPC Source'!$U$47</definedName>
    <definedName name="Solar_HLH" localSheetId="13">'[8]OFPC Source'!$U$47</definedName>
    <definedName name="Solar_HLH" localSheetId="10">'[8]OFPC Source'!$U$47</definedName>
    <definedName name="Solar_HLH" localSheetId="8">'[8]OFPC Source'!$U$47</definedName>
    <definedName name="Solar_HLH" localSheetId="9">'[8]OFPC Source'!$U$47</definedName>
    <definedName name="Solar_HLH" localSheetId="14">'[8]OFPC Source'!$U$47</definedName>
    <definedName name="Solar_HLH" localSheetId="6">'[8]OFPC Source'!$U$47</definedName>
    <definedName name="Solar_HLH" localSheetId="7">'[8]OFPC Source'!$U$47</definedName>
    <definedName name="Solar_HLH" localSheetId="16">'[8]OFPC Source'!$U$47</definedName>
    <definedName name="Solar_HLH">'[6]OFPC Source'!$U$48</definedName>
    <definedName name="Solar_LLH" localSheetId="0">'[6]OFPC Source'!$V$48</definedName>
    <definedName name="Solar_LLH" localSheetId="15">'[6]OFPC Source'!$V$48</definedName>
    <definedName name="Solar_LLH" localSheetId="18">'[8]OFPC Source'!$V$47</definedName>
    <definedName name="Solar_LLH" localSheetId="17">'[8]OFPC Source'!$V$47</definedName>
    <definedName name="Solar_LLH" localSheetId="11">'[8]OFPC Source'!$V$47</definedName>
    <definedName name="Solar_LLH" localSheetId="12">'[8]OFPC Source'!$V$47</definedName>
    <definedName name="Solar_LLH" localSheetId="13">'[8]OFPC Source'!$V$47</definedName>
    <definedName name="Solar_LLH" localSheetId="10">'[8]OFPC Source'!$V$47</definedName>
    <definedName name="Solar_LLH" localSheetId="8">'[8]OFPC Source'!$V$47</definedName>
    <definedName name="Solar_LLH" localSheetId="9">'[8]OFPC Source'!$V$47</definedName>
    <definedName name="Solar_LLH" localSheetId="14">'[8]OFPC Source'!$V$47</definedName>
    <definedName name="Solar_LLH" localSheetId="6">'[8]OFPC Source'!$V$47</definedName>
    <definedName name="Solar_LLH" localSheetId="7">'[8]OFPC Source'!$V$47</definedName>
    <definedName name="Solar_LLH" localSheetId="16">'[8]OFPC Source'!$V$47</definedName>
    <definedName name="Solar_LLH">'[6]OFPC Source'!$V$48</definedName>
    <definedName name="Solar_Tracking_integr_cost" localSheetId="0">'[10]Table 10'!$B$45</definedName>
    <definedName name="Solar_Tracking_integr_cost" localSheetId="15">'[10]Table 10'!$B$45</definedName>
    <definedName name="Solar_Tracking_integr_cost">'[10]Table 10'!$B$45</definedName>
    <definedName name="Study_Cap_Adj" localSheetId="0">'[2]Table 1'!$I$8</definedName>
    <definedName name="Study_Cap_Adj" localSheetId="2">'Table 1'!$I$8</definedName>
    <definedName name="Study_Cap_Adj" localSheetId="15">'Table 1'!$I$8</definedName>
    <definedName name="Study_Cap_Adj" localSheetId="6">'Table 1'!$I$8</definedName>
    <definedName name="Study_Cap_Adj">'Table 1'!$I$8</definedName>
    <definedName name="Study_CF" localSheetId="0">'[2]Table 5'!$M$7</definedName>
    <definedName name="Study_CF">'Table 5'!$M$7</definedName>
    <definedName name="Study_MW" localSheetId="0">'[2]Table 5'!$M$6</definedName>
    <definedName name="Study_MW">'Table 5'!$M$6</definedName>
    <definedName name="Study_Name" localSheetId="18">[5]ImportData!$D$7</definedName>
    <definedName name="Study_Name" localSheetId="17">[5]ImportData!$D$7</definedName>
    <definedName name="Study_Name" localSheetId="11">[5]ImportData!$D$7</definedName>
    <definedName name="Study_Name" localSheetId="12">[5]ImportData!$D$7</definedName>
    <definedName name="Study_Name" localSheetId="13">[5]ImportData!$D$7</definedName>
    <definedName name="Study_Name" localSheetId="10">[5]ImportData!$D$7</definedName>
    <definedName name="Study_Name" localSheetId="8">[5]ImportData!$D$7</definedName>
    <definedName name="Study_Name" localSheetId="9">[5]ImportData!$D$7</definedName>
    <definedName name="Study_Name" localSheetId="14">[5]ImportData!$D$7</definedName>
    <definedName name="Study_Name" localSheetId="6">[5]ImportData!$D$7</definedName>
    <definedName name="Study_Name" localSheetId="7">[5]ImportData!$D$7</definedName>
    <definedName name="Study_Name" localSheetId="16">[5]ImportData!$D$7</definedName>
    <definedName name="ValuationDate" localSheetId="0">#REF!</definedName>
    <definedName name="ValuationDate" localSheetId="2">#REF!</definedName>
    <definedName name="ValuationDate" localSheetId="18">#REF!</definedName>
    <definedName name="ValuationDate" localSheetId="17">#REF!</definedName>
    <definedName name="ValuationDate" localSheetId="11">#REF!</definedName>
    <definedName name="ValuationDate" localSheetId="12">#REF!</definedName>
    <definedName name="ValuationDate" localSheetId="13">#REF!</definedName>
    <definedName name="ValuationDate" localSheetId="10">#REF!</definedName>
    <definedName name="ValuationDate" localSheetId="8">#REF!</definedName>
    <definedName name="ValuationDate" localSheetId="9">#REF!</definedName>
    <definedName name="ValuationDate" localSheetId="14">#REF!</definedName>
    <definedName name="ValuationDate" localSheetId="16">#REF!</definedName>
    <definedName name="ValuationDate">#REF!</definedName>
    <definedName name="Wind_Capacity_Contr" localSheetId="0">'[6]Exhibit 2- Std Wind QF '!$E$57</definedName>
    <definedName name="Wind_Capacity_Contr" localSheetId="15">'[6]Exhibit 2- Std Wind QF '!$E$57</definedName>
    <definedName name="Wind_Capacity_Contr">'[6]Exhibit 2- Std Wind QF '!$E$57</definedName>
    <definedName name="Wind_Integration_Charge" localSheetId="0">'[6]Exhibit 2- Std Wind QF '!$E$45</definedName>
    <definedName name="Wind_Integration_Charge" localSheetId="15">'[6]Exhibit 2- Std Wind QF '!$E$45</definedName>
    <definedName name="Wind_Integration_Charge">'[6]Exhibit 2- Std Wind QF '!$E$45</definedName>
  </definedNames>
  <calcPr calcId="152511" calcMode="manual"/>
</workbook>
</file>

<file path=xl/calcChain.xml><?xml version="1.0" encoding="utf-8"?>
<calcChain xmlns="http://schemas.openxmlformats.org/spreadsheetml/2006/main">
  <c r="B31" i="81" l="1"/>
  <c r="B25" i="81"/>
  <c r="B47" i="25"/>
  <c r="B32" i="81" l="1"/>
  <c r="K5" i="81"/>
  <c r="J5" i="81"/>
  <c r="I5" i="81"/>
  <c r="A9" i="31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7" i="43"/>
  <c r="L16" i="43"/>
  <c r="L15" i="43"/>
  <c r="L14" i="43"/>
  <c r="L13" i="43"/>
  <c r="L12" i="43"/>
  <c r="D48" i="43" l="1"/>
  <c r="C48" i="67"/>
  <c r="D48" i="67"/>
  <c r="D48" i="80"/>
  <c r="D48" i="70"/>
  <c r="D48" i="71"/>
  <c r="D48" i="78"/>
  <c r="D48" i="72"/>
  <c r="D48" i="73"/>
  <c r="D48" i="76"/>
  <c r="D48" i="75"/>
  <c r="D48" i="79"/>
  <c r="AA31" i="47"/>
  <c r="AF31" i="47"/>
  <c r="AF32" i="47" s="1"/>
  <c r="AK31" i="47"/>
  <c r="AP31" i="47"/>
  <c r="AU31" i="47"/>
  <c r="AZ31" i="47"/>
  <c r="AZ32" i="47" s="1"/>
  <c r="BE31" i="47"/>
  <c r="AA32" i="47"/>
  <c r="AK32" i="47"/>
  <c r="AP32" i="47"/>
  <c r="AU32" i="47"/>
  <c r="BE32" i="47"/>
  <c r="B60" i="72" l="1"/>
  <c r="C60" i="72"/>
  <c r="F18" i="72" s="1"/>
  <c r="BF10" i="47" l="1"/>
  <c r="B60" i="79"/>
  <c r="B60" i="75"/>
  <c r="B60" i="76"/>
  <c r="B60" i="73"/>
  <c r="B60" i="78"/>
  <c r="B60" i="71"/>
  <c r="B60" i="70"/>
  <c r="B60" i="80"/>
  <c r="B60" i="67"/>
  <c r="B60" i="43"/>
  <c r="Q6" i="31" l="1"/>
  <c r="A7" i="31"/>
  <c r="P6" i="31"/>
  <c r="BV9" i="25" l="1"/>
  <c r="BV8" i="25"/>
  <c r="BA32" i="25"/>
  <c r="BA31" i="25"/>
  <c r="BA9" i="25"/>
  <c r="BA8" i="25"/>
  <c r="B38" i="28" l="1"/>
  <c r="B37" i="68"/>
  <c r="B38" i="68" l="1"/>
  <c r="BU9" i="25"/>
  <c r="BT9" i="25"/>
  <c r="BS9" i="25"/>
  <c r="BR9" i="25"/>
  <c r="BQ9" i="25"/>
  <c r="BP9" i="25"/>
  <c r="BO9" i="25"/>
  <c r="BN9" i="25"/>
  <c r="BM9" i="25"/>
  <c r="BL9" i="25"/>
  <c r="BK9" i="25"/>
  <c r="BJ9" i="25"/>
  <c r="BI9" i="25"/>
  <c r="BU8" i="25"/>
  <c r="BT8" i="25"/>
  <c r="BS8" i="25"/>
  <c r="BR8" i="25"/>
  <c r="BQ8" i="25"/>
  <c r="BP8" i="25"/>
  <c r="BO8" i="25"/>
  <c r="BN8" i="25"/>
  <c r="BM8" i="25"/>
  <c r="BL8" i="25"/>
  <c r="BK8" i="25"/>
  <c r="BJ8" i="25"/>
  <c r="BI8" i="25"/>
  <c r="BH8" i="25"/>
  <c r="BH9" i="25"/>
  <c r="BG9" i="25"/>
  <c r="BF9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M8" i="25"/>
  <c r="AL8" i="25"/>
  <c r="AK8" i="25"/>
  <c r="B39" i="68" l="1"/>
  <c r="B40" i="68" l="1"/>
  <c r="AZ9" i="47" l="1"/>
  <c r="BE9" i="47"/>
  <c r="BH10" i="47"/>
  <c r="BB39" i="47"/>
  <c r="BG39" i="47"/>
  <c r="BF11" i="47" s="1"/>
  <c r="C45" i="47"/>
  <c r="C46" i="47" s="1"/>
  <c r="C47" i="47" s="1"/>
  <c r="C48" i="47" s="1"/>
  <c r="C49" i="47" s="1"/>
  <c r="C50" i="47" s="1"/>
  <c r="C51" i="47" s="1"/>
  <c r="C52" i="47" s="1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BA15" i="47" l="1"/>
  <c r="BA11" i="47"/>
  <c r="BA16" i="47"/>
  <c r="BA14" i="47"/>
  <c r="BA10" i="47"/>
  <c r="BC10" i="47" s="1"/>
  <c r="BA13" i="47"/>
  <c r="BA12" i="47"/>
  <c r="AL16" i="47"/>
  <c r="AL12" i="47"/>
  <c r="AL17" i="47"/>
  <c r="AL13" i="47"/>
  <c r="AL19" i="47"/>
  <c r="AL15" i="47"/>
  <c r="AL11" i="47"/>
  <c r="AL18" i="47"/>
  <c r="AL14" i="47"/>
  <c r="AL10" i="47"/>
  <c r="AQ21" i="47"/>
  <c r="AQ17" i="47"/>
  <c r="AQ13" i="47"/>
  <c r="AQ19" i="47"/>
  <c r="AQ11" i="47"/>
  <c r="AQ14" i="47"/>
  <c r="AQ20" i="47"/>
  <c r="AQ16" i="47"/>
  <c r="AQ12" i="47"/>
  <c r="AQ23" i="47"/>
  <c r="AQ15" i="47"/>
  <c r="AQ22" i="47"/>
  <c r="AQ18" i="47"/>
  <c r="AQ10" i="47"/>
  <c r="AS10" i="47" s="1"/>
  <c r="M19" i="47"/>
  <c r="M15" i="47"/>
  <c r="M11" i="47"/>
  <c r="M17" i="47"/>
  <c r="M16" i="47"/>
  <c r="M22" i="47"/>
  <c r="M18" i="47"/>
  <c r="M14" i="47"/>
  <c r="M10" i="47"/>
  <c r="O10" i="47" s="1"/>
  <c r="M21" i="47"/>
  <c r="M13" i="47"/>
  <c r="M20" i="47"/>
  <c r="M12" i="47"/>
  <c r="AV22" i="47"/>
  <c r="AV18" i="47"/>
  <c r="AV14" i="47"/>
  <c r="AV10" i="47"/>
  <c r="AX10" i="47" s="1"/>
  <c r="AV20" i="47"/>
  <c r="AV12" i="47"/>
  <c r="AV19" i="47"/>
  <c r="AV11" i="47"/>
  <c r="AV21" i="47"/>
  <c r="AV17" i="47"/>
  <c r="AV13" i="47"/>
  <c r="AV16" i="47"/>
  <c r="AV23" i="47"/>
  <c r="AV15" i="47"/>
  <c r="AW39" i="47"/>
  <c r="AV24" i="47" s="1"/>
  <c r="AR39" i="47"/>
  <c r="AQ24" i="47" s="1"/>
  <c r="N39" i="47"/>
  <c r="M23" i="47" s="1"/>
  <c r="AM39" i="47"/>
  <c r="AN10" i="47" l="1"/>
  <c r="AL2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H15" i="47" l="1"/>
  <c r="H11" i="47"/>
  <c r="H16" i="47"/>
  <c r="H14" i="47"/>
  <c r="H10" i="47"/>
  <c r="J10" i="47" s="1"/>
  <c r="H13" i="47"/>
  <c r="H12" i="47"/>
  <c r="C10" i="47"/>
  <c r="R10" i="47"/>
  <c r="W10" i="47"/>
  <c r="Y10" i="47" s="1"/>
  <c r="AG16" i="47"/>
  <c r="AG12" i="47"/>
  <c r="AG14" i="47"/>
  <c r="AG13" i="47"/>
  <c r="AG15" i="47"/>
  <c r="AG11" i="47"/>
  <c r="AG10" i="47"/>
  <c r="X39" i="47"/>
  <c r="W11" i="47" s="1"/>
  <c r="AH39" i="47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S39" i="47"/>
  <c r="R11" i="47" s="1"/>
  <c r="AC39" i="47"/>
  <c r="AB10" i="47" s="1"/>
  <c r="I39" i="47"/>
  <c r="H17" i="47" s="1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11" i="47" s="1"/>
  <c r="AI10" i="47" l="1"/>
  <c r="AG17" i="47"/>
  <c r="C60" i="75"/>
  <c r="F24" i="75" s="1"/>
  <c r="C60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F18" i="67" s="1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D47" i="80" l="1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69" i="80" l="1"/>
  <c r="B14" i="80"/>
  <c r="B15" i="80" s="1"/>
  <c r="B16" i="80" s="1"/>
  <c r="B17" i="80" s="1"/>
  <c r="B18" i="80" s="1"/>
  <c r="B19" i="79"/>
  <c r="C68" i="79"/>
  <c r="C70" i="80" l="1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17" i="77" l="1"/>
  <c r="J24" i="80"/>
  <c r="E26" i="80"/>
  <c r="K25" i="80"/>
  <c r="G25" i="80"/>
  <c r="I25" i="80" s="1"/>
  <c r="D33" i="79"/>
  <c r="D28" i="80"/>
  <c r="E27" i="80" l="1"/>
  <c r="K26" i="80"/>
  <c r="G26" i="80"/>
  <c r="I26" i="80" s="1"/>
  <c r="J18" i="77"/>
  <c r="J25" i="80"/>
  <c r="D34" i="79"/>
  <c r="D29" i="80"/>
  <c r="E28" i="80" l="1"/>
  <c r="K27" i="80"/>
  <c r="G27" i="80"/>
  <c r="I27" i="80" s="1"/>
  <c r="J19" i="77"/>
  <c r="J26" i="80"/>
  <c r="D35" i="79"/>
  <c r="D30" i="80"/>
  <c r="J20" i="77" l="1"/>
  <c r="J27" i="80"/>
  <c r="E29" i="80"/>
  <c r="K28" i="80"/>
  <c r="G28" i="80"/>
  <c r="I28" i="80" s="1"/>
  <c r="D36" i="79"/>
  <c r="D31" i="80"/>
  <c r="E30" i="80" l="1"/>
  <c r="G29" i="80"/>
  <c r="I29" i="80" s="1"/>
  <c r="K29" i="80"/>
  <c r="J21" i="77"/>
  <c r="J28" i="80"/>
  <c r="D37" i="79"/>
  <c r="D32" i="80"/>
  <c r="J22" i="77" l="1"/>
  <c r="J29" i="80"/>
  <c r="E31" i="80"/>
  <c r="K30" i="80"/>
  <c r="G30" i="80"/>
  <c r="I30" i="80" s="1"/>
  <c r="D33" i="80"/>
  <c r="J23" i="77" l="1"/>
  <c r="J30" i="80"/>
  <c r="E32" i="80"/>
  <c r="K31" i="80"/>
  <c r="G31" i="80"/>
  <c r="I31" i="80" s="1"/>
  <c r="D34" i="80"/>
  <c r="J24" i="77" l="1"/>
  <c r="J31" i="80"/>
  <c r="E33" i="80"/>
  <c r="G32" i="80"/>
  <c r="I32" i="80" s="1"/>
  <c r="K32" i="80"/>
  <c r="D35" i="80"/>
  <c r="J25" i="77" l="1"/>
  <c r="J32" i="80"/>
  <c r="E34" i="80"/>
  <c r="K33" i="80"/>
  <c r="G33" i="80"/>
  <c r="I33" i="80" s="1"/>
  <c r="J33" i="80" s="1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K36" i="80"/>
  <c r="G36" i="80"/>
  <c r="I36" i="80" s="1"/>
  <c r="J36" i="80" s="1"/>
  <c r="G37" i="80" l="1"/>
  <c r="I37" i="80" s="1"/>
  <c r="J37" i="80" s="1"/>
  <c r="K37" i="80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J23" i="78" l="1"/>
  <c r="K24" i="78"/>
  <c r="G24" i="78"/>
  <c r="I24" i="78" s="1"/>
  <c r="E25" i="78"/>
  <c r="D31" i="78"/>
  <c r="E26" i="78" l="1"/>
  <c r="G25" i="78"/>
  <c r="I25" i="78" s="1"/>
  <c r="K25" i="78"/>
  <c r="J24" i="78"/>
  <c r="D32" i="78"/>
  <c r="J25" i="78" l="1"/>
  <c r="E27" i="78"/>
  <c r="G26" i="78"/>
  <c r="I26" i="78" s="1"/>
  <c r="K26" i="78"/>
  <c r="D33" i="78"/>
  <c r="J26" i="78" l="1"/>
  <c r="E28" i="78"/>
  <c r="G27" i="78"/>
  <c r="I27" i="78" s="1"/>
  <c r="K27" i="78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K29" i="78"/>
  <c r="G29" i="78"/>
  <c r="I29" i="78" s="1"/>
  <c r="D36" i="78"/>
  <c r="A15" i="77"/>
  <c r="J29" i="78" l="1"/>
  <c r="E31" i="78"/>
  <c r="G30" i="78"/>
  <c r="I30" i="78" s="1"/>
  <c r="K30" i="78"/>
  <c r="D37" i="78"/>
  <c r="A16" i="77"/>
  <c r="H16" i="77" s="1"/>
  <c r="J30" i="78" l="1"/>
  <c r="E32" i="78"/>
  <c r="G31" i="78"/>
  <c r="I31" i="78" s="1"/>
  <c r="K31" i="78"/>
  <c r="A17" i="77"/>
  <c r="H17" i="77" s="1"/>
  <c r="J31" i="78" l="1"/>
  <c r="E33" i="78"/>
  <c r="G32" i="78"/>
  <c r="I32" i="78" s="1"/>
  <c r="K32" i="78"/>
  <c r="A18" i="77"/>
  <c r="H18" i="77" s="1"/>
  <c r="E34" i="78" l="1"/>
  <c r="G33" i="78"/>
  <c r="I33" i="78" s="1"/>
  <c r="K33" i="78"/>
  <c r="J32" i="78"/>
  <c r="A19" i="77"/>
  <c r="J33" i="78" l="1"/>
  <c r="E35" i="78"/>
  <c r="G34" i="78"/>
  <c r="I34" i="78" s="1"/>
  <c r="K34" i="78"/>
  <c r="H19" i="77"/>
  <c r="A20" i="77"/>
  <c r="J34" i="78" l="1"/>
  <c r="E36" i="78"/>
  <c r="G35" i="78"/>
  <c r="I35" i="78" s="1"/>
  <c r="K35" i="78"/>
  <c r="H20" i="77"/>
  <c r="A21" i="77"/>
  <c r="E37" i="78" l="1"/>
  <c r="G36" i="78"/>
  <c r="I36" i="78" s="1"/>
  <c r="K36" i="78"/>
  <c r="J35" i="78"/>
  <c r="H21" i="77"/>
  <c r="A22" i="77"/>
  <c r="J36" i="78" l="1"/>
  <c r="G37" i="78"/>
  <c r="I37" i="78" s="1"/>
  <c r="K37" i="78"/>
  <c r="H22" i="77"/>
  <c r="A23" i="77"/>
  <c r="J37" i="78" l="1"/>
  <c r="H23" i="77"/>
  <c r="A24" i="77"/>
  <c r="H24" i="77" l="1"/>
  <c r="A25" i="77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C68" i="72" s="1"/>
  <c r="C69" i="72" s="1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B3" i="71" l="1"/>
  <c r="C52" i="71" s="1"/>
  <c r="B9" i="71" s="1"/>
  <c r="D47" i="75"/>
  <c r="D47" i="73"/>
  <c r="C70" i="72"/>
  <c r="C71" i="72" s="1"/>
  <c r="D47" i="72"/>
  <c r="H12" i="76"/>
  <c r="B3" i="76"/>
  <c r="C52" i="76" s="1"/>
  <c r="B9" i="76" s="1"/>
  <c r="B15" i="76"/>
  <c r="C68" i="76"/>
  <c r="B17" i="75"/>
  <c r="C68" i="75"/>
  <c r="B13" i="73"/>
  <c r="C68" i="73"/>
  <c r="C72" i="72"/>
  <c r="B13" i="72"/>
  <c r="B13" i="71"/>
  <c r="C68" i="71"/>
  <c r="C69" i="76" l="1"/>
  <c r="B16" i="76"/>
  <c r="C69" i="75"/>
  <c r="B18" i="75"/>
  <c r="C69" i="73"/>
  <c r="B14" i="73"/>
  <c r="B15" i="73" s="1"/>
  <c r="B16" i="73" s="1"/>
  <c r="B17" i="73" s="1"/>
  <c r="B18" i="73" s="1"/>
  <c r="C73" i="72"/>
  <c r="B14" i="72"/>
  <c r="C69" i="71"/>
  <c r="B14" i="71"/>
  <c r="B15" i="71" l="1"/>
  <c r="C70" i="76"/>
  <c r="B17" i="76"/>
  <c r="B19" i="75"/>
  <c r="C70" i="75"/>
  <c r="B19" i="73"/>
  <c r="C70" i="73"/>
  <c r="B15" i="72"/>
  <c r="C74" i="72"/>
  <c r="C70" i="71"/>
  <c r="B16" i="71" l="1"/>
  <c r="B18" i="76"/>
  <c r="C71" i="76"/>
  <c r="C71" i="75"/>
  <c r="B20" i="75"/>
  <c r="C71" i="73"/>
  <c r="B20" i="73"/>
  <c r="F66" i="72"/>
  <c r="B16" i="72"/>
  <c r="C71" i="71"/>
  <c r="B17" i="71" l="1"/>
  <c r="C72" i="76"/>
  <c r="B19" i="76"/>
  <c r="C72" i="75"/>
  <c r="B21" i="75"/>
  <c r="C72" i="73"/>
  <c r="B21" i="73"/>
  <c r="B17" i="72"/>
  <c r="F67" i="72"/>
  <c r="C72" i="71"/>
  <c r="B18" i="71" l="1"/>
  <c r="B20" i="76"/>
  <c r="C73" i="76"/>
  <c r="B22" i="75"/>
  <c r="C73" i="75"/>
  <c r="C73" i="73"/>
  <c r="B22" i="73"/>
  <c r="B18" i="72"/>
  <c r="F68" i="72"/>
  <c r="C73" i="71"/>
  <c r="B19" i="71" l="1"/>
  <c r="C74" i="76"/>
  <c r="B21" i="76"/>
  <c r="B23" i="75"/>
  <c r="C74" i="75"/>
  <c r="C74" i="73"/>
  <c r="B23" i="73"/>
  <c r="F69" i="72"/>
  <c r="B19" i="72"/>
  <c r="C74" i="71"/>
  <c r="B20" i="71" l="1"/>
  <c r="B22" i="76"/>
  <c r="F66" i="76"/>
  <c r="F66" i="75"/>
  <c r="B24" i="75"/>
  <c r="B24" i="73"/>
  <c r="F66" i="73"/>
  <c r="B20" i="72"/>
  <c r="F70" i="72"/>
  <c r="F66" i="71"/>
  <c r="B21" i="71" l="1"/>
  <c r="B23" i="76"/>
  <c r="F67" i="76"/>
  <c r="F67" i="75"/>
  <c r="B25" i="75"/>
  <c r="F67" i="73"/>
  <c r="B25" i="73"/>
  <c r="F71" i="72"/>
  <c r="B21" i="72"/>
  <c r="F67" i="71"/>
  <c r="B22" i="71" l="1"/>
  <c r="B24" i="76"/>
  <c r="F68" i="76"/>
  <c r="F68" i="75"/>
  <c r="B26" i="75"/>
  <c r="F68" i="73"/>
  <c r="B26" i="73"/>
  <c r="B22" i="72"/>
  <c r="F72" i="72"/>
  <c r="F68" i="71"/>
  <c r="B23" i="71" l="1"/>
  <c r="F69" i="76"/>
  <c r="B25" i="76"/>
  <c r="F69" i="75"/>
  <c r="B27" i="75"/>
  <c r="F69" i="73"/>
  <c r="B27" i="73"/>
  <c r="B23" i="72"/>
  <c r="F73" i="72"/>
  <c r="F69" i="71"/>
  <c r="B24" i="71" l="1"/>
  <c r="B26" i="76"/>
  <c r="F70" i="76"/>
  <c r="B28" i="75"/>
  <c r="F70" i="75"/>
  <c r="B28" i="73"/>
  <c r="F70" i="73"/>
  <c r="F74" i="72"/>
  <c r="B24" i="72"/>
  <c r="F70" i="71"/>
  <c r="B25" i="71" l="1"/>
  <c r="F71" i="76"/>
  <c r="B27" i="76"/>
  <c r="F71" i="75"/>
  <c r="B29" i="75"/>
  <c r="F71" i="73"/>
  <c r="B29" i="73"/>
  <c r="B25" i="72"/>
  <c r="I66" i="72"/>
  <c r="F71" i="71"/>
  <c r="B26" i="71" l="1"/>
  <c r="B28" i="76"/>
  <c r="F72" i="76"/>
  <c r="B30" i="75"/>
  <c r="F72" i="75"/>
  <c r="B30" i="73"/>
  <c r="F72" i="73"/>
  <c r="I67" i="72"/>
  <c r="B26" i="72"/>
  <c r="F72" i="71"/>
  <c r="B27" i="71" l="1"/>
  <c r="B29" i="76"/>
  <c r="F73" i="76"/>
  <c r="F73" i="75"/>
  <c r="B31" i="75"/>
  <c r="F73" i="73"/>
  <c r="B31" i="73"/>
  <c r="B27" i="72"/>
  <c r="I68" i="72"/>
  <c r="F73" i="71"/>
  <c r="B28" i="71" l="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I69" i="72"/>
  <c r="B28" i="72"/>
  <c r="F74" i="71"/>
  <c r="B33" i="73" l="1"/>
  <c r="B29" i="71"/>
  <c r="B31" i="76"/>
  <c r="I66" i="76"/>
  <c r="I66" i="75"/>
  <c r="I66" i="73"/>
  <c r="B29" i="72"/>
  <c r="I70" i="72"/>
  <c r="I66" i="71"/>
  <c r="B34" i="73" l="1"/>
  <c r="B30" i="71"/>
  <c r="B32" i="76"/>
  <c r="B33" i="76" s="1"/>
  <c r="B34" i="76" s="1"/>
  <c r="B35" i="76" s="1"/>
  <c r="B36" i="76" s="1"/>
  <c r="B37" i="76" s="1"/>
  <c r="I67" i="76"/>
  <c r="I67" i="75"/>
  <c r="I67" i="73"/>
  <c r="I71" i="72"/>
  <c r="B30" i="72"/>
  <c r="I67" i="71"/>
  <c r="B35" i="73" l="1"/>
  <c r="B31" i="71"/>
  <c r="I68" i="76"/>
  <c r="I68" i="75"/>
  <c r="I68" i="73"/>
  <c r="B31" i="72"/>
  <c r="I72" i="72"/>
  <c r="I68" i="71"/>
  <c r="B36" i="73" l="1"/>
  <c r="B32" i="71"/>
  <c r="B33" i="71" s="1"/>
  <c r="I69" i="76"/>
  <c r="I69" i="75"/>
  <c r="I69" i="73"/>
  <c r="I73" i="72"/>
  <c r="B32" i="72"/>
  <c r="B33" i="72" s="1"/>
  <c r="I69" i="71"/>
  <c r="B37" i="73" l="1"/>
  <c r="B34" i="72"/>
  <c r="B34" i="71"/>
  <c r="I70" i="76"/>
  <c r="I70" i="75"/>
  <c r="I70" i="73"/>
  <c r="I74" i="72"/>
  <c r="I70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B35" i="72"/>
  <c r="B35" i="71"/>
  <c r="E13" i="72"/>
  <c r="I71" i="76"/>
  <c r="I71" i="75"/>
  <c r="I71" i="73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I71" i="71"/>
  <c r="F35" i="72" l="1"/>
  <c r="E14" i="72"/>
  <c r="K13" i="72"/>
  <c r="B36" i="72"/>
  <c r="B36" i="71"/>
  <c r="I72" i="76"/>
  <c r="I72" i="75"/>
  <c r="I72" i="73"/>
  <c r="I72" i="71"/>
  <c r="F36" i="72" l="1"/>
  <c r="E15" i="72"/>
  <c r="K14" i="72"/>
  <c r="H36" i="72"/>
  <c r="B37" i="72"/>
  <c r="B37" i="71"/>
  <c r="I73" i="76"/>
  <c r="I73" i="75"/>
  <c r="I73" i="73"/>
  <c r="I73" i="71"/>
  <c r="E16" i="72" l="1"/>
  <c r="K15" i="72"/>
  <c r="F37" i="72"/>
  <c r="H37" i="72"/>
  <c r="I74" i="76"/>
  <c r="I74" i="75"/>
  <c r="I74" i="73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I74" i="71"/>
  <c r="F19" i="71" l="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E13" i="73"/>
  <c r="E14" i="73" s="1"/>
  <c r="F25" i="75"/>
  <c r="F26" i="75" s="1"/>
  <c r="F27" i="75" s="1"/>
  <c r="E17" i="72"/>
  <c r="K16" i="72"/>
  <c r="H37" i="73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H24" i="76" l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F26" i="79"/>
  <c r="G26" i="79" s="1"/>
  <c r="I26" i="79" s="1"/>
  <c r="K13" i="73"/>
  <c r="H25" i="75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H37" i="75" s="1"/>
  <c r="E14" i="71"/>
  <c r="K13" i="71"/>
  <c r="F24" i="73"/>
  <c r="F23" i="76"/>
  <c r="F28" i="75"/>
  <c r="F27" i="79"/>
  <c r="E18" i="72"/>
  <c r="K17" i="72"/>
  <c r="E15" i="73"/>
  <c r="K14" i="73"/>
  <c r="F37" i="71"/>
  <c r="K26" i="79" l="1"/>
  <c r="J26" i="79"/>
  <c r="M19" i="77"/>
  <c r="E19" i="72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E15" i="71"/>
  <c r="K14" i="71"/>
  <c r="G27" i="79"/>
  <c r="I27" i="79" s="1"/>
  <c r="K27" i="79"/>
  <c r="E16" i="73"/>
  <c r="K15" i="73"/>
  <c r="F29" i="75"/>
  <c r="F28" i="79"/>
  <c r="F25" i="73"/>
  <c r="F24" i="76"/>
  <c r="F26" i="73" l="1"/>
  <c r="F25" i="76"/>
  <c r="E17" i="73"/>
  <c r="K16" i="73"/>
  <c r="E16" i="71"/>
  <c r="K15" i="71"/>
  <c r="G28" i="79"/>
  <c r="I28" i="79" s="1"/>
  <c r="K28" i="79"/>
  <c r="F30" i="75"/>
  <c r="F29" i="79"/>
  <c r="J27" i="79"/>
  <c r="M20" i="77"/>
  <c r="J28" i="79" l="1"/>
  <c r="M21" i="77"/>
  <c r="K17" i="73"/>
  <c r="E18" i="73"/>
  <c r="G29" i="79"/>
  <c r="I29" i="79" s="1"/>
  <c r="K29" i="79"/>
  <c r="F31" i="75"/>
  <c r="F30" i="79"/>
  <c r="E17" i="71"/>
  <c r="K16" i="71"/>
  <c r="F27" i="73"/>
  <c r="F26" i="76"/>
  <c r="E18" i="71" l="1"/>
  <c r="K17" i="71"/>
  <c r="J29" i="79"/>
  <c r="M22" i="77"/>
  <c r="K30" i="79"/>
  <c r="G30" i="79"/>
  <c r="I30" i="79" s="1"/>
  <c r="E19" i="73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F28" i="73"/>
  <c r="F27" i="76"/>
  <c r="F32" i="75"/>
  <c r="F31" i="79"/>
  <c r="F29" i="73" l="1"/>
  <c r="F28" i="76"/>
  <c r="J30" i="79"/>
  <c r="M23" i="77"/>
  <c r="G31" i="79"/>
  <c r="I31" i="79" s="1"/>
  <c r="K31" i="79"/>
  <c r="F33" i="75"/>
  <c r="F32" i="79"/>
  <c r="E19" i="7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J31" i="79" l="1"/>
  <c r="M24" i="77"/>
  <c r="F34" i="75"/>
  <c r="F33" i="79"/>
  <c r="G32" i="79"/>
  <c r="I32" i="79" s="1"/>
  <c r="K32" i="79"/>
  <c r="F30" i="73"/>
  <c r="F29" i="76"/>
  <c r="F35" i="75" l="1"/>
  <c r="F34" i="79"/>
  <c r="J32" i="79"/>
  <c r="M25" i="77"/>
  <c r="F31" i="73"/>
  <c r="F30" i="76"/>
  <c r="G33" i="79"/>
  <c r="I33" i="79" s="1"/>
  <c r="J33" i="79" s="1"/>
  <c r="K33" i="79"/>
  <c r="F36" i="75" l="1"/>
  <c r="F35" i="79"/>
  <c r="F32" i="73"/>
  <c r="F31" i="76"/>
  <c r="G34" i="79"/>
  <c r="I34" i="79" s="1"/>
  <c r="J34" i="79" s="1"/>
  <c r="K34" i="79"/>
  <c r="F33" i="73" l="1"/>
  <c r="F32" i="76"/>
  <c r="G35" i="79"/>
  <c r="I35" i="79" s="1"/>
  <c r="J35" i="79" s="1"/>
  <c r="K35" i="79"/>
  <c r="F36" i="79"/>
  <c r="F37" i="75"/>
  <c r="F37" i="79" s="1"/>
  <c r="G36" i="79" l="1"/>
  <c r="I36" i="79" s="1"/>
  <c r="J36" i="79" s="1"/>
  <c r="K36" i="79"/>
  <c r="K37" i="79"/>
  <c r="G37" i="79"/>
  <c r="I37" i="79" s="1"/>
  <c r="J37" i="79" s="1"/>
  <c r="F34" i="73"/>
  <c r="F33" i="76"/>
  <c r="D24" i="75"/>
  <c r="D23" i="76"/>
  <c r="F35" i="73" l="1"/>
  <c r="F34" i="76"/>
  <c r="D24" i="76"/>
  <c r="D46" i="76"/>
  <c r="D46" i="75"/>
  <c r="D46" i="73"/>
  <c r="D18" i="73"/>
  <c r="D46" i="71"/>
  <c r="G18" i="73" l="1"/>
  <c r="I18" i="73" s="1"/>
  <c r="K18" i="73"/>
  <c r="D25" i="76"/>
  <c r="F36" i="73"/>
  <c r="F35" i="76"/>
  <c r="D11" i="77"/>
  <c r="D19" i="73"/>
  <c r="D18" i="71"/>
  <c r="K18" i="71" s="1"/>
  <c r="D46" i="72"/>
  <c r="D18" i="72"/>
  <c r="K18" i="72" l="1"/>
  <c r="G18" i="72"/>
  <c r="I18" i="72" s="1"/>
  <c r="K19" i="73"/>
  <c r="G19" i="73"/>
  <c r="I19" i="73" s="1"/>
  <c r="D12" i="77" s="1"/>
  <c r="F37" i="73"/>
  <c r="F37" i="76" s="1"/>
  <c r="F36" i="76"/>
  <c r="G18" i="71"/>
  <c r="I18" i="71" s="1"/>
  <c r="D26" i="76"/>
  <c r="D19" i="71"/>
  <c r="K19" i="71" s="1"/>
  <c r="D20" i="73"/>
  <c r="J18" i="73"/>
  <c r="D19" i="72"/>
  <c r="E11" i="77"/>
  <c r="K19" i="72" l="1"/>
  <c r="G19" i="72"/>
  <c r="I19" i="72" s="1"/>
  <c r="K20" i="73"/>
  <c r="G20" i="73"/>
  <c r="I20" i="73" s="1"/>
  <c r="D13" i="77" s="1"/>
  <c r="J18" i="71"/>
  <c r="G11" i="77"/>
  <c r="D20" i="71"/>
  <c r="G19" i="71"/>
  <c r="I19" i="71" s="1"/>
  <c r="D27" i="76"/>
  <c r="D21" i="73"/>
  <c r="J19" i="73"/>
  <c r="J18" i="72"/>
  <c r="D20" i="72"/>
  <c r="E12" i="77"/>
  <c r="G20" i="71" l="1"/>
  <c r="I20" i="71" s="1"/>
  <c r="K20" i="71"/>
  <c r="K21" i="73"/>
  <c r="G21" i="73"/>
  <c r="I21" i="73" s="1"/>
  <c r="D14" i="77" s="1"/>
  <c r="K20" i="72"/>
  <c r="G20" i="72"/>
  <c r="I20" i="72" s="1"/>
  <c r="E13" i="77" s="1"/>
  <c r="D21" i="71"/>
  <c r="D22" i="71" s="1"/>
  <c r="D28" i="76"/>
  <c r="J20" i="73"/>
  <c r="D22" i="73"/>
  <c r="J19" i="72"/>
  <c r="D21" i="72"/>
  <c r="J20" i="71" l="1"/>
  <c r="G13" i="77"/>
  <c r="K21" i="72"/>
  <c r="G21" i="72"/>
  <c r="I21" i="72" s="1"/>
  <c r="E14" i="77" s="1"/>
  <c r="G21" i="71"/>
  <c r="I21" i="71" s="1"/>
  <c r="G14" i="77" s="1"/>
  <c r="K21" i="71"/>
  <c r="G22" i="71"/>
  <c r="I22" i="71" s="1"/>
  <c r="K22" i="71"/>
  <c r="K22" i="73"/>
  <c r="G22" i="73"/>
  <c r="I22" i="73" s="1"/>
  <c r="D15" i="77" s="1"/>
  <c r="J19" i="71"/>
  <c r="G12" i="77"/>
  <c r="D29" i="76"/>
  <c r="J21" i="73"/>
  <c r="D23" i="73"/>
  <c r="J20" i="72"/>
  <c r="D22" i="72"/>
  <c r="D23" i="71"/>
  <c r="J21" i="71" l="1"/>
  <c r="K23" i="73"/>
  <c r="G23" i="73"/>
  <c r="I23" i="73" s="1"/>
  <c r="D16" i="77" s="1"/>
  <c r="K22" i="72"/>
  <c r="G22" i="72"/>
  <c r="I22" i="72" s="1"/>
  <c r="E15" i="77" s="1"/>
  <c r="G23" i="71"/>
  <c r="I23" i="71" s="1"/>
  <c r="K23" i="71"/>
  <c r="G15" i="77"/>
  <c r="D30" i="76"/>
  <c r="D24" i="73"/>
  <c r="J22" i="73"/>
  <c r="J21" i="72"/>
  <c r="D23" i="72"/>
  <c r="D24" i="71"/>
  <c r="J22" i="71"/>
  <c r="K24" i="73" l="1"/>
  <c r="G24" i="73"/>
  <c r="I24" i="73" s="1"/>
  <c r="D17" i="77" s="1"/>
  <c r="K23" i="72"/>
  <c r="G23" i="72"/>
  <c r="I23" i="72" s="1"/>
  <c r="E16" i="77" s="1"/>
  <c r="G24" i="71"/>
  <c r="I24" i="71" s="1"/>
  <c r="K24" i="71"/>
  <c r="G16" i="77"/>
  <c r="D31" i="76"/>
  <c r="D25" i="75"/>
  <c r="J23" i="73"/>
  <c r="D25" i="73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5" i="72"/>
  <c r="G25" i="72"/>
  <c r="I25" i="72" s="1"/>
  <c r="E18" i="77" s="1"/>
  <c r="K26" i="73"/>
  <c r="G26" i="73"/>
  <c r="I26" i="73" s="1"/>
  <c r="D19" i="77" s="1"/>
  <c r="D33" i="76"/>
  <c r="G18" i="77"/>
  <c r="D27" i="75"/>
  <c r="J25" i="73"/>
  <c r="D27" i="73"/>
  <c r="D26" i="72"/>
  <c r="J24" i="72"/>
  <c r="J25" i="71"/>
  <c r="D27" i="71"/>
  <c r="G27" i="71" l="1"/>
  <c r="I27" i="71" s="1"/>
  <c r="K27" i="71"/>
  <c r="D34" i="76"/>
  <c r="K26" i="72"/>
  <c r="G26" i="72"/>
  <c r="I26" i="72" s="1"/>
  <c r="E19" i="77" s="1"/>
  <c r="K27" i="73"/>
  <c r="G27" i="73"/>
  <c r="I27" i="73" s="1"/>
  <c r="D20" i="77" s="1"/>
  <c r="G19" i="77"/>
  <c r="D28" i="75"/>
  <c r="D28" i="73"/>
  <c r="J26" i="73"/>
  <c r="J25" i="72"/>
  <c r="D27" i="72"/>
  <c r="D28" i="71"/>
  <c r="J26" i="71"/>
  <c r="K27" i="72" l="1"/>
  <c r="G27" i="72"/>
  <c r="I27" i="72" s="1"/>
  <c r="G28" i="71"/>
  <c r="I28" i="71" s="1"/>
  <c r="K28" i="71"/>
  <c r="K28" i="73"/>
  <c r="G28" i="73"/>
  <c r="I28" i="73" s="1"/>
  <c r="D21" i="77" s="1"/>
  <c r="D35" i="76"/>
  <c r="G20" i="77"/>
  <c r="D29" i="75"/>
  <c r="J27" i="73"/>
  <c r="D29" i="73"/>
  <c r="D28" i="72"/>
  <c r="E20" i="77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22" i="77" s="1"/>
  <c r="D36" i="76"/>
  <c r="G21" i="77"/>
  <c r="D30" i="75"/>
  <c r="J28" i="73"/>
  <c r="D30" i="73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D37" i="76"/>
  <c r="G22" i="77"/>
  <c r="D31" i="75"/>
  <c r="J29" i="73"/>
  <c r="D31" i="73"/>
  <c r="D30" i="72"/>
  <c r="J28" i="72"/>
  <c r="J29" i="71"/>
  <c r="D31" i="71"/>
  <c r="G31" i="71" l="1"/>
  <c r="I31" i="71" s="1"/>
  <c r="K31" i="71"/>
  <c r="K30" i="72"/>
  <c r="G30" i="72"/>
  <c r="I30" i="72" s="1"/>
  <c r="E23" i="77" s="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K32" i="73" l="1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E24" i="77" s="1"/>
  <c r="G32" i="71"/>
  <c r="I32" i="71" s="1"/>
  <c r="K32" i="71"/>
  <c r="D33" i="75"/>
  <c r="D34" i="75" s="1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J30" i="72"/>
  <c r="J31" i="71"/>
  <c r="K32" i="72" l="1"/>
  <c r="G32" i="72"/>
  <c r="I32" i="72" s="1"/>
  <c r="K33" i="73"/>
  <c r="G33" i="73"/>
  <c r="I33" i="73" s="1"/>
  <c r="G33" i="71"/>
  <c r="I33" i="71" s="1"/>
  <c r="K33" i="71"/>
  <c r="J32" i="73"/>
  <c r="J32" i="71"/>
  <c r="D35" i="75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G35" i="71" l="1"/>
  <c r="I35" i="71" s="1"/>
  <c r="K35" i="71"/>
  <c r="K34" i="72"/>
  <c r="G34" i="72"/>
  <c r="I34" i="72" s="1"/>
  <c r="K35" i="73"/>
  <c r="G35" i="73"/>
  <c r="I35" i="73" s="1"/>
  <c r="D37" i="75"/>
  <c r="D36" i="73"/>
  <c r="J34" i="73"/>
  <c r="J33" i="72"/>
  <c r="D35" i="72"/>
  <c r="J34" i="71"/>
  <c r="D36" i="71"/>
  <c r="G36" i="71" l="1"/>
  <c r="I36" i="71" s="1"/>
  <c r="K36" i="71"/>
  <c r="K35" i="72"/>
  <c r="G35" i="72"/>
  <c r="I35" i="72" s="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6" l="1"/>
  <c r="I31" i="76" s="1"/>
  <c r="K31" i="76"/>
  <c r="G24" i="76"/>
  <c r="I24" i="76" s="1"/>
  <c r="K24" i="76"/>
  <c r="G30" i="75"/>
  <c r="I30" i="75" s="1"/>
  <c r="K30" i="75"/>
  <c r="G28" i="75"/>
  <c r="I28" i="75" s="1"/>
  <c r="C21" i="77" s="1"/>
  <c r="K28" i="75"/>
  <c r="G25" i="75"/>
  <c r="I25" i="75" s="1"/>
  <c r="K25" i="75"/>
  <c r="G31" i="75"/>
  <c r="I31" i="75" s="1"/>
  <c r="C24" i="77" s="1"/>
  <c r="K31" i="75"/>
  <c r="G24" i="75"/>
  <c r="I24" i="75" s="1"/>
  <c r="C17" i="77" s="1"/>
  <c r="K24" i="75"/>
  <c r="G23" i="76"/>
  <c r="I23" i="76" s="1"/>
  <c r="K23" i="76"/>
  <c r="G29" i="75"/>
  <c r="I29" i="75" s="1"/>
  <c r="K29" i="75"/>
  <c r="G26" i="75"/>
  <c r="I26" i="75" s="1"/>
  <c r="C19" i="77" s="1"/>
  <c r="K26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G29" i="76"/>
  <c r="I29" i="76" s="1"/>
  <c r="K29" i="76"/>
  <c r="G30" i="76"/>
  <c r="I30" i="76" s="1"/>
  <c r="K30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G32" i="76"/>
  <c r="I32" i="76" s="1"/>
  <c r="C22" i="77"/>
  <c r="C18" i="77"/>
  <c r="C23" i="77"/>
  <c r="G33" i="76" l="1"/>
  <c r="I33" i="76" s="1"/>
  <c r="J33" i="76" s="1"/>
  <c r="K33" i="76"/>
  <c r="E34" i="76"/>
  <c r="E35" i="76" s="1"/>
  <c r="G33" i="75"/>
  <c r="K33" i="75"/>
  <c r="E34" i="75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I33" i="75" l="1"/>
  <c r="J33" i="75" s="1"/>
  <c r="G35" i="76"/>
  <c r="I35" i="76" s="1"/>
  <c r="K35" i="76"/>
  <c r="G34" i="76"/>
  <c r="I34" i="76" s="1"/>
  <c r="J34" i="76" s="1"/>
  <c r="K34" i="76"/>
  <c r="G34" i="75"/>
  <c r="I34" i="75" s="1"/>
  <c r="J34" i="75" s="1"/>
  <c r="K34" i="75"/>
  <c r="E35" i="75"/>
  <c r="E36" i="76"/>
  <c r="J35" i="76"/>
  <c r="L50" i="77"/>
  <c r="G36" i="76" l="1"/>
  <c r="I36" i="76" s="1"/>
  <c r="J36" i="76" s="1"/>
  <c r="K36" i="76"/>
  <c r="G35" i="75"/>
  <c r="K35" i="75"/>
  <c r="E36" i="75"/>
  <c r="E37" i="76"/>
  <c r="H12" i="70"/>
  <c r="E12" i="70"/>
  <c r="K12" i="70" s="1"/>
  <c r="D47" i="70"/>
  <c r="C67" i="70"/>
  <c r="C68" i="70" s="1"/>
  <c r="T57" i="70"/>
  <c r="Q57" i="70"/>
  <c r="T56" i="70"/>
  <c r="T55" i="70"/>
  <c r="D49" i="70"/>
  <c r="C49" i="70"/>
  <c r="C48" i="70"/>
  <c r="C47" i="70"/>
  <c r="C46" i="70"/>
  <c r="C45" i="70"/>
  <c r="B11" i="70"/>
  <c r="B12" i="70" s="1"/>
  <c r="I35" i="75" l="1"/>
  <c r="J35" i="75" s="1"/>
  <c r="G37" i="76"/>
  <c r="I37" i="76" s="1"/>
  <c r="J37" i="76" s="1"/>
  <c r="K37" i="76"/>
  <c r="G36" i="75"/>
  <c r="K36" i="75"/>
  <c r="E37" i="75"/>
  <c r="B3" i="70"/>
  <c r="C52" i="70" s="1"/>
  <c r="B9" i="70" s="1"/>
  <c r="B13" i="70"/>
  <c r="C69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0" i="70"/>
  <c r="B19" i="70" l="1"/>
  <c r="C71" i="70"/>
  <c r="C72" i="70" l="1"/>
  <c r="B20" i="70"/>
  <c r="C73" i="70" l="1"/>
  <c r="B21" i="70"/>
  <c r="D48" i="68"/>
  <c r="D9" i="28"/>
  <c r="B22" i="70" l="1"/>
  <c r="C74" i="70"/>
  <c r="C82" i="68"/>
  <c r="C83" i="68" s="1"/>
  <c r="F66" i="70" l="1"/>
  <c r="B23" i="70"/>
  <c r="C84" i="68"/>
  <c r="F67" i="70" l="1"/>
  <c r="B24" i="70"/>
  <c r="C85" i="68"/>
  <c r="B25" i="70" l="1"/>
  <c r="F68" i="70"/>
  <c r="C86" i="68"/>
  <c r="F69" i="70" l="1"/>
  <c r="B26" i="70"/>
  <c r="C87" i="68"/>
  <c r="B27" i="70" l="1"/>
  <c r="F70" i="70"/>
  <c r="C88" i="68"/>
  <c r="F71" i="70" l="1"/>
  <c r="B28" i="70"/>
  <c r="C89" i="68"/>
  <c r="B29" i="70" l="1"/>
  <c r="F72" i="70"/>
  <c r="F81" i="68"/>
  <c r="F73" i="70" l="1"/>
  <c r="B30" i="70"/>
  <c r="F82" i="68"/>
  <c r="B31" i="70" l="1"/>
  <c r="F74" i="70"/>
  <c r="F83" i="68"/>
  <c r="I66" i="70" l="1"/>
  <c r="B32" i="70"/>
  <c r="F84" i="68"/>
  <c r="B33" i="70" l="1"/>
  <c r="I67" i="70"/>
  <c r="F85" i="68"/>
  <c r="B34" i="70" l="1"/>
  <c r="I68" i="70"/>
  <c r="F86" i="68"/>
  <c r="B35" i="70" l="1"/>
  <c r="I69" i="70"/>
  <c r="F87" i="68"/>
  <c r="B36" i="70" l="1"/>
  <c r="I70" i="70"/>
  <c r="F88" i="68"/>
  <c r="B37" i="70" l="1"/>
  <c r="I71" i="70"/>
  <c r="F89" i="68"/>
  <c r="I72" i="70" l="1"/>
  <c r="I81" i="68"/>
  <c r="I73" i="70" l="1"/>
  <c r="I82" i="68"/>
  <c r="I74" i="70" l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F19" i="70" l="1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E14" i="70"/>
  <c r="K13" i="70"/>
  <c r="I84" i="68"/>
  <c r="E15" i="70" l="1"/>
  <c r="K14" i="70"/>
  <c r="H37" i="70"/>
  <c r="I85" i="68"/>
  <c r="E16" i="70" l="1"/>
  <c r="K15" i="70"/>
  <c r="I86" i="68"/>
  <c r="E17" i="70" l="1"/>
  <c r="K16" i="70"/>
  <c r="I87" i="68"/>
  <c r="K17" i="70" l="1"/>
  <c r="E18" i="70"/>
  <c r="I88" i="68"/>
  <c r="E19" i="70" l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I89" i="68"/>
  <c r="D45" i="68" l="1"/>
  <c r="J61" i="68"/>
  <c r="C71" i="68"/>
  <c r="I56" i="68" s="1"/>
  <c r="H56" i="68"/>
  <c r="K62" i="68"/>
  <c r="J62" i="68"/>
  <c r="G62" i="68"/>
  <c r="H62" i="68" s="1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B17" i="68" l="1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F17" i="68" s="1"/>
  <c r="G57" i="68"/>
  <c r="G58" i="68" s="1"/>
  <c r="F18" i="68" l="1"/>
  <c r="B21" i="68"/>
  <c r="D49" i="68"/>
  <c r="F19" i="68" l="1"/>
  <c r="B22" i="68"/>
  <c r="F20" i="68" l="1"/>
  <c r="B23" i="68"/>
  <c r="F21" i="68" l="1"/>
  <c r="B24" i="68"/>
  <c r="F22" i="68" l="1"/>
  <c r="B25" i="68"/>
  <c r="E25" i="68"/>
  <c r="F23" i="68" l="1"/>
  <c r="B26" i="68"/>
  <c r="E26" i="68" s="1"/>
  <c r="D24" i="68"/>
  <c r="D25" i="68" s="1"/>
  <c r="F24" i="68" l="1"/>
  <c r="B27" i="68"/>
  <c r="E27" i="68" s="1"/>
  <c r="D26" i="68"/>
  <c r="B28" i="68" l="1"/>
  <c r="E28" i="68" s="1"/>
  <c r="F25" i="68"/>
  <c r="G24" i="68"/>
  <c r="H24" i="68" s="1"/>
  <c r="D27" i="68"/>
  <c r="F26" i="68" l="1"/>
  <c r="L24" i="68"/>
  <c r="B29" i="68"/>
  <c r="E29" i="68" s="1"/>
  <c r="G25" i="68"/>
  <c r="H25" i="68" s="1"/>
  <c r="D28" i="68"/>
  <c r="L25" i="68" l="1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F30" i="68" l="1"/>
  <c r="L28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F32" i="68" l="1"/>
  <c r="L30" i="68"/>
  <c r="B35" i="68"/>
  <c r="E35" i="68" s="1"/>
  <c r="G31" i="68"/>
  <c r="H31" i="68" s="1"/>
  <c r="D34" i="68"/>
  <c r="F33" i="68" l="1"/>
  <c r="L31" i="68"/>
  <c r="B36" i="68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6" i="70"/>
  <c r="D18" i="70"/>
  <c r="K18" i="70" l="1"/>
  <c r="G18" i="70"/>
  <c r="I18" i="70" s="1"/>
  <c r="E40" i="68"/>
  <c r="L36" i="68"/>
  <c r="F38" i="68"/>
  <c r="G37" i="68"/>
  <c r="H37" i="68" s="1"/>
  <c r="F11" i="77"/>
  <c r="D19" i="70"/>
  <c r="L37" i="68" l="1"/>
  <c r="F39" i="68"/>
  <c r="G38" i="68"/>
  <c r="H38" i="68" s="1"/>
  <c r="K19" i="70"/>
  <c r="G19" i="70"/>
  <c r="I19" i="70" s="1"/>
  <c r="F12" i="77" s="1"/>
  <c r="D20" i="70"/>
  <c r="J18" i="70"/>
  <c r="L38" i="68" l="1"/>
  <c r="F40" i="68"/>
  <c r="G39" i="68"/>
  <c r="H39" i="68" s="1"/>
  <c r="K20" i="70"/>
  <c r="G20" i="70"/>
  <c r="I20" i="70" s="1"/>
  <c r="F13" i="77" s="1"/>
  <c r="D21" i="70"/>
  <c r="J19" i="70"/>
  <c r="K21" i="70" l="1"/>
  <c r="G21" i="70"/>
  <c r="I21" i="70" s="1"/>
  <c r="F14" i="77" s="1"/>
  <c r="L39" i="68"/>
  <c r="G40" i="68"/>
  <c r="H40" i="68" s="1"/>
  <c r="D22" i="70"/>
  <c r="J20" i="70"/>
  <c r="K22" i="70" l="1"/>
  <c r="G22" i="70"/>
  <c r="I22" i="70" s="1"/>
  <c r="F15" i="77" s="1"/>
  <c r="L40" i="68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J23" i="70"/>
  <c r="F17" i="77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D30" i="70"/>
  <c r="F22" i="77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J35" i="70"/>
  <c r="K37" i="70" l="1"/>
  <c r="G37" i="70"/>
  <c r="I37" i="70" s="1"/>
  <c r="J37" i="70" s="1"/>
  <c r="E12" i="67" l="1"/>
  <c r="K12" i="67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I74" i="67"/>
  <c r="F37" i="67" l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G18" i="67" l="1"/>
  <c r="K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B38" i="25" l="1"/>
  <c r="R6" i="31"/>
  <c r="A37" i="25"/>
  <c r="C43" i="47" l="1"/>
  <c r="C65" i="80"/>
  <c r="C65" i="79"/>
  <c r="C65" i="78"/>
  <c r="C65" i="73"/>
  <c r="C65" i="71"/>
  <c r="C65" i="76"/>
  <c r="C65" i="75"/>
  <c r="C65" i="72"/>
  <c r="C65" i="70"/>
  <c r="C80" i="68"/>
  <c r="C65" i="67"/>
  <c r="CJ9" i="25" l="1"/>
  <c r="CE9" i="25"/>
  <c r="AT9" i="25"/>
  <c r="AO9" i="25"/>
  <c r="CT9" i="25" l="1"/>
  <c r="CS9" i="25"/>
  <c r="CR9" i="25"/>
  <c r="CQ9" i="25"/>
  <c r="CP9" i="25"/>
  <c r="CO9" i="25"/>
  <c r="CN9" i="25"/>
  <c r="CM9" i="25"/>
  <c r="CL9" i="25"/>
  <c r="CK9" i="25"/>
  <c r="AZ9" i="25"/>
  <c r="AY9" i="25"/>
  <c r="AX9" i="25"/>
  <c r="AW9" i="25"/>
  <c r="AV9" i="25"/>
  <c r="CI9" i="25" l="1"/>
  <c r="CH9" i="25"/>
  <c r="CG9" i="25"/>
  <c r="CF9" i="25"/>
  <c r="CD9" i="25"/>
  <c r="CC9" i="25"/>
  <c r="CB9" i="25"/>
  <c r="CA9" i="25"/>
  <c r="AU9" i="25"/>
  <c r="AS9" i="25"/>
  <c r="AR9" i="25"/>
  <c r="AQ9" i="25"/>
  <c r="AP9" i="25"/>
  <c r="AN9" i="25"/>
  <c r="AM9" i="25"/>
  <c r="AL9" i="25"/>
  <c r="AK9" i="25"/>
  <c r="B11" i="43" l="1"/>
  <c r="B12" i="43" s="1"/>
  <c r="B13" i="43" l="1"/>
  <c r="B11" i="47" l="1"/>
  <c r="BH11" i="47" l="1"/>
  <c r="BC11" i="47"/>
  <c r="AS11" i="47"/>
  <c r="AX11" i="47"/>
  <c r="O11" i="47"/>
  <c r="J11" i="47"/>
  <c r="B12" i="47"/>
  <c r="BC12" i="47" l="1"/>
  <c r="AS12" i="47"/>
  <c r="AX12" i="47"/>
  <c r="O12" i="47"/>
  <c r="B13" i="47"/>
  <c r="E10" i="47"/>
  <c r="BC13" i="47" l="1"/>
  <c r="O13" i="47"/>
  <c r="AX13" i="47"/>
  <c r="AS13" i="47"/>
  <c r="B14" i="47"/>
  <c r="BC14" i="47" l="1"/>
  <c r="AX14" i="47"/>
  <c r="O14" i="47"/>
  <c r="AS14" i="47"/>
  <c r="B15" i="47"/>
  <c r="BC15" i="47" l="1"/>
  <c r="AX15" i="47"/>
  <c r="O15" i="47"/>
  <c r="AS15" i="47"/>
  <c r="B16" i="47"/>
  <c r="C10" i="25"/>
  <c r="BC16" i="47" l="1"/>
  <c r="AX16" i="47"/>
  <c r="O16" i="47"/>
  <c r="AS16" i="47"/>
  <c r="B17" i="47"/>
  <c r="B18" i="47" l="1"/>
  <c r="AX17" i="47"/>
  <c r="AS17" i="47"/>
  <c r="O17" i="47"/>
  <c r="F44" i="47"/>
  <c r="B19" i="47" l="1"/>
  <c r="AX18" i="47"/>
  <c r="AS18" i="47"/>
  <c r="AI11" i="47"/>
  <c r="F45" i="47"/>
  <c r="B20" i="47" l="1"/>
  <c r="AS19" i="47"/>
  <c r="AX19" i="47"/>
  <c r="AN11" i="47"/>
  <c r="AI12" i="47"/>
  <c r="Y11" i="47"/>
  <c r="F46" i="47"/>
  <c r="D46" i="43"/>
  <c r="C67" i="43"/>
  <c r="C49" i="43"/>
  <c r="C48" i="43"/>
  <c r="C47" i="43"/>
  <c r="C46" i="43"/>
  <c r="C45" i="43"/>
  <c r="B21" i="47" l="1"/>
  <c r="AX20" i="47"/>
  <c r="AS20" i="47"/>
  <c r="AN12" i="47"/>
  <c r="AI13" i="47"/>
  <c r="J12" i="47"/>
  <c r="C68" i="43"/>
  <c r="F47" i="47"/>
  <c r="D47" i="43"/>
  <c r="B3" i="43"/>
  <c r="C52" i="43" s="1"/>
  <c r="B9" i="43" s="1"/>
  <c r="C69" i="43" l="1"/>
  <c r="B22" i="47"/>
  <c r="AX21" i="47"/>
  <c r="AN13" i="47"/>
  <c r="AI14" i="47"/>
  <c r="J13" i="47"/>
  <c r="F48" i="47"/>
  <c r="C70" i="43"/>
  <c r="B23" i="47" l="1"/>
  <c r="AX22" i="47"/>
  <c r="AN14" i="47"/>
  <c r="AI15" i="47"/>
  <c r="J14" i="47"/>
  <c r="F49" i="47"/>
  <c r="C71" i="43"/>
  <c r="B14" i="43"/>
  <c r="B24" i="47" l="1"/>
  <c r="AX23" i="47"/>
  <c r="AN15" i="47"/>
  <c r="AI16" i="47"/>
  <c r="J15" i="47"/>
  <c r="F50" i="47"/>
  <c r="B15" i="43"/>
  <c r="C72" i="43"/>
  <c r="B25" i="47" l="1"/>
  <c r="AX24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M24" i="47" l="1"/>
  <c r="B28" i="47"/>
  <c r="O20" i="47"/>
  <c r="AN19" i="47"/>
  <c r="I45" i="47"/>
  <c r="F67" i="43"/>
  <c r="B19" i="43"/>
  <c r="AV25" i="47" l="1"/>
  <c r="M25" i="47"/>
  <c r="B29" i="47"/>
  <c r="AS21" i="47"/>
  <c r="O21" i="47"/>
  <c r="AN20" i="47"/>
  <c r="I46" i="47"/>
  <c r="F68" i="43"/>
  <c r="B20" i="43"/>
  <c r="AQ25" i="47" l="1"/>
  <c r="AV26" i="47"/>
  <c r="B30" i="47"/>
  <c r="AS22" i="47"/>
  <c r="O22" i="47"/>
  <c r="I47" i="47"/>
  <c r="B21" i="43"/>
  <c r="F69" i="43"/>
  <c r="AQ26" i="47" l="1"/>
  <c r="AV27" i="47"/>
  <c r="M26" i="47"/>
  <c r="B31" i="47"/>
  <c r="AS23" i="47"/>
  <c r="O23" i="47"/>
  <c r="I48" i="47"/>
  <c r="F70" i="43"/>
  <c r="B22" i="43"/>
  <c r="M27" i="47" l="1"/>
  <c r="AQ27" i="47"/>
  <c r="AV28" i="47"/>
  <c r="B32" i="47"/>
  <c r="I49" i="47"/>
  <c r="B23" i="43"/>
  <c r="F71" i="43"/>
  <c r="AQ28" i="47" l="1"/>
  <c r="AQ29" i="47" s="1"/>
  <c r="AV29" i="47"/>
  <c r="M28" i="47"/>
  <c r="M29" i="47" s="1"/>
  <c r="AS24" i="47"/>
  <c r="I50" i="47"/>
  <c r="B24" i="43"/>
  <c r="F72" i="43"/>
  <c r="AQ30" i="47" l="1"/>
  <c r="M30" i="47"/>
  <c r="AV30" i="47"/>
  <c r="I51" i="47"/>
  <c r="B25" i="43"/>
  <c r="F73" i="43"/>
  <c r="AV31" i="47" l="1"/>
  <c r="AX31" i="47" s="1"/>
  <c r="M31" i="47"/>
  <c r="AQ31" i="47"/>
  <c r="I52" i="47"/>
  <c r="F74" i="43"/>
  <c r="B26" i="43"/>
  <c r="AS31" i="47" l="1"/>
  <c r="M32" i="47"/>
  <c r="H18" i="47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W32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R32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V32" i="47"/>
  <c r="AX32" i="47" s="1"/>
  <c r="O24" i="47"/>
  <c r="E11" i="47"/>
  <c r="I66" i="43"/>
  <c r="B27" i="43"/>
  <c r="AI18" i="47" l="1"/>
  <c r="BA32" i="47"/>
  <c r="BC32" i="47" s="1"/>
  <c r="BC31" i="47"/>
  <c r="BF32" i="47"/>
  <c r="BH32" i="47" s="1"/>
  <c r="BH31" i="47"/>
  <c r="AL32" i="47"/>
  <c r="AN32" i="47" s="1"/>
  <c r="AN31" i="47"/>
  <c r="AB32" i="47"/>
  <c r="AD32" i="47" s="1"/>
  <c r="AD31" i="47"/>
  <c r="AI31" i="47"/>
  <c r="AG32" i="47"/>
  <c r="AI32" i="47" s="1"/>
  <c r="AQ32" i="47"/>
  <c r="AS32" i="47" s="1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I19" i="43" l="1"/>
  <c r="I20" i="43" s="1"/>
  <c r="I21" i="43" s="1"/>
  <c r="I22" i="43" s="1"/>
  <c r="I23" i="43" s="1"/>
  <c r="I24" i="43" s="1"/>
  <c r="I25" i="43" s="1"/>
  <c r="I26" i="43" s="1"/>
  <c r="I27" i="43" s="1"/>
  <c r="F19" i="43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65" i="25" l="1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" i="31"/>
  <c r="I14" i="31"/>
  <c r="K9" i="31"/>
  <c r="I253" i="31" l="1"/>
  <c r="I134" i="31"/>
  <c r="I145" i="31"/>
  <c r="I26" i="31"/>
  <c r="I15" i="31"/>
  <c r="I37" i="31"/>
  <c r="I265" i="31" l="1"/>
  <c r="I254" i="31"/>
  <c r="I157" i="31"/>
  <c r="I49" i="31"/>
  <c r="I146" i="31"/>
  <c r="I38" i="31"/>
  <c r="I135" i="31"/>
  <c r="I27" i="31"/>
  <c r="I16" i="31"/>
  <c r="I255" i="31" l="1"/>
  <c r="I266" i="31"/>
  <c r="I147" i="31"/>
  <c r="I39" i="31"/>
  <c r="I169" i="31"/>
  <c r="I61" i="31"/>
  <c r="I136" i="31"/>
  <c r="I17" i="31"/>
  <c r="I28" i="31"/>
  <c r="I158" i="31"/>
  <c r="I50" i="31"/>
  <c r="I256" i="31" l="1"/>
  <c r="I267" i="31"/>
  <c r="I170" i="31"/>
  <c r="I62" i="31"/>
  <c r="I148" i="31"/>
  <c r="I40" i="31"/>
  <c r="I159" i="31"/>
  <c r="I51" i="31"/>
  <c r="I137" i="31"/>
  <c r="I29" i="31"/>
  <c r="I18" i="31"/>
  <c r="I181" i="31"/>
  <c r="I73" i="31"/>
  <c r="I257" i="31" l="1"/>
  <c r="I268" i="31"/>
  <c r="I193" i="3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205" i="31" l="1"/>
  <c r="I258" i="31"/>
  <c r="I269" i="31"/>
  <c r="I194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59" i="31" l="1"/>
  <c r="I206" i="31"/>
  <c r="I270" i="3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60" i="31" l="1"/>
  <c r="I271" i="31"/>
  <c r="I218" i="31"/>
  <c r="I207" i="31"/>
  <c r="I229" i="31"/>
  <c r="I196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61" i="31" l="1"/>
  <c r="I208" i="31"/>
  <c r="I219" i="31"/>
  <c r="I272" i="31"/>
  <c r="I241" i="31"/>
  <c r="I230" i="31"/>
  <c r="I197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73" i="31"/>
  <c r="I262" i="31"/>
  <c r="I220" i="31"/>
  <c r="I231" i="31"/>
  <c r="I242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63" i="31" l="1"/>
  <c r="I274" i="31"/>
  <c r="I210" i="31"/>
  <c r="I221" i="31"/>
  <c r="I243" i="31"/>
  <c r="I232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22" i="31" l="1"/>
  <c r="I211" i="31"/>
  <c r="I264" i="31"/>
  <c r="I275" i="31"/>
  <c r="I244" i="31"/>
  <c r="I233" i="31"/>
  <c r="I200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76" i="31"/>
  <c r="I212" i="31"/>
  <c r="I234" i="31"/>
  <c r="I245" i="31"/>
  <c r="I201" i="31"/>
  <c r="I104" i="31"/>
  <c r="I190" i="31"/>
  <c r="I82" i="31"/>
  <c r="I93" i="31"/>
  <c r="I179" i="31"/>
  <c r="I71" i="31"/>
  <c r="I168" i="31"/>
  <c r="I60" i="31"/>
  <c r="I115" i="31"/>
  <c r="I126" i="31"/>
  <c r="I213" i="31" l="1"/>
  <c r="I224" i="31"/>
  <c r="I246" i="31"/>
  <c r="I235" i="31"/>
  <c r="I202" i="31"/>
  <c r="I127" i="31"/>
  <c r="I191" i="31"/>
  <c r="I83" i="31"/>
  <c r="I105" i="31"/>
  <c r="I94" i="31"/>
  <c r="I180" i="31"/>
  <c r="I72" i="31"/>
  <c r="I116" i="31"/>
  <c r="I214" i="31" l="1"/>
  <c r="I225" i="31"/>
  <c r="I236" i="31"/>
  <c r="I247" i="31"/>
  <c r="I203" i="31"/>
  <c r="I117" i="31"/>
  <c r="I95" i="31"/>
  <c r="I128" i="31"/>
  <c r="I192" i="31"/>
  <c r="I84" i="31"/>
  <c r="I106" i="31"/>
  <c r="I226" i="31" l="1"/>
  <c r="I215" i="31"/>
  <c r="I237" i="31"/>
  <c r="I248" i="31"/>
  <c r="I204" i="31"/>
  <c r="I118" i="31"/>
  <c r="I107" i="31"/>
  <c r="I96" i="31"/>
  <c r="I129" i="31"/>
  <c r="I216" i="31" l="1"/>
  <c r="I227" i="31"/>
  <c r="I238" i="31"/>
  <c r="I249" i="31"/>
  <c r="I119" i="31"/>
  <c r="I108" i="31"/>
  <c r="I130" i="31"/>
  <c r="I228" i="31" l="1"/>
  <c r="I250" i="31"/>
  <c r="I239" i="31"/>
  <c r="I131" i="31"/>
  <c r="I120" i="31"/>
  <c r="I240" i="31" l="1"/>
  <c r="I251" i="31"/>
  <c r="I132" i="31"/>
  <c r="I252" i="31" l="1"/>
  <c r="B68" i="25"/>
  <c r="B69" i="25" l="1"/>
  <c r="O16" i="28"/>
  <c r="C9" i="28" l="1"/>
  <c r="C38" i="28" l="1"/>
  <c r="C34" i="28"/>
  <c r="C27" i="28"/>
  <c r="C17" i="28"/>
  <c r="C33" i="28"/>
  <c r="C23" i="28"/>
  <c r="C25" i="28"/>
  <c r="C29" i="28"/>
  <c r="C19" i="28"/>
  <c r="C18" i="28"/>
  <c r="C35" i="28"/>
  <c r="C24" i="28"/>
  <c r="C28" i="28"/>
  <c r="C20" i="28"/>
  <c r="C30" i="28"/>
  <c r="C26" i="28"/>
  <c r="C21" i="28"/>
  <c r="C31" i="28"/>
  <c r="C37" i="28"/>
  <c r="C32" i="28"/>
  <c r="C36" i="28"/>
  <c r="C22" i="28"/>
  <c r="J13" i="31" l="1"/>
  <c r="B13" i="25" s="1"/>
  <c r="B9" i="81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10" i="81" s="1"/>
  <c r="BA13" i="25" l="1"/>
  <c r="CW13" i="25"/>
  <c r="CX13" i="25" s="1"/>
  <c r="BT13" i="25"/>
  <c r="BS13" i="25"/>
  <c r="BQ13" i="25"/>
  <c r="BP13" i="25"/>
  <c r="BO13" i="25"/>
  <c r="BM13" i="25"/>
  <c r="BK13" i="25"/>
  <c r="BJ13" i="25"/>
  <c r="BH13" i="25"/>
  <c r="BF13" i="25"/>
  <c r="BG13" i="25"/>
  <c r="BV13" i="25"/>
  <c r="BE13" i="25"/>
  <c r="B15" i="25"/>
  <c r="B11" i="81" s="1"/>
  <c r="O14" i="25"/>
  <c r="J15" i="31"/>
  <c r="B16" i="31"/>
  <c r="L28" i="31"/>
  <c r="BA14" i="25" l="1"/>
  <c r="AU14" i="25"/>
  <c r="CW14" i="25"/>
  <c r="CX14" i="25" s="1"/>
  <c r="BT14" i="25"/>
  <c r="BS14" i="25"/>
  <c r="BQ14" i="25"/>
  <c r="BP14" i="25"/>
  <c r="BO14" i="25"/>
  <c r="BM14" i="25"/>
  <c r="BK14" i="25"/>
  <c r="BJ14" i="25"/>
  <c r="BH14" i="25"/>
  <c r="BF14" i="25"/>
  <c r="BV14" i="25"/>
  <c r="BE14" i="25"/>
  <c r="B17" i="31"/>
  <c r="J16" i="31"/>
  <c r="L29" i="31"/>
  <c r="O15" i="25"/>
  <c r="B16" i="25"/>
  <c r="B12" i="81" s="1"/>
  <c r="BA15" i="25" l="1"/>
  <c r="CW15" i="25"/>
  <c r="CX15" i="25" s="1"/>
  <c r="BT15" i="25"/>
  <c r="BS15" i="25"/>
  <c r="BQ15" i="25"/>
  <c r="BP15" i="25"/>
  <c r="BO15" i="25"/>
  <c r="BM15" i="25"/>
  <c r="BK15" i="25"/>
  <c r="BJ15" i="25"/>
  <c r="BH15" i="25"/>
  <c r="BF15" i="25"/>
  <c r="BV15" i="25"/>
  <c r="BE15" i="25"/>
  <c r="L30" i="31"/>
  <c r="J17" i="31"/>
  <c r="B18" i="31"/>
  <c r="O16" i="25"/>
  <c r="B17" i="25"/>
  <c r="B13" i="81" s="1"/>
  <c r="BA16" i="25" l="1"/>
  <c r="CW16" i="25"/>
  <c r="CX16" i="25" s="1"/>
  <c r="BS16" i="25"/>
  <c r="BH16" i="25"/>
  <c r="BK16" i="25"/>
  <c r="BJ16" i="25"/>
  <c r="BF16" i="25"/>
  <c r="BT16" i="25"/>
  <c r="BQ16" i="25"/>
  <c r="BP16" i="25"/>
  <c r="BO16" i="25"/>
  <c r="BM16" i="25"/>
  <c r="BV16" i="25"/>
  <c r="BE16" i="25"/>
  <c r="B18" i="25"/>
  <c r="B14" i="81" s="1"/>
  <c r="O17" i="25"/>
  <c r="J18" i="31"/>
  <c r="B19" i="31"/>
  <c r="L31" i="31"/>
  <c r="BA17" i="25" l="1"/>
  <c r="CW17" i="25"/>
  <c r="CX17" i="25" s="1"/>
  <c r="BT17" i="25"/>
  <c r="BS17" i="25"/>
  <c r="BQ17" i="25"/>
  <c r="BP17" i="25"/>
  <c r="BO17" i="25"/>
  <c r="BM17" i="25"/>
  <c r="BK17" i="25"/>
  <c r="BJ17" i="25"/>
  <c r="BH17" i="25"/>
  <c r="BF17" i="25"/>
  <c r="BV17" i="25"/>
  <c r="BE17" i="25"/>
  <c r="B20" i="31"/>
  <c r="J19" i="31"/>
  <c r="L32" i="31"/>
  <c r="B19" i="25"/>
  <c r="B15" i="81" s="1"/>
  <c r="O18" i="25"/>
  <c r="BA18" i="25" l="1"/>
  <c r="CW18" i="25"/>
  <c r="CX18" i="25" s="1"/>
  <c r="BT18" i="25"/>
  <c r="BS18" i="25"/>
  <c r="BQ18" i="25"/>
  <c r="BP18" i="25"/>
  <c r="BO18" i="25"/>
  <c r="BM18" i="25"/>
  <c r="BK18" i="25"/>
  <c r="BJ18" i="25"/>
  <c r="BH18" i="25"/>
  <c r="BF18" i="25"/>
  <c r="BV18" i="25"/>
  <c r="BE18" i="25"/>
  <c r="O19" i="25"/>
  <c r="B20" i="25"/>
  <c r="B16" i="81" s="1"/>
  <c r="L33" i="31"/>
  <c r="J20" i="31"/>
  <c r="B21" i="31"/>
  <c r="BA19" i="25" l="1"/>
  <c r="CW19" i="25"/>
  <c r="CX19" i="25" s="1"/>
  <c r="BT19" i="25"/>
  <c r="BS19" i="25"/>
  <c r="BQ19" i="25"/>
  <c r="BP19" i="25"/>
  <c r="BO19" i="25"/>
  <c r="BM19" i="25"/>
  <c r="BK19" i="25"/>
  <c r="BJ19" i="25"/>
  <c r="BH19" i="25"/>
  <c r="BF19" i="25"/>
  <c r="BV19" i="25"/>
  <c r="BE19" i="25"/>
  <c r="B22" i="31"/>
  <c r="J21" i="31"/>
  <c r="B21" i="25"/>
  <c r="B17" i="81" s="1"/>
  <c r="O20" i="25"/>
  <c r="L34" i="31"/>
  <c r="BA20" i="25" l="1"/>
  <c r="CW20" i="25"/>
  <c r="CX20" i="25" s="1"/>
  <c r="BT20" i="25"/>
  <c r="BQ20" i="25"/>
  <c r="BP20" i="25"/>
  <c r="BO20" i="25"/>
  <c r="BM20" i="25"/>
  <c r="BK20" i="25"/>
  <c r="BJ20" i="25"/>
  <c r="BF20" i="25"/>
  <c r="BS20" i="25"/>
  <c r="BH20" i="25"/>
  <c r="BV20" i="25"/>
  <c r="BE20" i="25"/>
  <c r="J22" i="31"/>
  <c r="B23" i="31"/>
  <c r="B22" i="25"/>
  <c r="B18" i="81" s="1"/>
  <c r="O21" i="25"/>
  <c r="L35" i="31"/>
  <c r="BA21" i="25" l="1"/>
  <c r="CW21" i="25"/>
  <c r="CX21" i="25" s="1"/>
  <c r="BT21" i="25"/>
  <c r="BS21" i="25"/>
  <c r="BQ21" i="25"/>
  <c r="BP21" i="25"/>
  <c r="BO21" i="25"/>
  <c r="BM21" i="25"/>
  <c r="BK21" i="25"/>
  <c r="BJ21" i="25"/>
  <c r="BH21" i="25"/>
  <c r="BF21" i="25"/>
  <c r="BV21" i="25"/>
  <c r="BE21" i="25"/>
  <c r="L36" i="31"/>
  <c r="L37" i="31" s="1"/>
  <c r="O22" i="25"/>
  <c r="B23" i="25"/>
  <c r="B19" i="81" s="1"/>
  <c r="J23" i="31"/>
  <c r="B24" i="31"/>
  <c r="BA22" i="25" l="1"/>
  <c r="CW22" i="25"/>
  <c r="CX22" i="25" s="1"/>
  <c r="BT22" i="25"/>
  <c r="BS22" i="25"/>
  <c r="BQ22" i="25"/>
  <c r="BP22" i="25"/>
  <c r="BO22" i="25"/>
  <c r="BM22" i="25"/>
  <c r="BK22" i="25"/>
  <c r="BJ22" i="25"/>
  <c r="BH22" i="25"/>
  <c r="BF22" i="25"/>
  <c r="BV22" i="25"/>
  <c r="BE22" i="25"/>
  <c r="B24" i="25"/>
  <c r="B20" i="81" s="1"/>
  <c r="O23" i="25"/>
  <c r="B25" i="31"/>
  <c r="J24" i="31"/>
  <c r="BA23" i="25" l="1"/>
  <c r="CW23" i="25"/>
  <c r="CX23" i="25" s="1"/>
  <c r="BT23" i="25"/>
  <c r="BS23" i="25"/>
  <c r="BQ23" i="25"/>
  <c r="BP23" i="25"/>
  <c r="BO23" i="25"/>
  <c r="BM23" i="25"/>
  <c r="BK23" i="25"/>
  <c r="BJ23" i="25"/>
  <c r="BH23" i="25"/>
  <c r="BF23" i="25"/>
  <c r="BV23" i="25"/>
  <c r="BE23" i="25"/>
  <c r="O24" i="25"/>
  <c r="B25" i="25"/>
  <c r="B21" i="81" s="1"/>
  <c r="J25" i="31"/>
  <c r="B26" i="31"/>
  <c r="BA24" i="25" l="1"/>
  <c r="CW24" i="25"/>
  <c r="CX24" i="25" s="1"/>
  <c r="BS24" i="25"/>
  <c r="BQ24" i="25"/>
  <c r="BP24" i="25"/>
  <c r="BO24" i="25"/>
  <c r="BH24" i="25"/>
  <c r="BT24" i="25"/>
  <c r="BM24" i="25"/>
  <c r="BK24" i="25"/>
  <c r="BJ24" i="25"/>
  <c r="BF24" i="25"/>
  <c r="BV24" i="25"/>
  <c r="BE24" i="25"/>
  <c r="O25" i="25"/>
  <c r="B26" i="25"/>
  <c r="B22" i="81" s="1"/>
  <c r="B27" i="31"/>
  <c r="J26" i="31"/>
  <c r="BA25" i="25" l="1"/>
  <c r="CW25" i="25"/>
  <c r="CX25" i="25" s="1"/>
  <c r="BT25" i="25"/>
  <c r="BS25" i="25"/>
  <c r="BQ25" i="25"/>
  <c r="BP25" i="25"/>
  <c r="BO25" i="25"/>
  <c r="BM25" i="25"/>
  <c r="BK25" i="25"/>
  <c r="BJ25" i="25"/>
  <c r="BH25" i="25"/>
  <c r="BF25" i="25"/>
  <c r="BV25" i="25"/>
  <c r="BE25" i="25"/>
  <c r="B28" i="31"/>
  <c r="J27" i="31"/>
  <c r="B27" i="25"/>
  <c r="B23" i="81" s="1"/>
  <c r="O26" i="25"/>
  <c r="B33" i="81" l="1"/>
  <c r="CW26" i="25"/>
  <c r="CX26" i="25" s="1"/>
  <c r="BA26" i="25"/>
  <c r="BT26" i="25"/>
  <c r="BS26" i="25"/>
  <c r="BQ26" i="25"/>
  <c r="BP26" i="25"/>
  <c r="BO26" i="25"/>
  <c r="BM26" i="25"/>
  <c r="BK26" i="25"/>
  <c r="BJ26" i="25"/>
  <c r="BH26" i="25"/>
  <c r="BF26" i="25"/>
  <c r="BV26" i="25"/>
  <c r="BE26" i="25"/>
  <c r="J28" i="31"/>
  <c r="B29" i="31"/>
  <c r="O27" i="25"/>
  <c r="B28" i="25"/>
  <c r="BA27" i="25" l="1"/>
  <c r="CW27" i="25"/>
  <c r="CX27" i="25" s="1"/>
  <c r="BT27" i="25"/>
  <c r="BS27" i="25"/>
  <c r="BQ27" i="25"/>
  <c r="BP27" i="25"/>
  <c r="BO27" i="25"/>
  <c r="BM27" i="25"/>
  <c r="BK27" i="25"/>
  <c r="BJ27" i="25"/>
  <c r="BH27" i="25"/>
  <c r="BF27" i="25"/>
  <c r="BV27" i="25"/>
  <c r="BE27" i="25"/>
  <c r="B29" i="25"/>
  <c r="O28" i="25"/>
  <c r="B30" i="31"/>
  <c r="J29" i="31"/>
  <c r="CW28" i="25" l="1"/>
  <c r="CX28" i="25" s="1"/>
  <c r="BA28" i="25"/>
  <c r="BT28" i="25"/>
  <c r="BQ28" i="25"/>
  <c r="BM28" i="25"/>
  <c r="BK28" i="25"/>
  <c r="BJ28" i="25"/>
  <c r="BH28" i="25"/>
  <c r="BF28" i="25"/>
  <c r="BS28" i="25"/>
  <c r="BP28" i="25"/>
  <c r="BO28" i="25"/>
  <c r="BV28" i="25"/>
  <c r="BE28" i="25"/>
  <c r="B30" i="25"/>
  <c r="O29" i="25"/>
  <c r="B31" i="31"/>
  <c r="J30" i="31"/>
  <c r="BA29" i="25" l="1"/>
  <c r="CW29" i="25"/>
  <c r="CX29" i="25" s="1"/>
  <c r="BT29" i="25"/>
  <c r="BS29" i="25"/>
  <c r="BQ29" i="25"/>
  <c r="BP29" i="25"/>
  <c r="BO29" i="25"/>
  <c r="BM29" i="25"/>
  <c r="BK29" i="25"/>
  <c r="BJ29" i="25"/>
  <c r="BH29" i="25"/>
  <c r="BF29" i="25"/>
  <c r="BV29" i="25"/>
  <c r="BE29" i="25"/>
  <c r="B32" i="31"/>
  <c r="J31" i="31"/>
  <c r="O30" i="25"/>
  <c r="B31" i="25"/>
  <c r="BA30" i="25" l="1"/>
  <c r="CW30" i="25"/>
  <c r="CX30" i="25" s="1"/>
  <c r="BT30" i="25"/>
  <c r="BS30" i="25"/>
  <c r="BQ30" i="25"/>
  <c r="BP30" i="25"/>
  <c r="BO30" i="25"/>
  <c r="BM30" i="25"/>
  <c r="BK30" i="25"/>
  <c r="BJ30" i="25"/>
  <c r="BH30" i="25"/>
  <c r="BF30" i="25"/>
  <c r="BV30" i="25"/>
  <c r="BE30" i="25"/>
  <c r="O31" i="25"/>
  <c r="CW31" i="25" s="1"/>
  <c r="CX31" i="25" s="1"/>
  <c r="B32" i="25"/>
  <c r="J32" i="31"/>
  <c r="B33" i="31"/>
  <c r="BT31" i="25" l="1"/>
  <c r="BS31" i="25"/>
  <c r="BQ31" i="25"/>
  <c r="BP31" i="25"/>
  <c r="BO31" i="25"/>
  <c r="BM31" i="25"/>
  <c r="BK31" i="25"/>
  <c r="BJ31" i="25"/>
  <c r="BH31" i="25"/>
  <c r="BF31" i="25"/>
  <c r="BV31" i="25"/>
  <c r="BE31" i="25"/>
  <c r="B33" i="25"/>
  <c r="O32" i="25"/>
  <c r="CW32" i="25" s="1"/>
  <c r="CX32" i="25" s="1"/>
  <c r="B34" i="31"/>
  <c r="J33" i="31"/>
  <c r="BT32" i="25" l="1"/>
  <c r="BS32" i="25"/>
  <c r="BP32" i="25"/>
  <c r="BO32" i="25"/>
  <c r="BM32" i="25"/>
  <c r="BK32" i="25"/>
  <c r="BF32" i="25"/>
  <c r="BQ32" i="25"/>
  <c r="BJ32" i="25"/>
  <c r="BH32" i="25"/>
  <c r="BV32" i="25"/>
  <c r="BE32" i="25"/>
  <c r="B34" i="25"/>
  <c r="O34" i="25" s="1"/>
  <c r="O33" i="25"/>
  <c r="B35" i="31"/>
  <c r="J34" i="31"/>
  <c r="CW33" i="25" l="1"/>
  <c r="CX33" i="25" s="1"/>
  <c r="CW34" i="25"/>
  <c r="CX34" i="25" s="1"/>
  <c r="BN34" i="25"/>
  <c r="BT33" i="25"/>
  <c r="BR34" i="25"/>
  <c r="BU34" i="25"/>
  <c r="BO34" i="25"/>
  <c r="BQ34" i="25"/>
  <c r="BW34" i="25"/>
  <c r="BT34" i="25"/>
  <c r="BL34" i="25"/>
  <c r="BY34" i="25"/>
  <c r="BM34" i="25"/>
  <c r="BH34" i="25"/>
  <c r="BV34" i="25"/>
  <c r="BP34" i="25"/>
  <c r="BS34" i="25"/>
  <c r="BM33" i="25"/>
  <c r="BX34" i="25"/>
  <c r="BK34" i="25"/>
  <c r="BJ34" i="25"/>
  <c r="BI34" i="25"/>
  <c r="BG34" i="25"/>
  <c r="BO33" i="25"/>
  <c r="BV33" i="25"/>
  <c r="BK33" i="25"/>
  <c r="BJ33" i="25"/>
  <c r="BL33" i="25"/>
  <c r="BX33" i="25"/>
  <c r="BS33" i="25"/>
  <c r="BH33" i="25"/>
  <c r="BQ33" i="25"/>
  <c r="BU33" i="25"/>
  <c r="BP33" i="25"/>
  <c r="BW33" i="25"/>
  <c r="BI33" i="25"/>
  <c r="BG33" i="25"/>
  <c r="BY33" i="25"/>
  <c r="BN33" i="25"/>
  <c r="BR33" i="25"/>
  <c r="J35" i="31"/>
  <c r="B36" i="31"/>
  <c r="B37" i="31" l="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B194" i="31" s="1"/>
  <c r="B195" i="31" s="1"/>
  <c r="B196" i="31" s="1"/>
  <c r="B197" i="31" s="1"/>
  <c r="B198" i="31" s="1"/>
  <c r="B199" i="31" s="1"/>
  <c r="B200" i="31" s="1"/>
  <c r="B201" i="31" s="1"/>
  <c r="B202" i="31" s="1"/>
  <c r="B203" i="31" s="1"/>
  <c r="B204" i="31" s="1"/>
  <c r="B205" i="31" s="1"/>
  <c r="B206" i="31" s="1"/>
  <c r="B207" i="31" s="1"/>
  <c r="B208" i="31" s="1"/>
  <c r="B209" i="31" s="1"/>
  <c r="B210" i="31" s="1"/>
  <c r="B211" i="31" s="1"/>
  <c r="B212" i="31" s="1"/>
  <c r="B213" i="31" s="1"/>
  <c r="B214" i="31" s="1"/>
  <c r="B215" i="31" s="1"/>
  <c r="B216" i="31" s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B241" i="31" s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J191" i="31"/>
  <c r="J192" i="31" l="1"/>
  <c r="J206" i="31" l="1"/>
  <c r="J205" i="31"/>
  <c r="J193" i="31"/>
  <c r="J194" i="31" l="1"/>
  <c r="J207" i="31" l="1"/>
  <c r="J208" i="31"/>
  <c r="J195" i="31"/>
  <c r="J209" i="31" l="1"/>
  <c r="J196" i="31"/>
  <c r="J210" i="31" l="1"/>
  <c r="J197" i="31"/>
  <c r="J211" i="31" l="1"/>
  <c r="J198" i="31"/>
  <c r="J212" i="31" l="1"/>
  <c r="J199" i="31"/>
  <c r="J213" i="31" l="1"/>
  <c r="J200" i="31"/>
  <c r="J214" i="31" l="1"/>
  <c r="J201" i="31"/>
  <c r="J215" i="31" l="1"/>
  <c r="J202" i="31"/>
  <c r="J216" i="31" l="1"/>
  <c r="J203" i="31"/>
  <c r="J217" i="31" l="1"/>
  <c r="J204" i="31"/>
  <c r="J218" i="31" l="1"/>
  <c r="J265" i="31"/>
  <c r="J219" i="31" l="1"/>
  <c r="J266" i="31"/>
  <c r="J220" i="31" l="1"/>
  <c r="J267" i="31"/>
  <c r="J221" i="31" l="1"/>
  <c r="J268" i="31"/>
  <c r="J222" i="31" l="1"/>
  <c r="J269" i="31"/>
  <c r="J223" i="31" l="1"/>
  <c r="J270" i="31"/>
  <c r="J224" i="31" l="1"/>
  <c r="J271" i="31"/>
  <c r="J225" i="31" l="1"/>
  <c r="J272" i="31"/>
  <c r="J226" i="31" l="1"/>
  <c r="J273" i="31"/>
  <c r="J228" i="31" l="1"/>
  <c r="J227" i="31"/>
  <c r="J274" i="31"/>
  <c r="J275" i="31" l="1"/>
  <c r="J276" i="31"/>
  <c r="J229" i="31" l="1"/>
  <c r="J230" i="3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 l="1"/>
  <c r="J241" i="31" l="1"/>
  <c r="J242" i="31" l="1"/>
  <c r="J243" i="31" l="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J244" i="31" l="1"/>
  <c r="J245" i="31" l="1"/>
  <c r="J246" i="31" l="1"/>
  <c r="J247" i="31" l="1"/>
  <c r="J248" i="31" l="1"/>
  <c r="J249" i="31" l="1"/>
  <c r="J250" i="31" l="1"/>
  <c r="J251" i="31" l="1"/>
  <c r="J264" i="31" l="1"/>
  <c r="J252" i="31"/>
  <c r="J253" i="31" l="1"/>
  <c r="J254" i="31" l="1"/>
  <c r="J255" i="31" l="1"/>
  <c r="J256" i="31" l="1"/>
  <c r="J257" i="31" l="1"/>
  <c r="J258" i="31" l="1"/>
  <c r="J259" i="31" l="1"/>
  <c r="J260" i="31" l="1"/>
  <c r="J261" i="31" l="1"/>
  <c r="J262" i="31" l="1"/>
  <c r="J263" i="31"/>
  <c r="N37" i="31" l="1"/>
  <c r="O37" i="31"/>
  <c r="M37" i="31"/>
  <c r="R37" i="31" l="1"/>
  <c r="Q37" i="31"/>
  <c r="P37" i="31"/>
  <c r="A46" i="25" l="1"/>
  <c r="AK20" i="25" l="1"/>
  <c r="AK17" i="25"/>
  <c r="AK19" i="25"/>
  <c r="AK18" i="25"/>
  <c r="AK23" i="25"/>
  <c r="AK22" i="25"/>
  <c r="AK21" i="25"/>
  <c r="AK15" i="25"/>
  <c r="AK16" i="25"/>
  <c r="AK14" i="25"/>
  <c r="AK13" i="25" l="1"/>
  <c r="AL19" i="25"/>
  <c r="AL16" i="25"/>
  <c r="AL17" i="25"/>
  <c r="AL13" i="25"/>
  <c r="AL22" i="25"/>
  <c r="AL23" i="25"/>
  <c r="AL15" i="25"/>
  <c r="AL14" i="25"/>
  <c r="AL21" i="25"/>
  <c r="CB13" i="25" l="1"/>
  <c r="AL18" i="25"/>
  <c r="AL20" i="25"/>
  <c r="CX5" i="25"/>
  <c r="CY13" i="25" l="1"/>
  <c r="CY14" i="25"/>
  <c r="CY15" i="25"/>
  <c r="CY16" i="25"/>
  <c r="CY17" i="25"/>
  <c r="CY18" i="25"/>
  <c r="CY19" i="25"/>
  <c r="CY20" i="25"/>
  <c r="CY21" i="25"/>
  <c r="CY22" i="25"/>
  <c r="CY23" i="25"/>
  <c r="CY24" i="25"/>
  <c r="CY25" i="25"/>
  <c r="CY26" i="25"/>
  <c r="CY27" i="25"/>
  <c r="CY28" i="25"/>
  <c r="CY29" i="25"/>
  <c r="CY30" i="25"/>
  <c r="CY31" i="25"/>
  <c r="CY32" i="25"/>
  <c r="CY33" i="25"/>
  <c r="CY34" i="25"/>
  <c r="CT13" i="25"/>
  <c r="AP16" i="25"/>
  <c r="AQ16" i="25" l="1"/>
  <c r="AP14" i="25"/>
  <c r="AR14" i="25"/>
  <c r="AP13" i="25"/>
  <c r="AP15" i="25"/>
  <c r="CF13" i="25" l="1"/>
  <c r="CF14" i="25"/>
  <c r="CF15" i="25"/>
  <c r="CF16" i="25"/>
  <c r="AR16" i="25"/>
  <c r="AQ14" i="25"/>
  <c r="AM14" i="25"/>
  <c r="AR13" i="25"/>
  <c r="AQ13" i="25"/>
  <c r="AM16" i="25"/>
  <c r="AR15" i="25"/>
  <c r="AQ15" i="25"/>
  <c r="CT14" i="25" l="1"/>
  <c r="CG13" i="25"/>
  <c r="CG14" i="25"/>
  <c r="CG15" i="25"/>
  <c r="CG16" i="25"/>
  <c r="CH13" i="25"/>
  <c r="CH14" i="25"/>
  <c r="CH15" i="25"/>
  <c r="CH16" i="25"/>
  <c r="AM15" i="25"/>
  <c r="AM13" i="25" l="1"/>
  <c r="CT15" i="25"/>
  <c r="AP18" i="25"/>
  <c r="CC13" i="25" l="1"/>
  <c r="CC14" i="25"/>
  <c r="CC15" i="25"/>
  <c r="CC16" i="25"/>
  <c r="AP17" i="25"/>
  <c r="CF17" i="25" l="1"/>
  <c r="CF18" i="25"/>
  <c r="CT16" i="25"/>
  <c r="CT17" i="25"/>
  <c r="AQ17" i="25"/>
  <c r="AQ18" i="25"/>
  <c r="AP21" i="25"/>
  <c r="AQ19" i="25"/>
  <c r="AP19" i="25"/>
  <c r="CF19" i="25" l="1"/>
  <c r="CG17" i="25"/>
  <c r="CG18" i="25"/>
  <c r="CG19" i="25"/>
  <c r="AQ21" i="25"/>
  <c r="AR17" i="25"/>
  <c r="AR19" i="25"/>
  <c r="AM18" i="25"/>
  <c r="AR18" i="25"/>
  <c r="CT19" i="25" l="1"/>
  <c r="CT18" i="25"/>
  <c r="CT20" i="25"/>
  <c r="CH19" i="25"/>
  <c r="CH17" i="25"/>
  <c r="CH18" i="25"/>
  <c r="AM17" i="25"/>
  <c r="AM19" i="25"/>
  <c r="AR21" i="25"/>
  <c r="AP22" i="25"/>
  <c r="AP20" i="25"/>
  <c r="AR20" i="25"/>
  <c r="CF21" i="25" l="1"/>
  <c r="CF20" i="25"/>
  <c r="CF22" i="25"/>
  <c r="CH20" i="25"/>
  <c r="CC17" i="25"/>
  <c r="CC18" i="25"/>
  <c r="CC19" i="25"/>
  <c r="CH21" i="25"/>
  <c r="AM21" i="25"/>
  <c r="AQ22" i="25"/>
  <c r="AQ20" i="25"/>
  <c r="CT21" i="25"/>
  <c r="CT22" i="25" l="1"/>
  <c r="CG21" i="25"/>
  <c r="CG22" i="25"/>
  <c r="CG20" i="25"/>
  <c r="AR22" i="25"/>
  <c r="AP23" i="25"/>
  <c r="AM20" i="25"/>
  <c r="CT23" i="25"/>
  <c r="CH22" i="25" l="1"/>
  <c r="CF23" i="25"/>
  <c r="CC21" i="25"/>
  <c r="CC20" i="25"/>
  <c r="AM22" i="25"/>
  <c r="AQ23" i="25"/>
  <c r="AM23" i="25"/>
  <c r="CC23" i="25" l="1"/>
  <c r="CC22" i="25"/>
  <c r="CG23" i="25"/>
  <c r="AR23" i="25"/>
  <c r="CH23" i="25" l="1"/>
  <c r="AK34" i="25" l="1"/>
  <c r="AK28" i="25"/>
  <c r="AK26" i="25"/>
  <c r="AK32" i="25"/>
  <c r="AK31" i="25"/>
  <c r="AK29" i="25"/>
  <c r="AK30" i="25"/>
  <c r="AK27" i="25"/>
  <c r="AK25" i="25"/>
  <c r="AK33" i="25"/>
  <c r="AK24" i="25" l="1"/>
  <c r="AL32" i="25"/>
  <c r="AL24" i="25"/>
  <c r="AL27" i="25"/>
  <c r="AL34" i="25"/>
  <c r="AL25" i="25"/>
  <c r="AL31" i="25"/>
  <c r="AL29" i="25"/>
  <c r="AL26" i="25"/>
  <c r="AL28" i="25"/>
  <c r="AL30" i="25" l="1"/>
  <c r="AL33" i="25"/>
  <c r="CB34" i="25" l="1"/>
  <c r="CB33" i="25"/>
  <c r="AP34" i="25" l="1"/>
  <c r="AQ34" i="25" l="1"/>
  <c r="AR34" i="25" l="1"/>
  <c r="AM34" i="25" l="1"/>
  <c r="AU24" i="25" l="1"/>
  <c r="AU13" i="25" l="1"/>
  <c r="AU15" i="25"/>
  <c r="AU16" i="25"/>
  <c r="AU17" i="25"/>
  <c r="AU18" i="25"/>
  <c r="AU19" i="25"/>
  <c r="AU20" i="25"/>
  <c r="AU21" i="25"/>
  <c r="AU22" i="25"/>
  <c r="AU23" i="25"/>
  <c r="AU25" i="25"/>
  <c r="CK14" i="25" l="1"/>
  <c r="CK18" i="25"/>
  <c r="CK22" i="25"/>
  <c r="CK15" i="25"/>
  <c r="CK19" i="25"/>
  <c r="CK23" i="25"/>
  <c r="CK24" i="25"/>
  <c r="CK16" i="25"/>
  <c r="CK13" i="25"/>
  <c r="CK17" i="25"/>
  <c r="CK21" i="25"/>
  <c r="CK20" i="25"/>
  <c r="CK25" i="25"/>
  <c r="AV26" i="25"/>
  <c r="AU26" i="25"/>
  <c r="CK26" i="25" s="1"/>
  <c r="AW27" i="25" l="1"/>
  <c r="AV27" i="25"/>
  <c r="AU27" i="25"/>
  <c r="AV13" i="25"/>
  <c r="AV14" i="25"/>
  <c r="AV15" i="25"/>
  <c r="AV16" i="25"/>
  <c r="AV17" i="25"/>
  <c r="AV18" i="25"/>
  <c r="AV19" i="25"/>
  <c r="AV20" i="25"/>
  <c r="AV21" i="25"/>
  <c r="AV22" i="25"/>
  <c r="AV23" i="25"/>
  <c r="AV25" i="25"/>
  <c r="AV24" i="25"/>
  <c r="AZ29" i="25" l="1"/>
  <c r="CL16" i="25"/>
  <c r="CL20" i="25"/>
  <c r="CL24" i="25"/>
  <c r="CL17" i="25"/>
  <c r="CL25" i="25"/>
  <c r="CL18" i="25"/>
  <c r="CL26" i="25"/>
  <c r="CL13" i="25"/>
  <c r="CL21" i="25"/>
  <c r="CL14" i="25"/>
  <c r="CL15" i="25"/>
  <c r="CL19" i="25"/>
  <c r="CL23" i="25"/>
  <c r="CL27" i="25"/>
  <c r="CL22" i="25"/>
  <c r="AX13" i="25"/>
  <c r="AX14" i="25"/>
  <c r="AX15" i="25"/>
  <c r="AX16" i="25"/>
  <c r="AX17" i="25"/>
  <c r="AX18" i="25"/>
  <c r="AX19" i="25"/>
  <c r="AX20" i="25"/>
  <c r="AX21" i="25"/>
  <c r="AX22" i="25"/>
  <c r="AX23" i="25"/>
  <c r="AX25" i="25"/>
  <c r="AX24" i="25"/>
  <c r="AX26" i="25"/>
  <c r="AW13" i="25"/>
  <c r="AW14" i="25"/>
  <c r="AW15" i="25"/>
  <c r="AW16" i="25"/>
  <c r="AW17" i="25"/>
  <c r="AW18" i="25"/>
  <c r="AW19" i="25"/>
  <c r="AW20" i="25"/>
  <c r="AW21" i="25"/>
  <c r="AW22" i="25"/>
  <c r="AW23" i="25"/>
  <c r="AW24" i="25"/>
  <c r="AW25" i="25"/>
  <c r="AW26" i="25"/>
  <c r="CK27" i="25"/>
  <c r="CT27" i="25"/>
  <c r="CT25" i="25"/>
  <c r="AV28" i="25"/>
  <c r="AU28" i="25"/>
  <c r="AW28" i="25"/>
  <c r="CT24" i="25"/>
  <c r="CT26" i="25"/>
  <c r="AX27" i="25"/>
  <c r="AZ31" i="25"/>
  <c r="AZ30" i="25"/>
  <c r="CN15" i="25" l="1"/>
  <c r="CN19" i="25"/>
  <c r="CN23" i="25"/>
  <c r="CN27" i="25"/>
  <c r="CN16" i="25"/>
  <c r="CN20" i="25"/>
  <c r="CN24" i="25"/>
  <c r="CN21" i="25"/>
  <c r="CN17" i="25"/>
  <c r="CN25" i="25"/>
  <c r="CN14" i="25"/>
  <c r="CN18" i="25"/>
  <c r="CN22" i="25"/>
  <c r="CN26" i="25"/>
  <c r="CN13" i="25"/>
  <c r="AU29" i="25"/>
  <c r="CK29" i="25" s="1"/>
  <c r="AW29" i="25"/>
  <c r="AV29" i="25"/>
  <c r="CK28" i="25"/>
  <c r="CL28" i="25"/>
  <c r="AX28" i="25"/>
  <c r="CN28" i="25" s="1"/>
  <c r="CQ13" i="25"/>
  <c r="CQ17" i="25"/>
  <c r="CQ21" i="25"/>
  <c r="CQ18" i="25"/>
  <c r="CQ22" i="25"/>
  <c r="CQ15" i="25"/>
  <c r="CQ23" i="25"/>
  <c r="CQ14" i="25"/>
  <c r="CQ19" i="25"/>
  <c r="CQ16" i="25"/>
  <c r="CQ20" i="25"/>
  <c r="CQ24" i="25"/>
  <c r="CQ25" i="25"/>
  <c r="CQ27" i="25"/>
  <c r="CQ26" i="25"/>
  <c r="AZ13" i="25"/>
  <c r="AZ14" i="25"/>
  <c r="AZ15" i="25"/>
  <c r="AZ16" i="25"/>
  <c r="AZ17" i="25"/>
  <c r="AZ18" i="25"/>
  <c r="AZ19" i="25"/>
  <c r="AZ20" i="25"/>
  <c r="AZ21" i="25"/>
  <c r="AZ22" i="25"/>
  <c r="AZ23" i="25"/>
  <c r="AZ24" i="25"/>
  <c r="AZ27" i="25"/>
  <c r="AZ25" i="25"/>
  <c r="AZ26" i="25"/>
  <c r="AZ28" i="25"/>
  <c r="CR28" i="25"/>
  <c r="CR16" i="25"/>
  <c r="CR20" i="25"/>
  <c r="CR24" i="25"/>
  <c r="CR13" i="25"/>
  <c r="CR21" i="25"/>
  <c r="CR25" i="25"/>
  <c r="CR26" i="25"/>
  <c r="CR17" i="25"/>
  <c r="CR18" i="25"/>
  <c r="CR15" i="25"/>
  <c r="CR19" i="25"/>
  <c r="CR23" i="25"/>
  <c r="CR27" i="25"/>
  <c r="CR14" i="25"/>
  <c r="CR22" i="25"/>
  <c r="CM14" i="25"/>
  <c r="CM18" i="25"/>
  <c r="CM22" i="25"/>
  <c r="CM26" i="25"/>
  <c r="CM15" i="25"/>
  <c r="CM27" i="25"/>
  <c r="CM16" i="25"/>
  <c r="CM19" i="25"/>
  <c r="CM20" i="25"/>
  <c r="CM24" i="25"/>
  <c r="CM13" i="25"/>
  <c r="CM17" i="25"/>
  <c r="CM21" i="25"/>
  <c r="CM25" i="25"/>
  <c r="CM23" i="25"/>
  <c r="CM28" i="25"/>
  <c r="CM29" i="25"/>
  <c r="CS15" i="25"/>
  <c r="CS19" i="25"/>
  <c r="CS23" i="25"/>
  <c r="CS27" i="25"/>
  <c r="CS21" i="25"/>
  <c r="CS16" i="25"/>
  <c r="CS20" i="25"/>
  <c r="CS24" i="25"/>
  <c r="CS13" i="25"/>
  <c r="CS17" i="25"/>
  <c r="CS25" i="25"/>
  <c r="CS14" i="25"/>
  <c r="CS18" i="25"/>
  <c r="CS22" i="25"/>
  <c r="CS26" i="25"/>
  <c r="CS28" i="25"/>
  <c r="AZ32" i="25"/>
  <c r="CQ28" i="25" l="1"/>
  <c r="AY29" i="25"/>
  <c r="AX29" i="25"/>
  <c r="CN29" i="25" s="1"/>
  <c r="CP14" i="25"/>
  <c r="CP18" i="25"/>
  <c r="CP22" i="25"/>
  <c r="CP26" i="25"/>
  <c r="CP30" i="25"/>
  <c r="CP15" i="25"/>
  <c r="CP19" i="25"/>
  <c r="CP27" i="25"/>
  <c r="CP20" i="25"/>
  <c r="CP28" i="25"/>
  <c r="CP23" i="25"/>
  <c r="CP16" i="25"/>
  <c r="CP13" i="25"/>
  <c r="CP17" i="25"/>
  <c r="CP21" i="25"/>
  <c r="CP25" i="25"/>
  <c r="CP29" i="25"/>
  <c r="CP24" i="25"/>
  <c r="CP31" i="25"/>
  <c r="CP32" i="25"/>
  <c r="CL29" i="25"/>
  <c r="AU30" i="25"/>
  <c r="CK30" i="25" s="1"/>
  <c r="AW30" i="25"/>
  <c r="AV30" i="25"/>
  <c r="AW31" i="25"/>
  <c r="AV31" i="25"/>
  <c r="AU31" i="25"/>
  <c r="CT29" i="25"/>
  <c r="CR29" i="25"/>
  <c r="AV32" i="25"/>
  <c r="AU32" i="25"/>
  <c r="AW32" i="25"/>
  <c r="CT28" i="25"/>
  <c r="AZ33" i="25"/>
  <c r="CP33" i="25" s="1"/>
  <c r="CK31" i="25" l="1"/>
  <c r="CM32" i="25"/>
  <c r="CK32" i="25"/>
  <c r="AY13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CS29" i="25"/>
  <c r="AX32" i="25"/>
  <c r="AY32" i="25"/>
  <c r="AX31" i="25"/>
  <c r="AY31" i="25"/>
  <c r="AY30" i="25"/>
  <c r="AX30" i="25"/>
  <c r="CL31" i="25"/>
  <c r="CL30" i="25"/>
  <c r="CQ29" i="25"/>
  <c r="AV33" i="25"/>
  <c r="CL33" i="25" s="1"/>
  <c r="AW33" i="25"/>
  <c r="CM33" i="25" s="1"/>
  <c r="AU33" i="25"/>
  <c r="CK33" i="25" s="1"/>
  <c r="CM31" i="25"/>
  <c r="CM30" i="25"/>
  <c r="CL32" i="25"/>
  <c r="CO32" i="25" l="1"/>
  <c r="AZ34" i="25"/>
  <c r="CP34" i="25" s="1"/>
  <c r="AU34" i="25"/>
  <c r="CK34" i="25" s="1"/>
  <c r="AW34" i="25"/>
  <c r="CM34" i="25" s="1"/>
  <c r="AV34" i="25"/>
  <c r="CL34" i="25" s="1"/>
  <c r="CN31" i="25"/>
  <c r="CN30" i="25"/>
  <c r="AX33" i="25"/>
  <c r="AY33" i="25"/>
  <c r="CO14" i="25"/>
  <c r="CO18" i="25"/>
  <c r="CO22" i="25"/>
  <c r="CO26" i="25"/>
  <c r="CO30" i="25"/>
  <c r="CO15" i="25"/>
  <c r="CO23" i="25"/>
  <c r="CO27" i="25"/>
  <c r="CO31" i="25"/>
  <c r="CO16" i="25"/>
  <c r="CO20" i="25"/>
  <c r="CO24" i="25"/>
  <c r="CO19" i="25"/>
  <c r="CO28" i="25"/>
  <c r="CO13" i="25"/>
  <c r="CO17" i="25"/>
  <c r="CO21" i="25"/>
  <c r="CO25" i="25"/>
  <c r="CO29" i="25"/>
  <c r="CO33" i="25"/>
  <c r="CN32" i="25"/>
  <c r="CR32" i="25" l="1"/>
  <c r="CR31" i="25"/>
  <c r="CR30" i="25"/>
  <c r="CN33" i="25"/>
  <c r="CQ30" i="25"/>
  <c r="CQ31" i="25"/>
  <c r="CQ32" i="25"/>
  <c r="CT32" i="25"/>
  <c r="BC33" i="25"/>
  <c r="CS33" i="25" s="1"/>
  <c r="BD33" i="25"/>
  <c r="CT33" i="25" s="1"/>
  <c r="BB33" i="25"/>
  <c r="BA33" i="25"/>
  <c r="CQ33" i="25" s="1"/>
  <c r="CS30" i="25"/>
  <c r="CS32" i="25"/>
  <c r="CS31" i="25"/>
  <c r="CT30" i="25"/>
  <c r="CT31" i="25"/>
  <c r="CR33" i="25" l="1"/>
  <c r="AY34" i="25"/>
  <c r="CO34" i="25" s="1"/>
  <c r="AX34" i="25"/>
  <c r="CN34" i="25" s="1"/>
  <c r="BC34" i="25" l="1"/>
  <c r="CS34" i="25" s="1"/>
  <c r="BB34" i="25"/>
  <c r="CR34" i="25" s="1"/>
  <c r="BA34" i="25"/>
  <c r="CQ34" i="25" s="1"/>
  <c r="BD34" i="25"/>
  <c r="CT34" i="25" s="1"/>
  <c r="AS24" i="25" l="1"/>
  <c r="AP25" i="25"/>
  <c r="AN24" i="25" l="1"/>
  <c r="AS25" i="25"/>
  <c r="AS13" i="25"/>
  <c r="AS14" i="25"/>
  <c r="AS15" i="25"/>
  <c r="AS16" i="25"/>
  <c r="AS17" i="25"/>
  <c r="AS18" i="25"/>
  <c r="AS19" i="25"/>
  <c r="AS20" i="25"/>
  <c r="AS21" i="25"/>
  <c r="AS22" i="25"/>
  <c r="AS23" i="25"/>
  <c r="AS34" i="25"/>
  <c r="AP24" i="25"/>
  <c r="AQ24" i="25"/>
  <c r="AN25" i="25" l="1"/>
  <c r="AM24" i="25"/>
  <c r="CF24" i="25"/>
  <c r="CF25" i="25"/>
  <c r="CI15" i="25"/>
  <c r="CI19" i="25"/>
  <c r="CI23" i="25"/>
  <c r="CI16" i="25"/>
  <c r="CI20" i="25"/>
  <c r="CI24" i="25"/>
  <c r="CI17" i="25"/>
  <c r="CI21" i="25"/>
  <c r="CI25" i="25"/>
  <c r="CI13" i="25"/>
  <c r="CI14" i="25"/>
  <c r="CI18" i="25"/>
  <c r="CI22" i="25"/>
  <c r="CG24" i="25"/>
  <c r="AN14" i="25"/>
  <c r="AN15" i="25"/>
  <c r="AN16" i="25"/>
  <c r="AN17" i="25"/>
  <c r="AN18" i="25"/>
  <c r="AN19" i="25"/>
  <c r="AN20" i="25"/>
  <c r="AN21" i="25"/>
  <c r="AN22" i="25"/>
  <c r="AN23" i="25"/>
  <c r="AN34" i="25"/>
  <c r="AQ25" i="25"/>
  <c r="AR24" i="25"/>
  <c r="CH24" i="25" l="1"/>
  <c r="CG25" i="25"/>
  <c r="CC24" i="25"/>
  <c r="AS26" i="25"/>
  <c r="AN13" i="25"/>
  <c r="AR25" i="25"/>
  <c r="AO27" i="25" l="1"/>
  <c r="AN27" i="25"/>
  <c r="CD15" i="25"/>
  <c r="CD19" i="25"/>
  <c r="CD23" i="25"/>
  <c r="CD16" i="25"/>
  <c r="CD20" i="25"/>
  <c r="CD24" i="25"/>
  <c r="CD13" i="25"/>
  <c r="CD25" i="25"/>
  <c r="CD17" i="25"/>
  <c r="CD14" i="25"/>
  <c r="CD18" i="25"/>
  <c r="CD22" i="25"/>
  <c r="CD21" i="25"/>
  <c r="CH25" i="25"/>
  <c r="AN26" i="25"/>
  <c r="CD26" i="25" s="1"/>
  <c r="AO26" i="25"/>
  <c r="AS27" i="25"/>
  <c r="CI27" i="25" s="1"/>
  <c r="CI26" i="25"/>
  <c r="AP26" i="25"/>
  <c r="AP27" i="25"/>
  <c r="AM26" i="25"/>
  <c r="AQ26" i="25"/>
  <c r="AN28" i="25" l="1"/>
  <c r="CD28" i="25" s="1"/>
  <c r="AO28" i="25"/>
  <c r="CD27" i="25"/>
  <c r="AO14" i="25"/>
  <c r="AO15" i="25"/>
  <c r="AO16" i="25"/>
  <c r="AO17" i="25"/>
  <c r="AO18" i="25"/>
  <c r="AO19" i="25"/>
  <c r="AO20" i="25"/>
  <c r="AO21" i="25"/>
  <c r="AO22" i="25"/>
  <c r="AO23" i="25"/>
  <c r="AO34" i="25"/>
  <c r="AO24" i="25"/>
  <c r="AO25" i="25"/>
  <c r="AM25" i="25"/>
  <c r="CC26" i="25" s="1"/>
  <c r="CG26" i="25"/>
  <c r="CF26" i="25"/>
  <c r="CF27" i="25"/>
  <c r="AS28" i="25"/>
  <c r="AM27" i="25"/>
  <c r="AR27" i="25"/>
  <c r="AQ27" i="25"/>
  <c r="AP28" i="25"/>
  <c r="CF28" i="25" s="1"/>
  <c r="AR26" i="25"/>
  <c r="CC27" i="25" l="1"/>
  <c r="CH26" i="25"/>
  <c r="CH27" i="25"/>
  <c r="CG27" i="25"/>
  <c r="AO13" i="25"/>
  <c r="CI28" i="25"/>
  <c r="AS29" i="25"/>
  <c r="CI29" i="25" s="1"/>
  <c r="CC25" i="25"/>
  <c r="AR28" i="25"/>
  <c r="AQ28" i="25"/>
  <c r="CG28" i="25" s="1"/>
  <c r="AS30" i="25" l="1"/>
  <c r="CI30" i="25" s="1"/>
  <c r="AT30" i="25"/>
  <c r="AN29" i="25"/>
  <c r="AO29" i="25"/>
  <c r="CE29" i="25" s="1"/>
  <c r="AO30" i="25"/>
  <c r="AN30" i="25"/>
  <c r="CE16" i="25"/>
  <c r="CE20" i="25"/>
  <c r="CE24" i="25"/>
  <c r="CE28" i="25"/>
  <c r="CE21" i="25"/>
  <c r="CE25" i="25"/>
  <c r="CE26" i="25"/>
  <c r="CE13" i="25"/>
  <c r="CE17" i="25"/>
  <c r="CE22" i="25"/>
  <c r="CE18" i="25"/>
  <c r="CE15" i="25"/>
  <c r="CE19" i="25"/>
  <c r="CE23" i="25"/>
  <c r="CE27" i="25"/>
  <c r="CE14" i="25"/>
  <c r="CH28" i="25"/>
  <c r="AQ29" i="25"/>
  <c r="CG29" i="25" s="1"/>
  <c r="AP29" i="25"/>
  <c r="AP30" i="25"/>
  <c r="CE30" i="25" l="1"/>
  <c r="AT31" i="25"/>
  <c r="AS31" i="25"/>
  <c r="CI31" i="25" s="1"/>
  <c r="CF29" i="25"/>
  <c r="CF30" i="25"/>
  <c r="AO31" i="25"/>
  <c r="AN31" i="25"/>
  <c r="CD31" i="25" s="1"/>
  <c r="CD29" i="25"/>
  <c r="CD30" i="25"/>
  <c r="AM28" i="25"/>
  <c r="A72" i="25"/>
  <c r="AT14" i="25"/>
  <c r="AT15" i="25"/>
  <c r="AT16" i="25"/>
  <c r="AT17" i="25"/>
  <c r="AT18" i="25"/>
  <c r="AT19" i="25"/>
  <c r="AT20" i="25"/>
  <c r="AT21" i="25"/>
  <c r="AT22" i="25"/>
  <c r="AT23" i="25"/>
  <c r="AT34" i="25"/>
  <c r="AT24" i="25"/>
  <c r="AT25" i="25"/>
  <c r="AT26" i="25"/>
  <c r="AT27" i="25"/>
  <c r="AT28" i="25"/>
  <c r="AT29" i="25"/>
  <c r="AQ30" i="25"/>
  <c r="CG30" i="25" s="1"/>
  <c r="AR30" i="25"/>
  <c r="AR29" i="25"/>
  <c r="AM29" i="25"/>
  <c r="AQ31" i="25"/>
  <c r="CG31" i="25" s="1"/>
  <c r="AP31" i="25"/>
  <c r="CF31" i="25" s="1"/>
  <c r="CC29" i="25" l="1"/>
  <c r="CH29" i="25"/>
  <c r="AT13" i="25"/>
  <c r="A71" i="25"/>
  <c r="AN32" i="25"/>
  <c r="AO32" i="25"/>
  <c r="CE32" i="25" s="1"/>
  <c r="CE31" i="25"/>
  <c r="AS32" i="25"/>
  <c r="CI32" i="25" s="1"/>
  <c r="AT32" i="25"/>
  <c r="CC28" i="25"/>
  <c r="CH30" i="25"/>
  <c r="AM30" i="25"/>
  <c r="CC30" i="25" s="1"/>
  <c r="AP32" i="25"/>
  <c r="CF32" i="25" s="1"/>
  <c r="AR31" i="25"/>
  <c r="CH31" i="25" s="1"/>
  <c r="AS33" i="25" l="1"/>
  <c r="AT33" i="25"/>
  <c r="CJ33" i="25" s="1"/>
  <c r="CJ13" i="25"/>
  <c r="CJ17" i="25"/>
  <c r="CJ21" i="25"/>
  <c r="CJ25" i="25"/>
  <c r="CJ29" i="25"/>
  <c r="CJ14" i="25"/>
  <c r="CJ18" i="25"/>
  <c r="CJ26" i="25"/>
  <c r="CJ30" i="25"/>
  <c r="CJ15" i="25"/>
  <c r="CJ27" i="25"/>
  <c r="CJ22" i="25"/>
  <c r="CJ23" i="25"/>
  <c r="CJ16" i="25"/>
  <c r="CJ20" i="25"/>
  <c r="CJ24" i="25"/>
  <c r="CJ28" i="25"/>
  <c r="CJ19" i="25"/>
  <c r="CJ31" i="25"/>
  <c r="CJ32" i="25"/>
  <c r="CJ34" i="25"/>
  <c r="CD32" i="25"/>
  <c r="AR32" i="25"/>
  <c r="CH32" i="25" s="1"/>
  <c r="AM31" i="25"/>
  <c r="AQ32" i="25"/>
  <c r="CG32" i="25" s="1"/>
  <c r="CI33" i="25" l="1"/>
  <c r="CI34" i="25"/>
  <c r="CC31" i="25"/>
  <c r="AN33" i="25"/>
  <c r="AO33" i="25"/>
  <c r="AM32" i="25"/>
  <c r="CC32" i="25" s="1"/>
  <c r="AP33" i="25" l="1"/>
  <c r="AQ33" i="25"/>
  <c r="CD33" i="25"/>
  <c r="CD34" i="25"/>
  <c r="CF33" i="25" l="1"/>
  <c r="CF34" i="25"/>
  <c r="AM33" i="25"/>
  <c r="CG34" i="25"/>
  <c r="CG33" i="25"/>
  <c r="AR33" i="25" l="1"/>
  <c r="A73" i="25"/>
  <c r="CC34" i="25"/>
  <c r="CC33" i="25"/>
  <c r="CH33" i="25" l="1"/>
  <c r="CH34" i="25"/>
  <c r="D18" i="43" l="1"/>
  <c r="G18" i="43" l="1"/>
  <c r="J18" i="43" s="1"/>
  <c r="L18" i="43"/>
  <c r="BG14" i="25" s="1"/>
  <c r="D19" i="43"/>
  <c r="L19" i="43" s="1"/>
  <c r="BG15" i="25" s="1"/>
  <c r="D20" i="43" l="1"/>
  <c r="L20" i="43" s="1"/>
  <c r="BG16" i="25" s="1"/>
  <c r="G19" i="43"/>
  <c r="J19" i="43" s="1"/>
  <c r="B11" i="77"/>
  <c r="D21" i="43" l="1"/>
  <c r="L21" i="43" s="1"/>
  <c r="BG17" i="25" s="1"/>
  <c r="G20" i="43"/>
  <c r="B12" i="77"/>
  <c r="K18" i="43"/>
  <c r="K19" i="43"/>
  <c r="J20" i="43" l="1"/>
  <c r="D22" i="43"/>
  <c r="L22" i="43" s="1"/>
  <c r="BG18" i="25" s="1"/>
  <c r="G21" i="43"/>
  <c r="J21" i="43" s="1"/>
  <c r="CB15" i="25"/>
  <c r="CB14" i="25"/>
  <c r="B13" i="77"/>
  <c r="K20" i="43"/>
  <c r="D23" i="43" l="1"/>
  <c r="L23" i="43" s="1"/>
  <c r="BG19" i="25" s="1"/>
  <c r="G22" i="43"/>
  <c r="J22" i="43" s="1"/>
  <c r="CB16" i="25"/>
  <c r="B14" i="77"/>
  <c r="K21" i="43"/>
  <c r="D24" i="43" l="1"/>
  <c r="L24" i="43" s="1"/>
  <c r="BG20" i="25" s="1"/>
  <c r="G23" i="43"/>
  <c r="J23" i="43" s="1"/>
  <c r="CB17" i="25"/>
  <c r="B15" i="77"/>
  <c r="K22" i="43"/>
  <c r="D25" i="43" l="1"/>
  <c r="L25" i="43" s="1"/>
  <c r="BG21" i="25" s="1"/>
  <c r="G24" i="43"/>
  <c r="J24" i="43" s="1"/>
  <c r="CB18" i="25"/>
  <c r="B16" i="77"/>
  <c r="K23" i="43"/>
  <c r="D26" i="43" l="1"/>
  <c r="L26" i="43" s="1"/>
  <c r="BG22" i="25" s="1"/>
  <c r="G25" i="43"/>
  <c r="J25" i="43" s="1"/>
  <c r="CB19" i="25"/>
  <c r="B17" i="77"/>
  <c r="K24" i="43"/>
  <c r="D27" i="43" l="1"/>
  <c r="L27" i="43" s="1"/>
  <c r="BG23" i="25" s="1"/>
  <c r="G26" i="43"/>
  <c r="J26" i="43" s="1"/>
  <c r="CB20" i="25"/>
  <c r="B18" i="77"/>
  <c r="CA13" i="25"/>
  <c r="CU13" i="25" s="1"/>
  <c r="C13" i="25" s="1"/>
  <c r="K25" i="43"/>
  <c r="D28" i="43" l="1"/>
  <c r="L28" i="43" s="1"/>
  <c r="BG24" i="25" s="1"/>
  <c r="G27" i="43"/>
  <c r="J27" i="43" s="1"/>
  <c r="CB21" i="25"/>
  <c r="CA22" i="25"/>
  <c r="B19" i="77"/>
  <c r="CA14" i="25"/>
  <c r="CU14" i="25" s="1"/>
  <c r="C14" i="25" s="1"/>
  <c r="K26" i="43"/>
  <c r="D29" i="43" l="1"/>
  <c r="L29" i="43" s="1"/>
  <c r="BG25" i="25" s="1"/>
  <c r="G28" i="43"/>
  <c r="J28" i="43" s="1"/>
  <c r="CB22" i="25"/>
  <c r="CU22" i="25" s="1"/>
  <c r="C22" i="25" s="1"/>
  <c r="CA23" i="25"/>
  <c r="B20" i="77"/>
  <c r="CA15" i="25"/>
  <c r="CU15" i="25" s="1"/>
  <c r="C15" i="25" s="1"/>
  <c r="K27" i="43"/>
  <c r="D30" i="43" l="1"/>
  <c r="L30" i="43" s="1"/>
  <c r="BG26" i="25" s="1"/>
  <c r="G29" i="43"/>
  <c r="J29" i="43" s="1"/>
  <c r="CB23" i="25"/>
  <c r="CU23" i="25" s="1"/>
  <c r="C23" i="25" s="1"/>
  <c r="CA24" i="25"/>
  <c r="B21" i="77"/>
  <c r="CA16" i="25"/>
  <c r="CU16" i="25" s="1"/>
  <c r="C16" i="25" s="1"/>
  <c r="K28" i="43"/>
  <c r="D31" i="43" l="1"/>
  <c r="L31" i="43" s="1"/>
  <c r="BG27" i="25" s="1"/>
  <c r="G30" i="43"/>
  <c r="J30" i="43" s="1"/>
  <c r="CB24" i="25"/>
  <c r="CU24" i="25" s="1"/>
  <c r="C24" i="25" s="1"/>
  <c r="CA25" i="25"/>
  <c r="B22" i="77"/>
  <c r="CA17" i="25"/>
  <c r="CU17" i="25" s="1"/>
  <c r="C17" i="25" s="1"/>
  <c r="K29" i="43"/>
  <c r="D32" i="43" l="1"/>
  <c r="L32" i="43" s="1"/>
  <c r="BG28" i="25" s="1"/>
  <c r="G31" i="43"/>
  <c r="J31" i="43" s="1"/>
  <c r="CB25" i="25"/>
  <c r="CU25" i="25" s="1"/>
  <c r="C25" i="25" s="1"/>
  <c r="CA26" i="25"/>
  <c r="B23" i="77"/>
  <c r="CA18" i="25"/>
  <c r="CU18" i="25" s="1"/>
  <c r="C18" i="25" s="1"/>
  <c r="K30" i="43"/>
  <c r="D33" i="43" l="1"/>
  <c r="L33" i="43" s="1"/>
  <c r="BG29" i="25" s="1"/>
  <c r="G32" i="43"/>
  <c r="J32" i="43" s="1"/>
  <c r="CB26" i="25"/>
  <c r="CU26" i="25" s="1"/>
  <c r="C26" i="25" s="1"/>
  <c r="CA27" i="25"/>
  <c r="B24" i="77"/>
  <c r="CA29" i="25"/>
  <c r="CA19" i="25"/>
  <c r="CU19" i="25" s="1"/>
  <c r="C19" i="25" s="1"/>
  <c r="K31" i="43"/>
  <c r="G33" i="43" l="1"/>
  <c r="D34" i="43"/>
  <c r="L34" i="43" s="1"/>
  <c r="BG30" i="25" s="1"/>
  <c r="CB27" i="25"/>
  <c r="CU27" i="25" s="1"/>
  <c r="C27" i="25" s="1"/>
  <c r="CA28" i="25"/>
  <c r="AB49" i="43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CA30" i="25"/>
  <c r="CA20" i="25"/>
  <c r="CU20" i="25" s="1"/>
  <c r="C20" i="25" s="1"/>
  <c r="K32" i="43"/>
  <c r="CA32" i="25"/>
  <c r="J33" i="43" l="1"/>
  <c r="K33" i="43" s="1"/>
  <c r="CB29" i="25" s="1"/>
  <c r="CU29" i="25" s="1"/>
  <c r="C29" i="25" s="1"/>
  <c r="G34" i="43"/>
  <c r="D35" i="43"/>
  <c r="L35" i="43" s="1"/>
  <c r="BG31" i="25" s="1"/>
  <c r="CB28" i="25"/>
  <c r="CU28" i="25" s="1"/>
  <c r="C28" i="25" s="1"/>
  <c r="B50" i="77"/>
  <c r="CA31" i="25"/>
  <c r="CA21" i="25"/>
  <c r="CU21" i="25" s="1"/>
  <c r="C21" i="25" s="1"/>
  <c r="J34" i="43" l="1"/>
  <c r="K34" i="43" s="1"/>
  <c r="G35" i="43"/>
  <c r="D36" i="43"/>
  <c r="L36" i="43" s="1"/>
  <c r="BG32" i="25" s="1"/>
  <c r="CB30" i="25" l="1"/>
  <c r="CU30" i="25" s="1"/>
  <c r="C30" i="25" s="1"/>
  <c r="BF33" i="25"/>
  <c r="CA33" i="25" s="1"/>
  <c r="CU33" i="25" s="1"/>
  <c r="C33" i="25" s="1"/>
  <c r="J35" i="43"/>
  <c r="K35" i="43" s="1"/>
  <c r="G36" i="43"/>
  <c r="D37" i="43"/>
  <c r="L37" i="43" s="1"/>
  <c r="K264" i="31"/>
  <c r="K253" i="31"/>
  <c r="K255" i="31"/>
  <c r="K257" i="31"/>
  <c r="K260" i="31"/>
  <c r="K263" i="31"/>
  <c r="K261" i="31"/>
  <c r="K262" i="31"/>
  <c r="K256" i="31"/>
  <c r="K258" i="31"/>
  <c r="CB31" i="25" l="1"/>
  <c r="CU31" i="25" s="1"/>
  <c r="C31" i="25" s="1"/>
  <c r="BF34" i="25"/>
  <c r="CA34" i="25" s="1"/>
  <c r="CU34" i="25" s="1"/>
  <c r="C34" i="25" s="1"/>
  <c r="J36" i="43"/>
  <c r="K36" i="43" s="1"/>
  <c r="CB32" i="25" s="1"/>
  <c r="CU32" i="25" s="1"/>
  <c r="C32" i="25" s="1"/>
  <c r="G37" i="43"/>
  <c r="O36" i="31"/>
  <c r="K254" i="31"/>
  <c r="N36" i="31"/>
  <c r="K259" i="31"/>
  <c r="J37" i="43" l="1"/>
  <c r="K37" i="43" s="1"/>
  <c r="R36" i="31"/>
  <c r="M36" i="31" l="1"/>
  <c r="P36" i="31" l="1"/>
  <c r="Q36" i="31"/>
  <c r="D205" i="31" l="1"/>
  <c r="K205" i="31"/>
  <c r="O32" i="31"/>
  <c r="K222" i="31"/>
  <c r="D222" i="31"/>
  <c r="D141" i="31"/>
  <c r="K141" i="31"/>
  <c r="D178" i="31"/>
  <c r="K178" i="31"/>
  <c r="D224" i="31"/>
  <c r="K224" i="31"/>
  <c r="K145" i="31"/>
  <c r="D145" i="31"/>
  <c r="O27" i="31"/>
  <c r="D177" i="31"/>
  <c r="K177" i="31"/>
  <c r="K231" i="31"/>
  <c r="D231" i="31"/>
  <c r="D161" i="31"/>
  <c r="K161" i="31"/>
  <c r="K202" i="31"/>
  <c r="D202" i="31"/>
  <c r="K200" i="31"/>
  <c r="D200" i="31"/>
  <c r="K238" i="31"/>
  <c r="D238" i="31"/>
  <c r="D162" i="31"/>
  <c r="K162" i="31"/>
  <c r="D165" i="31"/>
  <c r="K165" i="31"/>
  <c r="D213" i="31"/>
  <c r="K213" i="31"/>
  <c r="K151" i="31"/>
  <c r="D151" i="31"/>
  <c r="K173" i="31"/>
  <c r="D173" i="31"/>
  <c r="K189" i="31"/>
  <c r="D189" i="31"/>
  <c r="D192" i="31"/>
  <c r="K192" i="31"/>
  <c r="D240" i="31"/>
  <c r="K240" i="31"/>
  <c r="D170" i="31"/>
  <c r="K170" i="31"/>
  <c r="K148" i="31"/>
  <c r="D148" i="31"/>
  <c r="D221" i="31"/>
  <c r="K221" i="31"/>
  <c r="D191" i="31"/>
  <c r="K191" i="31"/>
  <c r="D138" i="31"/>
  <c r="K138" i="31"/>
  <c r="D143" i="31"/>
  <c r="K143" i="31"/>
  <c r="D182" i="31"/>
  <c r="K182" i="31"/>
  <c r="D235" i="31"/>
  <c r="K235" i="31"/>
  <c r="D209" i="31"/>
  <c r="K209" i="31"/>
  <c r="D196" i="31"/>
  <c r="K196" i="31"/>
  <c r="K239" i="31"/>
  <c r="D239" i="31"/>
  <c r="K181" i="31"/>
  <c r="O30" i="31"/>
  <c r="D181" i="31"/>
  <c r="D208" i="31"/>
  <c r="K208" i="31"/>
  <c r="D136" i="31"/>
  <c r="K136" i="31"/>
  <c r="K167" i="31"/>
  <c r="D167" i="31"/>
  <c r="O33" i="31"/>
  <c r="K217" i="31"/>
  <c r="D217" i="31"/>
  <c r="D157" i="31"/>
  <c r="O28" i="31"/>
  <c r="K157" i="31"/>
  <c r="K190" i="31"/>
  <c r="D190" i="31"/>
  <c r="D183" i="31"/>
  <c r="K183" i="31"/>
  <c r="K237" i="31"/>
  <c r="D237" i="31"/>
  <c r="K160" i="31"/>
  <c r="D160" i="31"/>
  <c r="K212" i="31"/>
  <c r="D212" i="31"/>
  <c r="D179" i="31"/>
  <c r="K179" i="31"/>
  <c r="K219" i="31"/>
  <c r="D219" i="31"/>
  <c r="K226" i="31"/>
  <c r="D226" i="31"/>
  <c r="D216" i="31"/>
  <c r="K216" i="31"/>
  <c r="D234" i="31"/>
  <c r="K234" i="31"/>
  <c r="D184" i="31"/>
  <c r="K184" i="31"/>
  <c r="K146" i="31"/>
  <c r="D146" i="31"/>
  <c r="K214" i="31"/>
  <c r="D214" i="31"/>
  <c r="K185" i="31"/>
  <c r="D185" i="31"/>
  <c r="K158" i="31"/>
  <c r="D158" i="31"/>
  <c r="K194" i="31"/>
  <c r="D194" i="31"/>
  <c r="D166" i="31"/>
  <c r="K166" i="31"/>
  <c r="D176" i="31"/>
  <c r="K176" i="31"/>
  <c r="K153" i="31"/>
  <c r="D153" i="31"/>
  <c r="K199" i="31"/>
  <c r="D199" i="31"/>
  <c r="D152" i="31"/>
  <c r="K152" i="31"/>
  <c r="K159" i="31"/>
  <c r="D159" i="31"/>
  <c r="K139" i="31"/>
  <c r="D139" i="31"/>
  <c r="D169" i="31"/>
  <c r="K169" i="31"/>
  <c r="O29" i="31"/>
  <c r="K155" i="31"/>
  <c r="D155" i="31"/>
  <c r="O31" i="31"/>
  <c r="K193" i="31"/>
  <c r="D193" i="31"/>
  <c r="K164" i="31"/>
  <c r="D164" i="31"/>
  <c r="D134" i="31"/>
  <c r="K134" i="31"/>
  <c r="K135" i="31"/>
  <c r="D135" i="31"/>
  <c r="D137" i="31"/>
  <c r="K137" i="31"/>
  <c r="D225" i="31"/>
  <c r="K225" i="31"/>
  <c r="K227" i="31"/>
  <c r="D227" i="31"/>
  <c r="D188" i="31"/>
  <c r="K188" i="31"/>
  <c r="D211" i="31"/>
  <c r="K211" i="31"/>
  <c r="K154" i="31"/>
  <c r="D154" i="31"/>
  <c r="K175" i="31"/>
  <c r="D175" i="31"/>
  <c r="D210" i="31"/>
  <c r="K210" i="31"/>
  <c r="D195" i="31"/>
  <c r="K195" i="31"/>
  <c r="O34" i="31"/>
  <c r="K229" i="31"/>
  <c r="D229" i="31"/>
  <c r="K133" i="31"/>
  <c r="O26" i="31"/>
  <c r="D133" i="31"/>
  <c r="K187" i="31"/>
  <c r="D187" i="31"/>
  <c r="K156" i="31"/>
  <c r="D156" i="31"/>
  <c r="D207" i="31"/>
  <c r="K207" i="31"/>
  <c r="D197" i="31"/>
  <c r="K197" i="31"/>
  <c r="K163" i="31"/>
  <c r="D163" i="31"/>
  <c r="K220" i="31"/>
  <c r="D220" i="31"/>
  <c r="K203" i="31"/>
  <c r="D203" i="31"/>
  <c r="D172" i="31"/>
  <c r="K172" i="31"/>
  <c r="K206" i="31"/>
  <c r="D206" i="31"/>
  <c r="K142" i="31"/>
  <c r="D142" i="31"/>
  <c r="D228" i="31"/>
  <c r="K228" i="31"/>
  <c r="K215" i="31"/>
  <c r="D215" i="31"/>
  <c r="D186" i="31"/>
  <c r="K186" i="31"/>
  <c r="D180" i="31"/>
  <c r="K180" i="31"/>
  <c r="D230" i="31"/>
  <c r="K230" i="31"/>
  <c r="D147" i="31"/>
  <c r="K147" i="31"/>
  <c r="K232" i="31"/>
  <c r="D232" i="31"/>
  <c r="K201" i="31"/>
  <c r="D201" i="31"/>
  <c r="K171" i="31"/>
  <c r="D171" i="31"/>
  <c r="K140" i="31"/>
  <c r="D140" i="31"/>
  <c r="D144" i="31"/>
  <c r="K144" i="31"/>
  <c r="K218" i="31"/>
  <c r="D218" i="31"/>
  <c r="D198" i="31"/>
  <c r="K198" i="31"/>
  <c r="D168" i="31"/>
  <c r="K168" i="31"/>
  <c r="K233" i="31"/>
  <c r="D233" i="31"/>
  <c r="D150" i="31"/>
  <c r="K150" i="31"/>
  <c r="K204" i="31"/>
  <c r="D204" i="31"/>
  <c r="D223" i="31"/>
  <c r="K223" i="31"/>
  <c r="K236" i="31"/>
  <c r="D236" i="31"/>
  <c r="D149" i="31"/>
  <c r="K149" i="31"/>
  <c r="K174" i="31"/>
  <c r="D174" i="31"/>
  <c r="K244" i="31" l="1"/>
  <c r="D244" i="31"/>
  <c r="K246" i="31"/>
  <c r="D246" i="31"/>
  <c r="K249" i="31"/>
  <c r="D249" i="31"/>
  <c r="N33" i="31"/>
  <c r="K243" i="31"/>
  <c r="D243" i="31"/>
  <c r="D245" i="31"/>
  <c r="K245" i="31"/>
  <c r="N26" i="31"/>
  <c r="N34" i="31"/>
  <c r="N30" i="31"/>
  <c r="D247" i="31"/>
  <c r="K247" i="31"/>
  <c r="D248" i="31"/>
  <c r="K248" i="31"/>
  <c r="N31" i="31"/>
  <c r="N28" i="31"/>
  <c r="D251" i="31"/>
  <c r="K251" i="31"/>
  <c r="K252" i="31"/>
  <c r="D252" i="31"/>
  <c r="N27" i="31"/>
  <c r="D242" i="31"/>
  <c r="K242" i="31"/>
  <c r="O35" i="31"/>
  <c r="K241" i="31"/>
  <c r="D241" i="31"/>
  <c r="N29" i="31"/>
  <c r="K250" i="31"/>
  <c r="D250" i="31"/>
  <c r="N32" i="31"/>
  <c r="R28" i="31" l="1"/>
  <c r="R26" i="31"/>
  <c r="R29" i="31"/>
  <c r="R31" i="31"/>
  <c r="R33" i="31"/>
  <c r="R32" i="31"/>
  <c r="R30" i="31"/>
  <c r="R27" i="31"/>
  <c r="R34" i="31"/>
  <c r="N35" i="31"/>
  <c r="E219" i="31"/>
  <c r="E207" i="31"/>
  <c r="E209" i="31"/>
  <c r="E210" i="31"/>
  <c r="E218" i="31"/>
  <c r="E228" i="31"/>
  <c r="E220" i="31"/>
  <c r="E222" i="31"/>
  <c r="E213" i="31"/>
  <c r="E227" i="31"/>
  <c r="E208" i="31"/>
  <c r="E212" i="31"/>
  <c r="E226" i="31"/>
  <c r="E224" i="31"/>
  <c r="E225" i="31"/>
  <c r="E215" i="31"/>
  <c r="E175" i="31"/>
  <c r="E165" i="31"/>
  <c r="E188" i="31"/>
  <c r="E178" i="31"/>
  <c r="E183" i="31"/>
  <c r="E159" i="31"/>
  <c r="E187" i="31"/>
  <c r="E214" i="31"/>
  <c r="E191" i="31"/>
  <c r="E211" i="31"/>
  <c r="E172" i="31"/>
  <c r="E137" i="31"/>
  <c r="E186" i="31"/>
  <c r="E148" i="31"/>
  <c r="E166" i="31"/>
  <c r="E170" i="31"/>
  <c r="E198" i="31"/>
  <c r="E179" i="31"/>
  <c r="E202" i="31"/>
  <c r="E199" i="31"/>
  <c r="E164" i="31"/>
  <c r="E176" i="31"/>
  <c r="E194" i="31"/>
  <c r="E163" i="31"/>
  <c r="E152" i="31"/>
  <c r="E200" i="31"/>
  <c r="E196" i="31"/>
  <c r="E141" i="31"/>
  <c r="E154" i="31"/>
  <c r="E144" i="31"/>
  <c r="E142" i="31"/>
  <c r="E177" i="31"/>
  <c r="E140" i="31"/>
  <c r="E221" i="31"/>
  <c r="E223" i="31"/>
  <c r="E156" i="31"/>
  <c r="E182" i="31"/>
  <c r="E190" i="31"/>
  <c r="E173" i="31"/>
  <c r="E180" i="31"/>
  <c r="E171" i="31"/>
  <c r="E204" i="31"/>
  <c r="E195" i="31"/>
  <c r="E135" i="31"/>
  <c r="E189" i="31"/>
  <c r="E167" i="31"/>
  <c r="E216" i="31"/>
  <c r="E158" i="31"/>
  <c r="E138" i="31"/>
  <c r="E146" i="31"/>
  <c r="E149" i="31"/>
  <c r="E192" i="31"/>
  <c r="E203" i="31"/>
  <c r="E185" i="31"/>
  <c r="E155" i="31"/>
  <c r="E174" i="31"/>
  <c r="E160" i="31"/>
  <c r="E147" i="31"/>
  <c r="E139" i="31"/>
  <c r="E201" i="31"/>
  <c r="E136" i="31"/>
  <c r="E151" i="31"/>
  <c r="E184" i="31"/>
  <c r="E150" i="31"/>
  <c r="E143" i="31"/>
  <c r="E197" i="31"/>
  <c r="E161" i="31"/>
  <c r="E153" i="31"/>
  <c r="E168" i="31"/>
  <c r="E134" i="31"/>
  <c r="E162" i="31"/>
  <c r="G147" i="31" l="1"/>
  <c r="G160" i="31"/>
  <c r="G167" i="31"/>
  <c r="G223" i="31"/>
  <c r="G144" i="31"/>
  <c r="G154" i="31"/>
  <c r="G196" i="31"/>
  <c r="G152" i="31"/>
  <c r="G176" i="31"/>
  <c r="G148" i="31"/>
  <c r="G186" i="31"/>
  <c r="G137" i="31"/>
  <c r="G214" i="31"/>
  <c r="G178" i="31"/>
  <c r="G175" i="31"/>
  <c r="G225" i="31"/>
  <c r="G226" i="31"/>
  <c r="G227" i="31"/>
  <c r="G213" i="31"/>
  <c r="G220" i="31"/>
  <c r="G210" i="31"/>
  <c r="G209" i="31"/>
  <c r="G168" i="31"/>
  <c r="G153" i="31"/>
  <c r="G143" i="31"/>
  <c r="G184" i="31"/>
  <c r="G201" i="31"/>
  <c r="G203" i="31"/>
  <c r="G138" i="31"/>
  <c r="G158" i="31"/>
  <c r="G216" i="31"/>
  <c r="G171" i="31"/>
  <c r="G180" i="31"/>
  <c r="G190" i="31"/>
  <c r="G194" i="31"/>
  <c r="G164" i="31"/>
  <c r="G202" i="31"/>
  <c r="G198" i="31"/>
  <c r="G166" i="31"/>
  <c r="G172" i="31"/>
  <c r="G191" i="31"/>
  <c r="G159" i="31"/>
  <c r="G183" i="31"/>
  <c r="G134" i="31"/>
  <c r="G161" i="31"/>
  <c r="G136" i="31"/>
  <c r="G139" i="31"/>
  <c r="G174" i="31"/>
  <c r="G155" i="31"/>
  <c r="G185" i="31"/>
  <c r="G149" i="31"/>
  <c r="G135" i="31"/>
  <c r="G204" i="31"/>
  <c r="G182" i="31"/>
  <c r="G140" i="31"/>
  <c r="G177" i="31"/>
  <c r="G142" i="31"/>
  <c r="G141" i="31"/>
  <c r="G200" i="31"/>
  <c r="G187" i="31"/>
  <c r="G188" i="31"/>
  <c r="G165" i="31"/>
  <c r="G215" i="31"/>
  <c r="G224" i="31"/>
  <c r="G212" i="31"/>
  <c r="G208" i="31"/>
  <c r="G222" i="31"/>
  <c r="G228" i="31"/>
  <c r="G218" i="31"/>
  <c r="G207" i="31"/>
  <c r="G219" i="31"/>
  <c r="R35" i="31"/>
  <c r="G162" i="31"/>
  <c r="G197" i="31"/>
  <c r="G150" i="31"/>
  <c r="G151" i="31"/>
  <c r="G192" i="31"/>
  <c r="G146" i="31"/>
  <c r="G189" i="31"/>
  <c r="G195" i="31"/>
  <c r="G173" i="31"/>
  <c r="G156" i="31"/>
  <c r="G221" i="31"/>
  <c r="G163" i="31"/>
  <c r="G199" i="31"/>
  <c r="G179" i="31"/>
  <c r="G170" i="31"/>
  <c r="G211" i="31"/>
  <c r="E236" i="31"/>
  <c r="C248" i="31"/>
  <c r="E248" i="31" s="1"/>
  <c r="E235" i="31"/>
  <c r="C247" i="31"/>
  <c r="E247" i="31" s="1"/>
  <c r="E238" i="31"/>
  <c r="C250" i="31"/>
  <c r="E250" i="31" s="1"/>
  <c r="C249" i="31"/>
  <c r="E249" i="31" s="1"/>
  <c r="E237" i="31"/>
  <c r="E231" i="31"/>
  <c r="C243" i="31"/>
  <c r="E243" i="31" s="1"/>
  <c r="C244" i="31"/>
  <c r="E244" i="31" s="1"/>
  <c r="E232" i="31"/>
  <c r="E233" i="31"/>
  <c r="C245" i="31"/>
  <c r="E245" i="31" s="1"/>
  <c r="C252" i="31"/>
  <c r="E252" i="31" s="1"/>
  <c r="E240" i="31"/>
  <c r="E234" i="31"/>
  <c r="C246" i="31"/>
  <c r="E246" i="31" s="1"/>
  <c r="E239" i="31"/>
  <c r="C251" i="31"/>
  <c r="E251" i="31" s="1"/>
  <c r="C242" i="31"/>
  <c r="E242" i="31" s="1"/>
  <c r="E230" i="31"/>
  <c r="E206" i="31"/>
  <c r="G230" i="31" l="1"/>
  <c r="G246" i="31"/>
  <c r="G245" i="31"/>
  <c r="G243" i="31"/>
  <c r="G250" i="31"/>
  <c r="G248" i="31"/>
  <c r="G242" i="31"/>
  <c r="G234" i="31"/>
  <c r="G233" i="31"/>
  <c r="G231" i="31"/>
  <c r="G238" i="31"/>
  <c r="G236" i="31"/>
  <c r="G206" i="31"/>
  <c r="G251" i="31"/>
  <c r="G240" i="31"/>
  <c r="G232" i="31"/>
  <c r="G237" i="31"/>
  <c r="G247" i="31"/>
  <c r="G239" i="31"/>
  <c r="G252" i="31"/>
  <c r="G244" i="31"/>
  <c r="G249" i="31"/>
  <c r="G235" i="31"/>
  <c r="E217" i="31"/>
  <c r="M33" i="31"/>
  <c r="M29" i="31"/>
  <c r="E169" i="31"/>
  <c r="E157" i="31"/>
  <c r="M28" i="31"/>
  <c r="E133" i="31"/>
  <c r="M26" i="31"/>
  <c r="M30" i="31"/>
  <c r="E181" i="31"/>
  <c r="E205" i="31"/>
  <c r="M32" i="31"/>
  <c r="E193" i="31"/>
  <c r="M31" i="31"/>
  <c r="E229" i="31"/>
  <c r="C241" i="31"/>
  <c r="M34" i="31"/>
  <c r="E145" i="31"/>
  <c r="M27" i="31"/>
  <c r="G193" i="31" l="1"/>
  <c r="G157" i="31"/>
  <c r="G217" i="31"/>
  <c r="G145" i="31"/>
  <c r="G181" i="31"/>
  <c r="G169" i="31"/>
  <c r="G229" i="31"/>
  <c r="G205" i="31"/>
  <c r="G133" i="31"/>
  <c r="E241" i="31"/>
  <c r="M35" i="31"/>
  <c r="P32" i="31"/>
  <c r="Q32" i="31"/>
  <c r="Q26" i="31"/>
  <c r="P26" i="31"/>
  <c r="Q27" i="31"/>
  <c r="P27" i="31"/>
  <c r="P29" i="31"/>
  <c r="Q29" i="31"/>
  <c r="P31" i="31"/>
  <c r="Q31" i="31"/>
  <c r="P28" i="31"/>
  <c r="Q28" i="31"/>
  <c r="Q33" i="31"/>
  <c r="P33" i="31"/>
  <c r="P34" i="31"/>
  <c r="Q34" i="31"/>
  <c r="P30" i="31"/>
  <c r="Q30" i="31"/>
  <c r="G241" i="31" l="1"/>
  <c r="Q35" i="31"/>
  <c r="P35" i="31"/>
  <c r="F7" i="31"/>
  <c r="F9" i="31"/>
  <c r="K31" i="31" l="1"/>
  <c r="D31" i="31"/>
  <c r="K18" i="31"/>
  <c r="D18" i="31"/>
  <c r="K47" i="31"/>
  <c r="D47" i="31"/>
  <c r="O22" i="31"/>
  <c r="D85" i="31"/>
  <c r="K85" i="31"/>
  <c r="K68" i="31"/>
  <c r="D68" i="31"/>
  <c r="K92" i="31"/>
  <c r="D92" i="31"/>
  <c r="D55" i="31"/>
  <c r="K55" i="31"/>
  <c r="D127" i="31"/>
  <c r="K127" i="31"/>
  <c r="K39" i="31"/>
  <c r="D39" i="31"/>
  <c r="D32" i="31"/>
  <c r="K32" i="31"/>
  <c r="D22" i="31"/>
  <c r="K22" i="31"/>
  <c r="D80" i="31"/>
  <c r="K80" i="31"/>
  <c r="D90" i="31"/>
  <c r="K90" i="31"/>
  <c r="K33" i="31"/>
  <c r="D33" i="31"/>
  <c r="K93" i="31"/>
  <c r="D93" i="31"/>
  <c r="D104" i="31"/>
  <c r="K104" i="31"/>
  <c r="K112" i="31"/>
  <c r="D112" i="31"/>
  <c r="K20" i="31"/>
  <c r="D20" i="31"/>
  <c r="D53" i="31"/>
  <c r="K53" i="31"/>
  <c r="D49" i="31"/>
  <c r="K49" i="31"/>
  <c r="O19" i="31"/>
  <c r="O24" i="31"/>
  <c r="K109" i="31"/>
  <c r="D109" i="31"/>
  <c r="D105" i="31"/>
  <c r="K105" i="31"/>
  <c r="K98" i="31"/>
  <c r="D98" i="31"/>
  <c r="K86" i="31"/>
  <c r="D86" i="31"/>
  <c r="K26" i="31"/>
  <c r="D26" i="31"/>
  <c r="K91" i="31"/>
  <c r="D91" i="31"/>
  <c r="K34" i="31"/>
  <c r="D34" i="31"/>
  <c r="K63" i="31"/>
  <c r="D63" i="31"/>
  <c r="D73" i="31"/>
  <c r="K73" i="31"/>
  <c r="O21" i="31"/>
  <c r="K67" i="31"/>
  <c r="D67" i="31"/>
  <c r="K108" i="31"/>
  <c r="D108" i="31"/>
  <c r="K81" i="31"/>
  <c r="D81" i="31"/>
  <c r="K115" i="31"/>
  <c r="D115" i="31"/>
  <c r="K83" i="31"/>
  <c r="D83" i="31"/>
  <c r="K113" i="31"/>
  <c r="D113" i="31"/>
  <c r="D101" i="31"/>
  <c r="K101" i="31"/>
  <c r="D117" i="31"/>
  <c r="K117" i="31"/>
  <c r="K64" i="31"/>
  <c r="D64" i="31"/>
  <c r="D114" i="31"/>
  <c r="K114" i="31"/>
  <c r="K43" i="31"/>
  <c r="D43" i="31"/>
  <c r="K23" i="31"/>
  <c r="D23" i="31"/>
  <c r="D76" i="31"/>
  <c r="K76" i="31"/>
  <c r="D125" i="31"/>
  <c r="K125" i="31"/>
  <c r="D116" i="31"/>
  <c r="K116" i="31"/>
  <c r="D107" i="31"/>
  <c r="K107" i="31"/>
  <c r="K24" i="31"/>
  <c r="D24" i="31"/>
  <c r="D19" i="31"/>
  <c r="K19" i="31"/>
  <c r="D27" i="31"/>
  <c r="K27" i="31"/>
  <c r="K126" i="31"/>
  <c r="D126" i="31"/>
  <c r="K121" i="31"/>
  <c r="O25" i="31"/>
  <c r="D121" i="31"/>
  <c r="D130" i="31"/>
  <c r="K130" i="31"/>
  <c r="D50" i="31"/>
  <c r="K50" i="31"/>
  <c r="K79" i="31"/>
  <c r="D79" i="31"/>
  <c r="D42" i="31"/>
  <c r="K42" i="31"/>
  <c r="K15" i="31"/>
  <c r="D15" i="31"/>
  <c r="D46" i="31"/>
  <c r="K46" i="31"/>
  <c r="D97" i="31"/>
  <c r="O23" i="31"/>
  <c r="K97" i="31"/>
  <c r="D29" i="31"/>
  <c r="K29" i="31"/>
  <c r="D52" i="31"/>
  <c r="K52" i="31"/>
  <c r="K129" i="31"/>
  <c r="D129" i="31"/>
  <c r="D94" i="31"/>
  <c r="K94" i="31"/>
  <c r="D82" i="31"/>
  <c r="K82" i="31"/>
  <c r="D95" i="31"/>
  <c r="K95" i="31"/>
  <c r="D57" i="31"/>
  <c r="K57" i="31"/>
  <c r="D28" i="31"/>
  <c r="K28" i="31"/>
  <c r="D87" i="31"/>
  <c r="K87" i="31"/>
  <c r="D132" i="31"/>
  <c r="K132" i="31"/>
  <c r="K30" i="31"/>
  <c r="D30" i="31"/>
  <c r="D65" i="31"/>
  <c r="K65" i="31"/>
  <c r="K119" i="31"/>
  <c r="D119" i="31"/>
  <c r="D59" i="31"/>
  <c r="K59" i="31"/>
  <c r="K62" i="31"/>
  <c r="D62" i="31"/>
  <c r="D21" i="31"/>
  <c r="K21" i="31"/>
  <c r="K17" i="31"/>
  <c r="D17" i="31"/>
  <c r="D84" i="31"/>
  <c r="K84" i="31"/>
  <c r="D14" i="31"/>
  <c r="K14" i="31"/>
  <c r="K118" i="31"/>
  <c r="D118" i="31"/>
  <c r="K58" i="31"/>
  <c r="D58" i="31"/>
  <c r="K89" i="31"/>
  <c r="D89" i="31"/>
  <c r="K75" i="31"/>
  <c r="D75" i="31"/>
  <c r="K99" i="31"/>
  <c r="D99" i="31"/>
  <c r="D100" i="31"/>
  <c r="K100" i="31"/>
  <c r="D77" i="31"/>
  <c r="K77" i="31"/>
  <c r="D102" i="31"/>
  <c r="K102" i="31"/>
  <c r="D128" i="31"/>
  <c r="K128" i="31"/>
  <c r="K72" i="31"/>
  <c r="D72" i="31"/>
  <c r="D12" i="31"/>
  <c r="G12" i="31" s="1"/>
  <c r="O17" i="31"/>
  <c r="D25" i="31"/>
  <c r="K25" i="31"/>
  <c r="D120" i="31"/>
  <c r="K120" i="31"/>
  <c r="D16" i="31"/>
  <c r="K16" i="31"/>
  <c r="K96" i="31"/>
  <c r="D96" i="31"/>
  <c r="K88" i="31"/>
  <c r="D88" i="31"/>
  <c r="K56" i="31"/>
  <c r="D56" i="31"/>
  <c r="D44" i="31"/>
  <c r="K44" i="31"/>
  <c r="K106" i="31"/>
  <c r="D106" i="31"/>
  <c r="K70" i="31"/>
  <c r="D70" i="31"/>
  <c r="D41" i="31"/>
  <c r="K41" i="31"/>
  <c r="K103" i="31"/>
  <c r="D103" i="31"/>
  <c r="K122" i="31"/>
  <c r="D122" i="31"/>
  <c r="K71" i="31"/>
  <c r="D71" i="31"/>
  <c r="D111" i="31"/>
  <c r="K111" i="31"/>
  <c r="K54" i="31"/>
  <c r="D54" i="31"/>
  <c r="K38" i="31"/>
  <c r="D38" i="31"/>
  <c r="D48" i="31"/>
  <c r="K48" i="31"/>
  <c r="K124" i="31"/>
  <c r="D124" i="31"/>
  <c r="D45" i="31"/>
  <c r="K45" i="31"/>
  <c r="O16" i="31"/>
  <c r="K13" i="31"/>
  <c r="D13" i="31"/>
  <c r="K35" i="31"/>
  <c r="D35" i="31"/>
  <c r="D110" i="31"/>
  <c r="K110" i="31"/>
  <c r="K131" i="31"/>
  <c r="D131" i="31"/>
  <c r="D61" i="31"/>
  <c r="O20" i="31"/>
  <c r="K61" i="31"/>
  <c r="D74" i="31"/>
  <c r="K74" i="31"/>
  <c r="O18" i="31"/>
  <c r="D37" i="31"/>
  <c r="K37" i="31"/>
  <c r="K36" i="31"/>
  <c r="D36" i="31"/>
  <c r="K78" i="31"/>
  <c r="D78" i="31"/>
  <c r="D40" i="31"/>
  <c r="K40" i="31"/>
  <c r="D69" i="31"/>
  <c r="K69" i="31"/>
  <c r="D60" i="31"/>
  <c r="K60" i="31"/>
  <c r="D51" i="31"/>
  <c r="K51" i="31"/>
  <c r="K66" i="31"/>
  <c r="D66" i="31"/>
  <c r="D123" i="31"/>
  <c r="K123" i="31"/>
  <c r="D7" i="31"/>
  <c r="D9" i="31"/>
  <c r="N19" i="31" l="1"/>
  <c r="N18" i="31"/>
  <c r="N23" i="31"/>
  <c r="N21" i="31"/>
  <c r="N24" i="31"/>
  <c r="N22" i="31"/>
  <c r="N20" i="31"/>
  <c r="N16" i="31"/>
  <c r="N25" i="31"/>
  <c r="K5" i="31"/>
  <c r="K4" i="31"/>
  <c r="N17" i="31"/>
  <c r="R22" i="31" l="1"/>
  <c r="R18" i="31"/>
  <c r="R25" i="31"/>
  <c r="R24" i="31"/>
  <c r="R19" i="31"/>
  <c r="R17" i="31"/>
  <c r="R16" i="31"/>
  <c r="R21" i="31"/>
  <c r="R20" i="31"/>
  <c r="R23" i="31"/>
  <c r="K6" i="31"/>
  <c r="B5" i="31" s="1"/>
  <c r="K3" i="25"/>
  <c r="M7" i="31"/>
  <c r="B5" i="25" l="1"/>
  <c r="G9" i="25"/>
  <c r="C39" i="25"/>
  <c r="C48" i="25"/>
  <c r="G23" i="25"/>
  <c r="G29" i="25"/>
  <c r="E27" i="25"/>
  <c r="G28" i="25"/>
  <c r="G24" i="25"/>
  <c r="G33" i="25"/>
  <c r="E28" i="25"/>
  <c r="G30" i="25"/>
  <c r="E25" i="25"/>
  <c r="E26" i="25"/>
  <c r="E31" i="25"/>
  <c r="G34" i="25"/>
  <c r="E33" i="25"/>
  <c r="G32" i="25"/>
  <c r="E32" i="25"/>
  <c r="E24" i="25"/>
  <c r="E23" i="25"/>
  <c r="E34" i="25"/>
  <c r="G26" i="25"/>
  <c r="G31" i="25"/>
  <c r="G25" i="25"/>
  <c r="G27" i="25"/>
  <c r="E29" i="25"/>
  <c r="E30" i="25"/>
  <c r="D19" i="81" l="1"/>
  <c r="J19" i="81" s="1"/>
  <c r="D22" i="81"/>
  <c r="J22" i="81" s="1"/>
  <c r="D20" i="81"/>
  <c r="J20" i="81" s="1"/>
  <c r="D23" i="81"/>
  <c r="J23" i="81" s="1"/>
  <c r="D21" i="81"/>
  <c r="J21" i="81" s="1"/>
  <c r="B4" i="31"/>
  <c r="B5" i="66"/>
  <c r="B5" i="28"/>
  <c r="E93" i="31" l="1"/>
  <c r="E111" i="31"/>
  <c r="E77" i="31"/>
  <c r="E117" i="31"/>
  <c r="E40" i="31"/>
  <c r="E130" i="31"/>
  <c r="E104" i="31"/>
  <c r="E22" i="31"/>
  <c r="E42" i="31"/>
  <c r="E18" i="31"/>
  <c r="E62" i="31"/>
  <c r="E126" i="31"/>
  <c r="E128" i="31"/>
  <c r="E95" i="31"/>
  <c r="E39" i="31"/>
  <c r="E23" i="31"/>
  <c r="E14" i="31"/>
  <c r="E78" i="31"/>
  <c r="E31" i="31"/>
  <c r="E102" i="31"/>
  <c r="E19" i="31"/>
  <c r="E70" i="31"/>
  <c r="E33" i="31"/>
  <c r="E58" i="31"/>
  <c r="E76" i="31"/>
  <c r="E51" i="31"/>
  <c r="E129" i="31"/>
  <c r="E119" i="31"/>
  <c r="E83" i="31"/>
  <c r="E47" i="31"/>
  <c r="E81" i="31"/>
  <c r="E41" i="31"/>
  <c r="E107" i="31"/>
  <c r="E26" i="31"/>
  <c r="E86" i="31"/>
  <c r="E28" i="31"/>
  <c r="E24" i="31"/>
  <c r="E54" i="31"/>
  <c r="E87" i="31"/>
  <c r="E59" i="31"/>
  <c r="E66" i="31"/>
  <c r="E38" i="31"/>
  <c r="E110" i="31"/>
  <c r="E20" i="31"/>
  <c r="E64" i="31"/>
  <c r="E131" i="31"/>
  <c r="E105" i="31"/>
  <c r="E88" i="31"/>
  <c r="E113" i="31"/>
  <c r="E17" i="31"/>
  <c r="E100" i="31"/>
  <c r="E90" i="31"/>
  <c r="E108" i="31"/>
  <c r="E75" i="31"/>
  <c r="E123" i="31"/>
  <c r="E29" i="31"/>
  <c r="E69" i="31"/>
  <c r="E57" i="31"/>
  <c r="E60" i="31"/>
  <c r="E106" i="31"/>
  <c r="E132" i="31"/>
  <c r="E35" i="31"/>
  <c r="E120" i="31"/>
  <c r="E112" i="31"/>
  <c r="E99" i="31"/>
  <c r="E124" i="31"/>
  <c r="E89" i="31"/>
  <c r="E74" i="31"/>
  <c r="E125" i="31"/>
  <c r="E92" i="31"/>
  <c r="E21" i="31"/>
  <c r="E55" i="31"/>
  <c r="E98" i="31"/>
  <c r="G89" i="31" l="1"/>
  <c r="G124" i="31"/>
  <c r="G120" i="31"/>
  <c r="G132" i="31"/>
  <c r="G57" i="31"/>
  <c r="G90" i="31"/>
  <c r="G113" i="31"/>
  <c r="G131" i="31"/>
  <c r="G87" i="31"/>
  <c r="G28" i="31"/>
  <c r="G26" i="31"/>
  <c r="G41" i="31"/>
  <c r="G47" i="31"/>
  <c r="G129" i="31"/>
  <c r="G33" i="31"/>
  <c r="G102" i="31"/>
  <c r="G31" i="31"/>
  <c r="G78" i="31"/>
  <c r="G126" i="31"/>
  <c r="G42" i="31"/>
  <c r="G104" i="31"/>
  <c r="G21" i="31"/>
  <c r="G74" i="31"/>
  <c r="G99" i="31"/>
  <c r="G112" i="31"/>
  <c r="G60" i="31"/>
  <c r="G69" i="31"/>
  <c r="G75" i="31"/>
  <c r="G108" i="31"/>
  <c r="G88" i="31"/>
  <c r="G64" i="31"/>
  <c r="G54" i="31"/>
  <c r="G83" i="31"/>
  <c r="G51" i="31"/>
  <c r="G14" i="31"/>
  <c r="G39" i="31"/>
  <c r="G130" i="31"/>
  <c r="G98" i="31"/>
  <c r="G125" i="31"/>
  <c r="G123" i="31"/>
  <c r="G100" i="31"/>
  <c r="G20" i="31"/>
  <c r="G38" i="31"/>
  <c r="G59" i="31"/>
  <c r="G81" i="31"/>
  <c r="G76" i="31"/>
  <c r="G70" i="31"/>
  <c r="G95" i="31"/>
  <c r="G62" i="31"/>
  <c r="G40" i="31"/>
  <c r="G77" i="31"/>
  <c r="G93" i="31"/>
  <c r="G55" i="31"/>
  <c r="G92" i="31"/>
  <c r="G35" i="31"/>
  <c r="G106" i="31"/>
  <c r="G29" i="31"/>
  <c r="G17" i="31"/>
  <c r="G105" i="31"/>
  <c r="G110" i="31"/>
  <c r="G66" i="31"/>
  <c r="G24" i="31"/>
  <c r="G86" i="31"/>
  <c r="G107" i="31"/>
  <c r="G119" i="31"/>
  <c r="G58" i="31"/>
  <c r="G19" i="31"/>
  <c r="G23" i="31"/>
  <c r="G128" i="31"/>
  <c r="G18" i="31"/>
  <c r="G22" i="31"/>
  <c r="G117" i="31"/>
  <c r="G111" i="31"/>
  <c r="E30" i="31"/>
  <c r="E84" i="31"/>
  <c r="E43" i="31"/>
  <c r="E56" i="31"/>
  <c r="E72" i="31"/>
  <c r="E44" i="31"/>
  <c r="E46" i="31"/>
  <c r="E101" i="31"/>
  <c r="E79" i="31"/>
  <c r="E115" i="31"/>
  <c r="E16" i="31"/>
  <c r="E65" i="31"/>
  <c r="E50" i="31"/>
  <c r="E68" i="31"/>
  <c r="E48" i="31"/>
  <c r="E118" i="31"/>
  <c r="E34" i="31"/>
  <c r="E36" i="31"/>
  <c r="E80" i="31"/>
  <c r="E127" i="31"/>
  <c r="E52" i="31"/>
  <c r="E82" i="31"/>
  <c r="E45" i="31"/>
  <c r="E53" i="31"/>
  <c r="E71" i="31"/>
  <c r="E67" i="31"/>
  <c r="E96" i="31"/>
  <c r="E103" i="31"/>
  <c r="E63" i="31"/>
  <c r="E116" i="31"/>
  <c r="E91" i="31"/>
  <c r="E32" i="31"/>
  <c r="E27" i="31"/>
  <c r="E15" i="31"/>
  <c r="E114" i="31"/>
  <c r="E94" i="31"/>
  <c r="E16" i="25"/>
  <c r="E17" i="25"/>
  <c r="E19" i="25"/>
  <c r="E20" i="25"/>
  <c r="E18" i="25"/>
  <c r="E15" i="25"/>
  <c r="E13" i="25"/>
  <c r="E14" i="25"/>
  <c r="E21" i="25"/>
  <c r="G94" i="31" l="1"/>
  <c r="G114" i="31"/>
  <c r="G27" i="31"/>
  <c r="G91" i="31"/>
  <c r="G96" i="31"/>
  <c r="G82" i="31"/>
  <c r="G127" i="31"/>
  <c r="G34" i="31"/>
  <c r="G68" i="31"/>
  <c r="G72" i="31"/>
  <c r="G30" i="31"/>
  <c r="G15" i="31"/>
  <c r="G63" i="31"/>
  <c r="G53" i="31"/>
  <c r="G52" i="31"/>
  <c r="G80" i="31"/>
  <c r="G118" i="31"/>
  <c r="G50" i="31"/>
  <c r="G79" i="31"/>
  <c r="G44" i="31"/>
  <c r="G32" i="31"/>
  <c r="G45" i="31"/>
  <c r="G36" i="31"/>
  <c r="G48" i="31"/>
  <c r="G65" i="31"/>
  <c r="G16" i="31"/>
  <c r="G101" i="31"/>
  <c r="G56" i="31"/>
  <c r="G84" i="31"/>
  <c r="G116" i="31"/>
  <c r="G103" i="31"/>
  <c r="G67" i="31"/>
  <c r="G71" i="31"/>
  <c r="G115" i="31"/>
  <c r="G46" i="31"/>
  <c r="G43" i="31"/>
  <c r="E97" i="31"/>
  <c r="M23" i="31"/>
  <c r="E49" i="31"/>
  <c r="M19" i="31"/>
  <c r="E13" i="31"/>
  <c r="M16" i="31"/>
  <c r="E85" i="31"/>
  <c r="M22" i="31"/>
  <c r="M18" i="31"/>
  <c r="E37" i="31"/>
  <c r="M24" i="31"/>
  <c r="E109" i="31"/>
  <c r="E25" i="31"/>
  <c r="M17" i="31"/>
  <c r="E121" i="31"/>
  <c r="E73" i="31"/>
  <c r="M21" i="31"/>
  <c r="E61" i="31"/>
  <c r="M20" i="31"/>
  <c r="C7" i="31"/>
  <c r="G16" i="25"/>
  <c r="G13" i="25"/>
  <c r="G21" i="25"/>
  <c r="G17" i="25"/>
  <c r="G14" i="25"/>
  <c r="E22" i="25"/>
  <c r="G19" i="25"/>
  <c r="G20" i="25"/>
  <c r="C9" i="31"/>
  <c r="G18" i="25"/>
  <c r="G15" i="25"/>
  <c r="D14" i="81" l="1"/>
  <c r="J14" i="81" s="1"/>
  <c r="D17" i="81"/>
  <c r="J17" i="81" s="1"/>
  <c r="D15" i="81"/>
  <c r="J15" i="81" s="1"/>
  <c r="D12" i="81"/>
  <c r="J12" i="81" s="1"/>
  <c r="D13" i="81"/>
  <c r="J13" i="81" s="1"/>
  <c r="D11" i="81"/>
  <c r="J11" i="81" s="1"/>
  <c r="G9" i="31"/>
  <c r="G40" i="25" s="1"/>
  <c r="I75" i="25" s="1"/>
  <c r="E40" i="25"/>
  <c r="G7" i="31"/>
  <c r="G49" i="25" s="1"/>
  <c r="E49" i="25"/>
  <c r="D10" i="81"/>
  <c r="J10" i="81" s="1"/>
  <c r="D9" i="81"/>
  <c r="J9" i="81" s="1"/>
  <c r="D16" i="81"/>
  <c r="J16" i="81" s="1"/>
  <c r="G73" i="31"/>
  <c r="G109" i="31"/>
  <c r="Q22" i="31"/>
  <c r="P22" i="31"/>
  <c r="Q19" i="31"/>
  <c r="P19" i="31"/>
  <c r="Q20" i="31"/>
  <c r="P20" i="31"/>
  <c r="G121" i="31"/>
  <c r="P24" i="31"/>
  <c r="Q24" i="31"/>
  <c r="G85" i="31"/>
  <c r="G49" i="31"/>
  <c r="G61" i="31"/>
  <c r="Q17" i="31"/>
  <c r="P17" i="31"/>
  <c r="G37" i="31"/>
  <c r="Q16" i="31"/>
  <c r="P16" i="31"/>
  <c r="Q23" i="31"/>
  <c r="P23" i="31"/>
  <c r="M25" i="31"/>
  <c r="E122" i="31"/>
  <c r="P21" i="31"/>
  <c r="Q21" i="31"/>
  <c r="G25" i="31"/>
  <c r="Q18" i="31"/>
  <c r="P18" i="31"/>
  <c r="G13" i="31"/>
  <c r="G97" i="31"/>
  <c r="E9" i="31"/>
  <c r="G22" i="25"/>
  <c r="E7" i="31"/>
  <c r="D26" i="81" l="1"/>
  <c r="J26" i="81" s="1"/>
  <c r="J27" i="81" s="1"/>
  <c r="D18" i="81"/>
  <c r="J18" i="81" s="1"/>
  <c r="I74" i="25"/>
  <c r="Q25" i="31"/>
  <c r="P25" i="31"/>
  <c r="G122" i="31"/>
  <c r="C23" i="81" l="1"/>
  <c r="I23" i="81" s="1"/>
  <c r="C20" i="81"/>
  <c r="I20" i="81" s="1"/>
  <c r="C21" i="81"/>
  <c r="I21" i="81" s="1"/>
  <c r="C19" i="81"/>
  <c r="I19" i="81" s="1"/>
  <c r="C22" i="81"/>
  <c r="I22" i="81" s="1"/>
  <c r="C9" i="81" l="1"/>
  <c r="I9" i="81" s="1"/>
  <c r="C11" i="81"/>
  <c r="I11" i="81" s="1"/>
  <c r="C14" i="81"/>
  <c r="I14" i="81" s="1"/>
  <c r="C17" i="81"/>
  <c r="I17" i="81" s="1"/>
  <c r="C13" i="81"/>
  <c r="I13" i="81" s="1"/>
  <c r="C16" i="81"/>
  <c r="I16" i="81" s="1"/>
  <c r="C10" i="81"/>
  <c r="I10" i="81" s="1"/>
  <c r="C12" i="81"/>
  <c r="I12" i="81" s="1"/>
  <c r="C15" i="81"/>
  <c r="I15" i="81" s="1"/>
  <c r="C26" i="81"/>
  <c r="I26" i="81" s="1"/>
  <c r="I27" i="81" s="1"/>
  <c r="C18" i="81" l="1"/>
  <c r="I18" i="81" s="1"/>
  <c r="E23" i="81" l="1"/>
  <c r="K23" i="81" s="1"/>
  <c r="E19" i="81"/>
  <c r="K19" i="81" s="1"/>
  <c r="E22" i="81"/>
  <c r="K22" i="81" s="1"/>
  <c r="E20" i="81"/>
  <c r="K20" i="81" s="1"/>
  <c r="E21" i="81"/>
  <c r="K21" i="81" s="1"/>
  <c r="E14" i="81" l="1"/>
  <c r="K14" i="81" s="1"/>
  <c r="E12" i="81"/>
  <c r="K12" i="81" s="1"/>
  <c r="E15" i="81"/>
  <c r="K15" i="81" s="1"/>
  <c r="E11" i="81"/>
  <c r="K11" i="81" s="1"/>
  <c r="E10" i="81"/>
  <c r="K10" i="81" s="1"/>
  <c r="E16" i="81"/>
  <c r="K16" i="81" s="1"/>
  <c r="E9" i="81"/>
  <c r="K9" i="81" s="1"/>
  <c r="E13" i="81"/>
  <c r="K13" i="81" s="1"/>
  <c r="E17" i="81"/>
  <c r="K17" i="81" s="1"/>
  <c r="E18" i="81" l="1"/>
  <c r="K18" i="81" s="1"/>
  <c r="E26" i="81"/>
  <c r="K26" i="81" s="1"/>
  <c r="K27" i="81" s="1"/>
</calcChain>
</file>

<file path=xl/comments1.xml><?xml version="1.0" encoding="utf-8"?>
<comments xmlns="http://schemas.openxmlformats.org/spreadsheetml/2006/main">
  <authors>
    <author>Author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<sst xmlns="http://schemas.openxmlformats.org/spreadsheetml/2006/main" count="1153" uniqueCount="262">
  <si>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</si>
  <si>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</si>
  <si>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</si>
  <si>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</si>
  <si>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</si>
  <si>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</si>
  <si>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</si>
  <si>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</si>
  <si>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</si>
  <si>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</si>
  <si>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</si>
  <si>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</si>
  <si>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</si>
  <si>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</si>
  <si>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</si>
  <si>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</si>
  <si>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</si>
  <si>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</si>
  <si>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</si>
  <si>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</si>
  <si>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</si>
  <si>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</si>
  <si>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</si>
  <si>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</si>
  <si>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</si>
  <si>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</si>
  <si>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</si>
  <si>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</si>
  <si>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</si>
  <si>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</si>
  <si>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</si>
  <si>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</si>
  <si>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</si>
  <si>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</si>
  <si>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</si>
  <si>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</si>
  <si>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</si>
  <si>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</si>
  <si>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</si>
  <si>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</si>
  <si>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</si>
  <si>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</si>
  <si>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</si>
  <si>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</si>
  <si>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</si>
  <si>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</si>
  <si>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</si>
  <si>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</si>
  <si>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</si>
  <si>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</si>
  <si>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</si>
  <si>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</si>
  <si>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</si>
  <si>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</si>
  <si>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</si>
  <si>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</si>
  <si>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</si>
  <si>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</si>
  <si>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</si>
  <si>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</si>
  <si>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</si>
  <si>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</si>
  <si>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</si>
  <si>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</si>
  <si>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</si>
  <si>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</si>
  <si>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</si>
  <si>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</si>
  <si>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</si>
  <si>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</si>
  <si>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</si>
  <si>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</si>
  <si>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</si>
  <si>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</si>
  <si>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</si>
  <si>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</si>
  <si>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</si>
  <si>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</si>
  <si>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</si>
  <si>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</si>
  <si>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</si>
  <si>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</si>
  <si>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</si>
  <si>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</si>
  <si>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</si>
  <si>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</si>
  <si>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</si>
  <si>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</si>
  <si>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</si>
  <si>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</si>
  <si>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</si>
  <si>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</si>
  <si>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</si>
  <si>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</si>
  <si>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</si>
  <si>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</si>
  <si>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15 Year Starting 2020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</si>
  <si>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</si>
  <si>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</si>
  <si>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</si>
  <si>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</si>
  <si>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</si>
  <si>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</si>
  <si>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</si>
  <si>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</si>
  <si>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</si>
  <si>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</si>
  <si>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EPM Input files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</si>
  <si>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</si>
  <si>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</si>
  <si>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</si>
  <si>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</si>
  <si>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</si>
  <si>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</si>
  <si>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</si>
  <si>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</si>
  <si>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</si>
  <si>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</si>
  <si>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</si>
  <si>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</si>
  <si>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</si>
  <si>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</si>
  <si>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</si>
  <si>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</si>
  <si>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</si>
  <si>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</si>
  <si>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</si>
  <si>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</si>
  <si>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</si>
  <si>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</si>
  <si>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</si>
  <si>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</si>
  <si>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</si>
  <si>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</si>
  <si>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</si>
  <si>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</si>
  <si>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</si>
  <si>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</si>
  <si>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</si>
  <si>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</si>
  <si>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</si>
  <si>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</si>
  <si>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</si>
  <si>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</si>
  <si>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</si>
  <si>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</si>
  <si>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</si>
  <si>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</si>
  <si>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</si>
  <si>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</si>
  <si>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</si>
  <si>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</si>
  <si>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</si>
  <si>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</si>
  <si>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</si>
  <si>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</si>
  <si>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</si>
  <si>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</si>
  <si>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</si>
  <si>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</si>
  <si>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</si>
  <si>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</si>
  <si>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</si>
  <si>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</si>
  <si>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</si>
  <si>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</si>
  <si>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</si>
  <si>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</si>
  <si>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</si>
  <si>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</si>
  <si>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</si>
  <si>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</si>
  <si>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</si>
  <si>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</si>
  <si>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</si>
  <si>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</si>
  <si>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</si>
  <si>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</si>
  <si>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</si>
  <si>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</si>
  <si>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</si>
  <si>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</si>
  <si>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</si>
  <si>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</si>
  <si>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</si>
  <si>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</si>
  <si>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</si>
  <si>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</si>
  <si>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</si>
  <si>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</si>
  <si>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</si>
  <si>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</si>
  <si>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</si>
  <si>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</si>
  <si>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</si>
  <si>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</si>
  <si>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</si>
  <si>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</si>
  <si>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</si>
  <si>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</si>
  <si>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</si>
  <si>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</si>
  <si>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</si>
  <si>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</si>
  <si>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</si>
  <si>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</si>
  <si>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</si>
  <si>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</si>
  <si>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</si>
  <si>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</si>
  <si>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</si>
  <si>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</si>
  <si>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</si>
  <si>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</si>
  <si>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</si>
  <si>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</si>
  <si>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</si>
  <si>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</si>
  <si>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</si>
  <si>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</si>
  <si>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</si>
  <si>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</si>
  <si>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</si>
  <si>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</si>
  <si>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</si>
  <si>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</si>
  <si>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</si>
  <si>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</si>
  <si>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</si>
  <si>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</si>
  <si>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</si>
  <si>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Yakima Solar with Storage</t>
  </si>
  <si>
    <t>20 Year Starting 2020</t>
  </si>
  <si>
    <t>Avoided Cost Prices $/MWh</t>
  </si>
  <si>
    <t>Thermal</t>
  </si>
  <si>
    <t>Solar Tracking</t>
  </si>
  <si>
    <t>31.1% CF (2)</t>
  </si>
  <si>
    <t>31.0% CF (2)</t>
  </si>
  <si>
    <t>Filing</t>
  </si>
  <si>
    <t>Difference</t>
  </si>
  <si>
    <t>2020-2034</t>
  </si>
  <si>
    <t>UT 2019.Q2</t>
  </si>
  <si>
    <t>Appendix B.2</t>
  </si>
  <si>
    <t>Utah 2019.Q3 Sch 38</t>
  </si>
  <si>
    <t>100.0% CF (2)</t>
  </si>
  <si>
    <t>UT 2019.Q3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</si>
  <si>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</si>
  <si>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</si>
  <si>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</si>
  <si>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</si>
  <si>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</si>
  <si>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</si>
  <si>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</si>
  <si>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</si>
  <si>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</si>
  <si>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</si>
  <si>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</si>
  <si>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</si>
  <si>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</si>
  <si>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</si>
  <si>
    <t>Photovoltaic (Utility) 30% ITC</t>
  </si>
  <si>
    <t>Utah 2019.Q3_Solar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</si>
</sst>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_(* #,##0.0000_);_(* \(#,##0.0000\);_(* &quot;-&quot;??_);_(@_)"/>
    <numFmt numFmtId="180" formatCode="&quot;$&quot;#,##0.00_)"/>
    <numFmt numFmtId="181" formatCode="#,##0.0000_);\(#,##0.0000\)"/>
    <numFmt numFmtId="182" formatCode="_(* #,##0.000_);_(* \(#,##0.000\);_(* &quot;-&quot;_);_(@_)"/>
    <numFmt numFmtId="183" formatCode="_(* #,##0.0_);_(* \(#,##0.0\);_(* &quot;-&quot;??_);_(@_)"/>
    <numFmt numFmtId="184" formatCode="0.0000%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rgb="FFCCECFF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415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79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0" fontId="5" fillId="0" borderId="0" xfId="0" applyNumberFormat="1" applyFont="1" applyFill="1" applyBorder="1" applyAlignment="1">
      <alignment horizont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1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2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5" fillId="0" borderId="0" xfId="24" applyFont="1" applyFill="1" applyAlignment="1"/>
    <xf numFmtId="43" fontId="32" fillId="0" borderId="0" xfId="1" applyNumberFormat="1" applyFont="1" applyFill="1"/>
    <xf numFmtId="172" fontId="32" fillId="0" borderId="0" xfId="24" applyNumberFormat="1" applyFont="1" applyFill="1"/>
    <xf numFmtId="184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8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0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172" fontId="5" fillId="0" borderId="0" xfId="2" applyNumberFormat="1" applyFont="1" applyFill="1"/>
    <xf numFmtId="6" fontId="5" fillId="0" borderId="0" xfId="2" applyNumberFormat="1" applyFont="1" applyFill="1"/>
    <xf numFmtId="178" fontId="31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178" fontId="28" fillId="0" borderId="0" xfId="27" applyNumberFormat="1" applyFill="1" applyAlignment="1" applyProtection="1"/>
    <xf numFmtId="178" fontId="29" fillId="0" borderId="0" xfId="0" applyNumberFormat="1" applyFont="1" applyFill="1"/>
    <xf numFmtId="183" fontId="5" fillId="0" borderId="0" xfId="1" applyNumberFormat="1" applyFont="1" applyFill="1"/>
    <xf numFmtId="171" fontId="15" fillId="0" borderId="0" xfId="0" applyFont="1" applyFill="1"/>
    <xf numFmtId="17" fontId="0" fillId="0" borderId="0" xfId="11" applyNumberFormat="1" applyFont="1" applyFill="1" applyAlignment="1">
      <alignment horizontal="center" wrapText="1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Exhibit GND-1 - 5.24.2005" xfId="30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10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19-035-18%20RMP%20Q3%20Compliance%20Filing-Native%20Appendices%20B%20&amp;%20C%201-10-20.zip\4_Appendix%20B.1%20-%20UT%202019.Q3%20-%20AC%20Study%20NON-CONF%20Thermal%2060pct%20PC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19-035-18%20RMP%20Q3%20Compliance%20Filing-Native%20Appendices%20B%20&amp;%20C%201-10-20.zip\4_Appendix%20B.3%20-%20UT%202019.Q3%20-%20AC%20Study%20NON-CONF%20Wind%2060pctP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53%20-%20UT%20Compliance%20-%20UT%20-%202019%20Aug\Sch%2038%20Filing%20Package\4_Appendix%20B.1%20-%20UT%202019.Q2%20-%20AC%20Study%20NON-CONF%20Thermal%20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3ACsummary"/>
      <sheetName val="Table 3 TransCost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  <cell r="C13">
            <v>0</v>
          </cell>
          <cell r="E13">
            <v>15.03816792151928</v>
          </cell>
          <cell r="G13">
            <v>15.03816792151928</v>
          </cell>
        </row>
        <row r="14">
          <cell r="B14">
            <v>2021</v>
          </cell>
          <cell r="C14">
            <v>0</v>
          </cell>
          <cell r="E14">
            <v>15.178482820774221</v>
          </cell>
          <cell r="G14">
            <v>15.178482820774221</v>
          </cell>
        </row>
        <row r="15">
          <cell r="B15">
            <v>2022</v>
          </cell>
          <cell r="C15">
            <v>0</v>
          </cell>
          <cell r="E15">
            <v>13.781002027127535</v>
          </cell>
          <cell r="G15">
            <v>13.781002027127535</v>
          </cell>
        </row>
        <row r="16">
          <cell r="B16">
            <v>2023</v>
          </cell>
          <cell r="C16">
            <v>0</v>
          </cell>
          <cell r="E16">
            <v>13.948497906670145</v>
          </cell>
          <cell r="G16">
            <v>13.948497906670145</v>
          </cell>
        </row>
        <row r="17">
          <cell r="B17">
            <v>2024</v>
          </cell>
          <cell r="C17">
            <v>0</v>
          </cell>
          <cell r="E17">
            <v>9.6278195453114392</v>
          </cell>
          <cell r="G17">
            <v>9.6278195453114392</v>
          </cell>
        </row>
        <row r="18">
          <cell r="B18">
            <v>2025</v>
          </cell>
          <cell r="C18">
            <v>0</v>
          </cell>
          <cell r="E18">
            <v>10.645833332359178</v>
          </cell>
          <cell r="G18">
            <v>10.645833332359178</v>
          </cell>
        </row>
        <row r="19">
          <cell r="B19">
            <v>2026</v>
          </cell>
          <cell r="C19">
            <v>112.48330989724177</v>
          </cell>
          <cell r="E19">
            <v>14.166258038638023</v>
          </cell>
          <cell r="G19">
            <v>27.006818529190735</v>
          </cell>
        </row>
        <row r="20">
          <cell r="B20">
            <v>2027</v>
          </cell>
          <cell r="C20">
            <v>115</v>
          </cell>
          <cell r="E20">
            <v>13.466133662814835</v>
          </cell>
          <cell r="G20">
            <v>26.593987544093373</v>
          </cell>
        </row>
        <row r="21">
          <cell r="B21">
            <v>2028</v>
          </cell>
          <cell r="C21">
            <v>117.55000000000001</v>
          </cell>
          <cell r="E21">
            <v>20.126459076574566</v>
          </cell>
          <cell r="G21">
            <v>33.508745051073653</v>
          </cell>
        </row>
        <row r="22">
          <cell r="B22">
            <v>2029</v>
          </cell>
          <cell r="C22">
            <v>120.23</v>
          </cell>
          <cell r="E22">
            <v>23.849385290385655</v>
          </cell>
          <cell r="G22">
            <v>37.574271135134524</v>
          </cell>
        </row>
        <row r="23">
          <cell r="B23">
            <v>2030</v>
          </cell>
          <cell r="C23">
            <v>122.91</v>
          </cell>
          <cell r="E23">
            <v>22.381810985870558</v>
          </cell>
          <cell r="G23">
            <v>36.412632903678777</v>
          </cell>
        </row>
        <row r="24">
          <cell r="B24">
            <v>2031</v>
          </cell>
          <cell r="C24">
            <v>125.58000000000001</v>
          </cell>
          <cell r="E24">
            <v>23.728491124336731</v>
          </cell>
          <cell r="G24">
            <v>38.064107562692897</v>
          </cell>
        </row>
        <row r="25">
          <cell r="B25">
            <v>2032</v>
          </cell>
          <cell r="C25">
            <v>128.28</v>
          </cell>
          <cell r="E25">
            <v>28.844250407669922</v>
          </cell>
          <cell r="G25">
            <v>43.448075544281942</v>
          </cell>
        </row>
        <row r="26">
          <cell r="B26">
            <v>2033</v>
          </cell>
          <cell r="C26">
            <v>131.03</v>
          </cell>
          <cell r="E26">
            <v>29.866430326029658</v>
          </cell>
          <cell r="G26">
            <v>44.824192883107294</v>
          </cell>
        </row>
        <row r="27">
          <cell r="B27">
            <v>2034</v>
          </cell>
          <cell r="C27">
            <v>133.79000000000002</v>
          </cell>
          <cell r="E27">
            <v>31.101427972202448</v>
          </cell>
          <cell r="G27">
            <v>46.374259022430756</v>
          </cell>
        </row>
        <row r="28">
          <cell r="B28">
            <v>2035</v>
          </cell>
          <cell r="C28">
            <v>136.57999999999998</v>
          </cell>
          <cell r="E28">
            <v>32.954229670071491</v>
          </cell>
          <cell r="G28">
            <v>48.545553870984726</v>
          </cell>
        </row>
        <row r="29">
          <cell r="B29">
            <v>2036</v>
          </cell>
          <cell r="C29">
            <v>139.44</v>
          </cell>
          <cell r="E29">
            <v>35.127624708262722</v>
          </cell>
          <cell r="G29">
            <v>51.001941648153434</v>
          </cell>
        </row>
        <row r="30">
          <cell r="B30">
            <v>2037</v>
          </cell>
          <cell r="C30">
            <v>142.33000000000001</v>
          </cell>
          <cell r="E30">
            <v>37.645789247662577</v>
          </cell>
          <cell r="G30">
            <v>53.893506142639765</v>
          </cell>
        </row>
        <row r="31">
          <cell r="B31">
            <v>2038</v>
          </cell>
          <cell r="C31">
            <v>145.32</v>
          </cell>
          <cell r="E31">
            <v>41.165539699537248</v>
          </cell>
          <cell r="G31">
            <v>57.754580795427657</v>
          </cell>
        </row>
        <row r="32">
          <cell r="B32">
            <v>2039</v>
          </cell>
          <cell r="C32">
            <v>148.33000000000001</v>
          </cell>
          <cell r="E32">
            <v>42.019938690474653</v>
          </cell>
          <cell r="G32">
            <v>58.952587092301144</v>
          </cell>
        </row>
        <row r="33">
          <cell r="B33">
            <v>2040</v>
          </cell>
          <cell r="C33" t="e">
            <v>#REF!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 t="e">
            <v>#N/A</v>
          </cell>
          <cell r="E34" t="e">
            <v>#DIV/0!</v>
          </cell>
          <cell r="G34" t="e">
            <v>#DIV/0!</v>
          </cell>
        </row>
        <row r="49">
          <cell r="G49">
            <v>24.083088003424926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/>
      <sheetData sheetId="1">
        <row r="13">
          <cell r="B13">
            <v>2020</v>
          </cell>
          <cell r="C13">
            <v>0</v>
          </cell>
          <cell r="E13">
            <v>14.410593288784858</v>
          </cell>
          <cell r="G13">
            <v>14.410593288784858</v>
          </cell>
        </row>
        <row r="14">
          <cell r="B14">
            <v>2021</v>
          </cell>
          <cell r="C14">
            <v>0</v>
          </cell>
          <cell r="E14">
            <v>14.344102620688275</v>
          </cell>
          <cell r="G14">
            <v>14.344102620688275</v>
          </cell>
        </row>
        <row r="15">
          <cell r="B15">
            <v>2022</v>
          </cell>
          <cell r="C15">
            <v>0</v>
          </cell>
          <cell r="E15">
            <v>12.595856653956554</v>
          </cell>
          <cell r="G15">
            <v>12.595856653956554</v>
          </cell>
        </row>
        <row r="16">
          <cell r="B16">
            <v>2023</v>
          </cell>
          <cell r="C16">
            <v>121.1121219836666</v>
          </cell>
          <cell r="E16">
            <v>-21.578630663664562</v>
          </cell>
          <cell r="G16">
            <v>25.363398207774459</v>
          </cell>
        </row>
        <row r="17">
          <cell r="B17">
            <v>2024</v>
          </cell>
          <cell r="C17">
            <v>123.91246376811594</v>
          </cell>
          <cell r="E17">
            <v>-21.609094262328032</v>
          </cell>
          <cell r="G17">
            <v>26.380481964327732</v>
          </cell>
        </row>
        <row r="18">
          <cell r="B18">
            <v>2025</v>
          </cell>
          <cell r="C18">
            <v>126.68608695652175</v>
          </cell>
          <cell r="E18">
            <v>-22.411855257899408</v>
          </cell>
          <cell r="G18">
            <v>26.690595051118287</v>
          </cell>
        </row>
        <row r="19">
          <cell r="B19">
            <v>2026</v>
          </cell>
          <cell r="C19">
            <v>129.49420289855072</v>
          </cell>
          <cell r="E19">
            <v>-22.393444746166089</v>
          </cell>
          <cell r="G19">
            <v>27.79740742937037</v>
          </cell>
        </row>
        <row r="20">
          <cell r="B20">
            <v>2027</v>
          </cell>
          <cell r="C20">
            <v>132.37681159420291</v>
          </cell>
          <cell r="E20">
            <v>-23.17032191619867</v>
          </cell>
          <cell r="G20">
            <v>28.137804883876328</v>
          </cell>
        </row>
        <row r="21">
          <cell r="B21">
            <v>2028</v>
          </cell>
          <cell r="C21">
            <v>135.36840579710145</v>
          </cell>
          <cell r="E21">
            <v>-23.12656888123794</v>
          </cell>
          <cell r="G21">
            <v>29.299734584389977</v>
          </cell>
        </row>
        <row r="22">
          <cell r="B22">
            <v>2029</v>
          </cell>
          <cell r="C22">
            <v>138.45449275362316</v>
          </cell>
          <cell r="E22">
            <v>-23.875099945292469</v>
          </cell>
          <cell r="G22">
            <v>29.788684404035788</v>
          </cell>
        </row>
        <row r="23">
          <cell r="B23">
            <v>2030</v>
          </cell>
          <cell r="C23">
            <v>141.57507246376812</v>
          </cell>
          <cell r="E23">
            <v>-24.657037435701369</v>
          </cell>
          <cell r="G23">
            <v>30.216257080321903</v>
          </cell>
        </row>
        <row r="24">
          <cell r="B24">
            <v>2031</v>
          </cell>
          <cell r="C24">
            <v>144.71463768115942</v>
          </cell>
          <cell r="E24">
            <v>-24.652887649974431</v>
          </cell>
          <cell r="G24">
            <v>31.437275653951204</v>
          </cell>
        </row>
        <row r="25">
          <cell r="B25">
            <v>2032</v>
          </cell>
          <cell r="C25">
            <v>147.88869565217391</v>
          </cell>
          <cell r="E25">
            <v>-25.456807579071437</v>
          </cell>
          <cell r="G25">
            <v>31.818430256098317</v>
          </cell>
        </row>
        <row r="26">
          <cell r="B26">
            <v>2033</v>
          </cell>
          <cell r="C26">
            <v>151.10724637681162</v>
          </cell>
          <cell r="E26">
            <v>0.39730749676661709</v>
          </cell>
          <cell r="G26">
            <v>58.965191585698278</v>
          </cell>
        </row>
        <row r="27">
          <cell r="B27">
            <v>2034</v>
          </cell>
          <cell r="C27">
            <v>154.36478260869566</v>
          </cell>
          <cell r="E27">
            <v>1.6814289452705472E-3</v>
          </cell>
          <cell r="G27">
            <v>59.832158868090758</v>
          </cell>
        </row>
        <row r="28">
          <cell r="B28">
            <v>2035</v>
          </cell>
          <cell r="C28">
            <v>157.67681159420289</v>
          </cell>
          <cell r="E28">
            <v>7.9807822456034571E-4</v>
          </cell>
          <cell r="G28">
            <v>61.114989795629391</v>
          </cell>
        </row>
        <row r="29">
          <cell r="B29">
            <v>2036</v>
          </cell>
          <cell r="C29">
            <v>161.04782608695652</v>
          </cell>
          <cell r="E29">
            <v>5.7079197094638563E-3</v>
          </cell>
          <cell r="G29">
            <v>62.377294208237927</v>
          </cell>
        </row>
        <row r="30">
          <cell r="B30">
            <v>2037</v>
          </cell>
          <cell r="C30">
            <v>164.48333333333335</v>
          </cell>
          <cell r="E30">
            <v>3.1436651401040078E-5</v>
          </cell>
          <cell r="G30">
            <v>63.752373115919106</v>
          </cell>
        </row>
        <row r="31">
          <cell r="B31">
            <v>2038</v>
          </cell>
          <cell r="C31">
            <v>168.00782608695653</v>
          </cell>
          <cell r="E31">
            <v>-2.7029984829816562E-5</v>
          </cell>
          <cell r="G31">
            <v>65.118378077847623</v>
          </cell>
        </row>
        <row r="32">
          <cell r="B32">
            <v>2039</v>
          </cell>
          <cell r="C32">
            <v>171.48999999999998</v>
          </cell>
          <cell r="E32">
            <v>-2.7590997558720685E-5</v>
          </cell>
          <cell r="G32">
            <v>66.468038522555688</v>
          </cell>
        </row>
        <row r="33">
          <cell r="B33">
            <v>2040</v>
          </cell>
          <cell r="C33" t="e">
            <v>#REF!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 t="e">
            <v>#N/A</v>
          </cell>
          <cell r="E34" t="e">
            <v>#DIV/0!</v>
          </cell>
          <cell r="G34" t="e">
            <v>#DIV/0!</v>
          </cell>
        </row>
        <row r="49">
          <cell r="G49">
            <v>26.600277830418552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/>
      <sheetData sheetId="1">
        <row r="13">
          <cell r="B13">
            <v>2019</v>
          </cell>
        </row>
        <row r="39">
          <cell r="I39">
            <v>6.9099999999999995E-2</v>
          </cell>
        </row>
      </sheetData>
      <sheetData sheetId="2"/>
      <sheetData sheetId="3"/>
      <sheetData sheetId="4">
        <row r="6">
          <cell r="M6">
            <v>100</v>
          </cell>
        </row>
        <row r="7">
          <cell r="M7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F48" sqref="F48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1" width="17.5" style="54" customWidth="1"/>
    <col min="12" max="12" width="9.33203125" style="54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359" t="s">
        <v>242</v>
      </c>
      <c r="C1" s="360"/>
      <c r="D1" s="360"/>
      <c r="E1" s="360"/>
      <c r="F1" s="360"/>
      <c r="G1" s="360"/>
      <c r="H1" s="360"/>
      <c r="I1" s="361"/>
      <c r="J1" s="361"/>
      <c r="K1" s="361"/>
      <c r="L1" s="362"/>
    </row>
    <row r="2" spans="2:12" ht="5.25" customHeight="1">
      <c r="B2" s="359"/>
      <c r="C2" s="360"/>
      <c r="D2" s="360"/>
      <c r="E2" s="360"/>
      <c r="F2" s="360"/>
      <c r="G2" s="360"/>
      <c r="H2" s="360"/>
      <c r="I2" s="361"/>
      <c r="J2" s="361"/>
      <c r="K2" s="361"/>
      <c r="L2" s="362"/>
    </row>
    <row r="3" spans="2:12" ht="15.75">
      <c r="B3" s="363" t="s">
        <v>233</v>
      </c>
      <c r="C3" s="363"/>
      <c r="D3" s="363"/>
      <c r="E3" s="363"/>
      <c r="F3" s="363"/>
      <c r="G3" s="363"/>
      <c r="H3" s="363"/>
      <c r="I3" s="359"/>
      <c r="J3" s="359"/>
      <c r="K3" s="359"/>
      <c r="L3" s="362"/>
    </row>
    <row r="4" spans="2:12" ht="15.75">
      <c r="B4" s="4" t="s">
        <v>243</v>
      </c>
      <c r="C4" s="363"/>
      <c r="D4" s="363"/>
      <c r="E4" s="363"/>
      <c r="F4" s="363"/>
      <c r="G4" s="363"/>
      <c r="H4" s="363"/>
      <c r="I4" s="359"/>
      <c r="J4" s="359"/>
      <c r="K4" s="359"/>
      <c r="L4" s="362"/>
    </row>
    <row r="5" spans="2:12" ht="25.5" customHeight="1">
      <c r="C5" s="364" t="s">
        <v>234</v>
      </c>
      <c r="D5" s="364" t="s">
        <v>235</v>
      </c>
      <c r="E5" s="364" t="s">
        <v>68</v>
      </c>
      <c r="F5" s="364" t="s">
        <v>234</v>
      </c>
      <c r="G5" s="364" t="s">
        <v>235</v>
      </c>
      <c r="H5" s="364" t="s">
        <v>68</v>
      </c>
      <c r="I5" s="364" t="str">
        <f>C5</f>
        <v>Thermal</v>
      </c>
      <c r="J5" s="364" t="str">
        <f>D5</f>
        <v>Solar Tracking</v>
      </c>
      <c r="K5" s="364" t="str">
        <f>E5</f>
        <v>Wind</v>
      </c>
      <c r="L5" s="362"/>
    </row>
    <row r="6" spans="2:12">
      <c r="B6" s="364" t="s">
        <v>0</v>
      </c>
      <c r="C6" s="404" t="s">
        <v>245</v>
      </c>
      <c r="D6" s="404" t="s">
        <v>245</v>
      </c>
      <c r="E6" s="404" t="s">
        <v>245</v>
      </c>
      <c r="F6" s="365" t="s">
        <v>241</v>
      </c>
      <c r="G6" s="365" t="s">
        <v>241</v>
      </c>
      <c r="H6" s="365" t="s">
        <v>241</v>
      </c>
      <c r="I6" s="366"/>
      <c r="J6" s="366"/>
      <c r="K6" s="366"/>
      <c r="L6" s="367"/>
    </row>
    <row r="7" spans="2:12">
      <c r="B7" s="364"/>
      <c r="C7" s="368" t="s">
        <v>244</v>
      </c>
      <c r="D7" s="368" t="s">
        <v>236</v>
      </c>
      <c r="E7" s="368" t="s">
        <v>237</v>
      </c>
      <c r="F7" s="369" t="s">
        <v>238</v>
      </c>
      <c r="G7" s="369" t="s">
        <v>238</v>
      </c>
      <c r="H7" s="369" t="s">
        <v>238</v>
      </c>
      <c r="I7" s="370" t="s">
        <v>239</v>
      </c>
      <c r="J7" s="370" t="s">
        <v>239</v>
      </c>
      <c r="K7" s="370" t="s">
        <v>239</v>
      </c>
      <c r="L7" s="371"/>
    </row>
    <row r="8" spans="2:12">
      <c r="B8" s="372"/>
      <c r="C8" s="373"/>
      <c r="D8" s="373"/>
      <c r="E8" s="373"/>
      <c r="F8" s="373"/>
      <c r="G8" s="373"/>
      <c r="H8" s="373"/>
      <c r="I8" s="373"/>
      <c r="J8" s="373"/>
      <c r="K8" s="374"/>
      <c r="L8" s="375"/>
    </row>
    <row r="9" spans="2:12">
      <c r="B9" s="372">
        <f>'Table 1'!B13</f>
        <v>2020</v>
      </c>
      <c r="C9" s="373">
        <f>VLOOKUP($B9,'[11]Table 1'!$B$13:$G$36,6,FALSE)</f>
        <v>15.03816792151928</v>
      </c>
      <c r="D9" s="373">
        <f ca="1">VLOOKUP($B9,'Table 1'!$B$13:$G$36,6,FALSE)</f>
        <v>12.41819792584378</v>
      </c>
      <c r="E9" s="373">
        <f>VLOOKUP($B9,'[12]Table 1'!$B$13:$G$36,6,FALSE)</f>
        <v>14.410593288784858</v>
      </c>
      <c r="F9" s="373">
        <v>18.297131969359192</v>
      </c>
      <c r="G9" s="373">
        <v>17.925598476804463</v>
      </c>
      <c r="H9" s="373">
        <v>14.146235186374771</v>
      </c>
      <c r="I9" s="373">
        <f t="shared" ref="I9:K23" si="0">C9-F9</f>
        <v>-3.2589640478399122</v>
      </c>
      <c r="J9" s="373">
        <f t="shared" ca="1" si="0"/>
        <v>-5.5074005509606838</v>
      </c>
      <c r="K9" s="374">
        <f t="shared" si="0"/>
        <v>0.26435810241008717</v>
      </c>
      <c r="L9" s="375"/>
    </row>
    <row r="10" spans="2:12">
      <c r="B10" s="376">
        <f>'Table 1'!B14</f>
        <v>2021</v>
      </c>
      <c r="C10" s="377">
        <f>VLOOKUP($B10,'[11]Table 1'!$B$13:$G$36,6,FALSE)</f>
        <v>15.178482820774221</v>
      </c>
      <c r="D10" s="377">
        <f ca="1">VLOOKUP($B10,'Table 1'!$B$13:$G$36,6,FALSE)</f>
        <v>12.587620397281388</v>
      </c>
      <c r="E10" s="377">
        <f>VLOOKUP($B10,'[12]Table 1'!$B$13:$G$36,6,FALSE)</f>
        <v>14.344102620688275</v>
      </c>
      <c r="F10" s="377">
        <v>17.224357312183997</v>
      </c>
      <c r="G10" s="377">
        <v>14.911715434585036</v>
      </c>
      <c r="H10" s="377">
        <v>14.157995177858837</v>
      </c>
      <c r="I10" s="377">
        <f t="shared" si="0"/>
        <v>-2.0458744914097764</v>
      </c>
      <c r="J10" s="377">
        <f t="shared" ca="1" si="0"/>
        <v>-2.324095037303648</v>
      </c>
      <c r="K10" s="378">
        <f t="shared" si="0"/>
        <v>0.1861074428294387</v>
      </c>
      <c r="L10" s="375"/>
    </row>
    <row r="11" spans="2:12">
      <c r="B11" s="376">
        <f>'Table 1'!B15</f>
        <v>2022</v>
      </c>
      <c r="C11" s="377">
        <f>VLOOKUP($B11,'[11]Table 1'!$B$13:$G$36,6,FALSE)</f>
        <v>13.781002027127535</v>
      </c>
      <c r="D11" s="377">
        <f ca="1">VLOOKUP($B11,'Table 1'!$B$13:$G$36,6,FALSE)</f>
        <v>11.575499626088385</v>
      </c>
      <c r="E11" s="377">
        <f>VLOOKUP($B11,'[12]Table 1'!$B$13:$G$36,6,FALSE)</f>
        <v>12.595856653956554</v>
      </c>
      <c r="F11" s="377">
        <v>18.660952326368029</v>
      </c>
      <c r="G11" s="377">
        <v>15.825534360812256</v>
      </c>
      <c r="H11" s="377">
        <v>15.31566647190261</v>
      </c>
      <c r="I11" s="377">
        <f t="shared" si="0"/>
        <v>-4.8799502992404946</v>
      </c>
      <c r="J11" s="377">
        <f t="shared" ca="1" si="0"/>
        <v>-4.2500347347238705</v>
      </c>
      <c r="K11" s="378">
        <f t="shared" si="0"/>
        <v>-2.7198098179460555</v>
      </c>
      <c r="L11" s="375"/>
    </row>
    <row r="12" spans="2:12">
      <c r="B12" s="376">
        <f>'Table 1'!B16</f>
        <v>2023</v>
      </c>
      <c r="C12" s="377">
        <f>VLOOKUP($B12,'[11]Table 1'!$B$13:$G$36,6,FALSE)</f>
        <v>13.948497906670145</v>
      </c>
      <c r="D12" s="377">
        <f ca="1">VLOOKUP($B12,'Table 1'!$B$13:$G$36,6,FALSE)</f>
        <v>11.430162782287299</v>
      </c>
      <c r="E12" s="377">
        <f>VLOOKUP($B12,'[12]Table 1'!$B$13:$G$36,6,FALSE)</f>
        <v>25.363398207774459</v>
      </c>
      <c r="F12" s="377">
        <v>19.45148502559686</v>
      </c>
      <c r="G12" s="377">
        <v>16.030794619642418</v>
      </c>
      <c r="H12" s="377">
        <v>16.714276231879023</v>
      </c>
      <c r="I12" s="377">
        <f t="shared" si="0"/>
        <v>-5.5029871189267148</v>
      </c>
      <c r="J12" s="377">
        <f t="shared" ca="1" si="0"/>
        <v>-4.6006318373551185</v>
      </c>
      <c r="K12" s="378">
        <f t="shared" si="0"/>
        <v>8.6491219758954365</v>
      </c>
      <c r="L12" s="375"/>
    </row>
    <row r="13" spans="2:12">
      <c r="B13" s="376">
        <f>'Table 1'!B17</f>
        <v>2024</v>
      </c>
      <c r="C13" s="377">
        <f>VLOOKUP($B13,'[11]Table 1'!$B$13:$G$36,6,FALSE)</f>
        <v>9.6278195453114392</v>
      </c>
      <c r="D13" s="377">
        <f ca="1">VLOOKUP($B13,'Table 1'!$B$13:$G$36,6,FALSE)</f>
        <v>10.07621165470831</v>
      </c>
      <c r="E13" s="377">
        <f>VLOOKUP($B13,'[12]Table 1'!$B$13:$G$36,6,FALSE)</f>
        <v>26.380481964327732</v>
      </c>
      <c r="F13" s="377">
        <v>21.528149241182955</v>
      </c>
      <c r="G13" s="377">
        <v>17.23603406598242</v>
      </c>
      <c r="H13" s="377">
        <v>18.42453871474514</v>
      </c>
      <c r="I13" s="377">
        <f t="shared" si="0"/>
        <v>-11.900329695871516</v>
      </c>
      <c r="J13" s="377">
        <f t="shared" ca="1" si="0"/>
        <v>-7.15982241127411</v>
      </c>
      <c r="K13" s="378">
        <f t="shared" si="0"/>
        <v>7.9559432495825924</v>
      </c>
      <c r="L13" s="375"/>
    </row>
    <row r="14" spans="2:12">
      <c r="B14" s="376">
        <f>'Table 1'!B18</f>
        <v>2025</v>
      </c>
      <c r="C14" s="377">
        <f>VLOOKUP($B14,'[11]Table 1'!$B$13:$G$36,6,FALSE)</f>
        <v>10.645833332359178</v>
      </c>
      <c r="D14" s="377">
        <f ca="1">VLOOKUP($B14,'Table 1'!$B$13:$G$36,6,FALSE)</f>
        <v>10.279931059287252</v>
      </c>
      <c r="E14" s="377">
        <f>VLOOKUP($B14,'[12]Table 1'!$B$13:$G$36,6,FALSE)</f>
        <v>26.690595051118287</v>
      </c>
      <c r="F14" s="377">
        <v>24.162167902656989</v>
      </c>
      <c r="G14" s="377">
        <v>20.641549905621247</v>
      </c>
      <c r="H14" s="377">
        <v>22.753780463479387</v>
      </c>
      <c r="I14" s="377">
        <f t="shared" si="0"/>
        <v>-13.516334570297811</v>
      </c>
      <c r="J14" s="377">
        <f t="shared" ca="1" si="0"/>
        <v>-10.361618846333995</v>
      </c>
      <c r="K14" s="378">
        <f t="shared" si="0"/>
        <v>3.9368145876388994</v>
      </c>
      <c r="L14" s="375"/>
    </row>
    <row r="15" spans="2:12">
      <c r="B15" s="376">
        <f>'Table 1'!B19</f>
        <v>2026</v>
      </c>
      <c r="C15" s="377">
        <f>VLOOKUP($B15,'[11]Table 1'!$B$13:$G$36,6,FALSE)</f>
        <v>27.006818529190735</v>
      </c>
      <c r="D15" s="377">
        <f ca="1">VLOOKUP($B15,'Table 1'!$B$13:$G$36,6,FALSE)</f>
        <v>12.380791377555145</v>
      </c>
      <c r="E15" s="377">
        <f>VLOOKUP($B15,'[12]Table 1'!$B$13:$G$36,6,FALSE)</f>
        <v>27.79740742937037</v>
      </c>
      <c r="F15" s="377">
        <v>28.647492212382964</v>
      </c>
      <c r="G15" s="377">
        <v>22.280268325666171</v>
      </c>
      <c r="H15" s="377">
        <v>25.997832489718775</v>
      </c>
      <c r="I15" s="377">
        <f t="shared" si="0"/>
        <v>-1.6406736831922295</v>
      </c>
      <c r="J15" s="377">
        <f t="shared" ca="1" si="0"/>
        <v>-9.8994769481110261</v>
      </c>
      <c r="K15" s="378">
        <f t="shared" si="0"/>
        <v>1.7995749396515954</v>
      </c>
      <c r="L15" s="375"/>
    </row>
    <row r="16" spans="2:12">
      <c r="B16" s="376">
        <f>'Table 1'!B20</f>
        <v>2027</v>
      </c>
      <c r="C16" s="377">
        <f>VLOOKUP($B16,'[11]Table 1'!$B$13:$G$36,6,FALSE)</f>
        <v>26.593987544093373</v>
      </c>
      <c r="D16" s="377">
        <f ca="1">VLOOKUP($B16,'Table 1'!$B$13:$G$36,6,FALSE)</f>
        <v>9.2787904002656312</v>
      </c>
      <c r="E16" s="377">
        <f>VLOOKUP($B16,'[12]Table 1'!$B$13:$G$36,6,FALSE)</f>
        <v>28.137804883876328</v>
      </c>
      <c r="F16" s="377">
        <v>30.057642263035369</v>
      </c>
      <c r="G16" s="377">
        <v>23.012422081775394</v>
      </c>
      <c r="H16" s="377">
        <v>27.270565605117778</v>
      </c>
      <c r="I16" s="377">
        <f t="shared" si="0"/>
        <v>-3.4636547189419957</v>
      </c>
      <c r="J16" s="377">
        <f t="shared" ca="1" si="0"/>
        <v>-13.733631681509763</v>
      </c>
      <c r="K16" s="378">
        <f t="shared" si="0"/>
        <v>0.86723927875855011</v>
      </c>
      <c r="L16" s="375"/>
    </row>
    <row r="17" spans="1:12">
      <c r="B17" s="376">
        <f>'Table 1'!B21</f>
        <v>2028</v>
      </c>
      <c r="C17" s="377">
        <f>VLOOKUP($B17,'[11]Table 1'!$B$13:$G$36,6,FALSE)</f>
        <v>33.508745051073653</v>
      </c>
      <c r="D17" s="377">
        <f ca="1">VLOOKUP($B17,'Table 1'!$B$13:$G$36,6,FALSE)</f>
        <v>14.891018208298618</v>
      </c>
      <c r="E17" s="377">
        <f>VLOOKUP($B17,'[12]Table 1'!$B$13:$G$36,6,FALSE)</f>
        <v>29.299734584389977</v>
      </c>
      <c r="F17" s="377">
        <v>33.323236315899422</v>
      </c>
      <c r="G17" s="377">
        <v>25.324350629342639</v>
      </c>
      <c r="H17" s="377">
        <v>31.046723781301797</v>
      </c>
      <c r="I17" s="377">
        <f t="shared" si="0"/>
        <v>0.18550873517423128</v>
      </c>
      <c r="J17" s="377">
        <f t="shared" ca="1" si="0"/>
        <v>-10.433332421044021</v>
      </c>
      <c r="K17" s="378">
        <f t="shared" si="0"/>
        <v>-1.7469891969118194</v>
      </c>
      <c r="L17" s="375"/>
    </row>
    <row r="18" spans="1:12">
      <c r="B18" s="376">
        <f>'Table 1'!B22</f>
        <v>2029</v>
      </c>
      <c r="C18" s="377">
        <f>VLOOKUP($B18,'[11]Table 1'!$B$13:$G$36,6,FALSE)</f>
        <v>37.574271135134524</v>
      </c>
      <c r="D18" s="377">
        <f ca="1">VLOOKUP($B18,'Table 1'!$B$13:$G$36,6,FALSE)</f>
        <v>14.994633649999715</v>
      </c>
      <c r="E18" s="377">
        <f>VLOOKUP($B18,'[12]Table 1'!$B$13:$G$36,6,FALSE)</f>
        <v>29.788684404035788</v>
      </c>
      <c r="F18" s="377">
        <v>37.243878742129986</v>
      </c>
      <c r="G18" s="377">
        <v>29.874757434483559</v>
      </c>
      <c r="H18" s="377">
        <v>35.042155199932118</v>
      </c>
      <c r="I18" s="377">
        <f t="shared" si="0"/>
        <v>0.33039239300453715</v>
      </c>
      <c r="J18" s="377">
        <f t="shared" ca="1" si="0"/>
        <v>-14.880123784483844</v>
      </c>
      <c r="K18" s="378">
        <f t="shared" si="0"/>
        <v>-5.2534707958963303</v>
      </c>
      <c r="L18" s="375"/>
    </row>
    <row r="19" spans="1:12">
      <c r="B19" s="376">
        <f>'Table 1'!B23</f>
        <v>2030</v>
      </c>
      <c r="C19" s="377">
        <f>VLOOKUP($B19,'[11]Table 1'!$B$13:$G$36,6,FALSE)</f>
        <v>36.412632903678777</v>
      </c>
      <c r="D19" s="377">
        <f ca="1">VLOOKUP($B19,'Table 1'!$B$13:$G$36,6,FALSE)</f>
        <v>14.361785937048337</v>
      </c>
      <c r="E19" s="377">
        <f>VLOOKUP($B19,'[12]Table 1'!$B$13:$G$36,6,FALSE)</f>
        <v>30.216257080321903</v>
      </c>
      <c r="F19" s="377">
        <v>41.885506092875907</v>
      </c>
      <c r="G19" s="377">
        <v>34.204236332063758</v>
      </c>
      <c r="H19" s="377">
        <v>50.113633780191641</v>
      </c>
      <c r="I19" s="377">
        <f t="shared" si="0"/>
        <v>-5.4728731891971307</v>
      </c>
      <c r="J19" s="377">
        <f t="shared" ca="1" si="0"/>
        <v>-19.842450395015419</v>
      </c>
      <c r="K19" s="378">
        <f t="shared" si="0"/>
        <v>-19.897376699869739</v>
      </c>
      <c r="L19" s="375"/>
    </row>
    <row r="20" spans="1:12">
      <c r="B20" s="376">
        <f>'Table 1'!B24</f>
        <v>2031</v>
      </c>
      <c r="C20" s="377">
        <f>VLOOKUP($B20,'[11]Table 1'!$B$13:$G$36,6,FALSE)</f>
        <v>38.064107562692897</v>
      </c>
      <c r="D20" s="377">
        <f ca="1">VLOOKUP($B20,'Table 1'!$B$13:$G$36,6,FALSE)</f>
        <v>15.929307747115232</v>
      </c>
      <c r="E20" s="377">
        <f>VLOOKUP($B20,'[12]Table 1'!$B$13:$G$36,6,FALSE)</f>
        <v>31.437275653951204</v>
      </c>
      <c r="F20" s="377">
        <v>45.707744440370774</v>
      </c>
      <c r="G20" s="377">
        <v>37.21898377243658</v>
      </c>
      <c r="H20" s="377">
        <v>50.019239056156543</v>
      </c>
      <c r="I20" s="377">
        <f t="shared" si="0"/>
        <v>-7.6436368776778778</v>
      </c>
      <c r="J20" s="377">
        <f t="shared" ca="1" si="0"/>
        <v>-21.289676025321349</v>
      </c>
      <c r="K20" s="378">
        <f t="shared" si="0"/>
        <v>-18.581963402205339</v>
      </c>
      <c r="L20" s="375"/>
    </row>
    <row r="21" spans="1:12">
      <c r="B21" s="376">
        <f>'Table 1'!B25</f>
        <v>2032</v>
      </c>
      <c r="C21" s="377">
        <f>VLOOKUP($B21,'[11]Table 1'!$B$13:$G$36,6,FALSE)</f>
        <v>43.448075544281942</v>
      </c>
      <c r="D21" s="377">
        <f ca="1">VLOOKUP($B21,'Table 1'!$B$13:$G$36,6,FALSE)</f>
        <v>15.216258113605459</v>
      </c>
      <c r="E21" s="377">
        <f>VLOOKUP($B21,'[12]Table 1'!$B$13:$G$36,6,FALSE)</f>
        <v>31.818430256098317</v>
      </c>
      <c r="F21" s="377">
        <v>47.916717495068205</v>
      </c>
      <c r="G21" s="377">
        <v>39.40284719726283</v>
      </c>
      <c r="H21" s="377">
        <v>50.089236201927498</v>
      </c>
      <c r="I21" s="377">
        <f t="shared" si="0"/>
        <v>-4.4686419507862638</v>
      </c>
      <c r="J21" s="377">
        <f t="shared" ca="1" si="0"/>
        <v>-24.18658908365737</v>
      </c>
      <c r="K21" s="378">
        <f t="shared" si="0"/>
        <v>-18.270805945829181</v>
      </c>
      <c r="L21" s="375"/>
    </row>
    <row r="22" spans="1:12">
      <c r="B22" s="376">
        <f>'Table 1'!B26</f>
        <v>2033</v>
      </c>
      <c r="C22" s="377">
        <f>VLOOKUP($B22,'[11]Table 1'!$B$13:$G$36,6,FALSE)</f>
        <v>44.824192883107294</v>
      </c>
      <c r="D22" s="377">
        <f ca="1">VLOOKUP($B22,'Table 1'!$B$13:$G$36,6,FALSE)</f>
        <v>20.757984435943289</v>
      </c>
      <c r="E22" s="377">
        <f>VLOOKUP($B22,'[12]Table 1'!$B$13:$G$36,6,FALSE)</f>
        <v>58.965191585698278</v>
      </c>
      <c r="F22" s="377">
        <v>53.466261066889942</v>
      </c>
      <c r="G22" s="377">
        <v>43.489448373859133</v>
      </c>
      <c r="H22" s="377">
        <v>52.806795918962735</v>
      </c>
      <c r="I22" s="377">
        <f t="shared" si="0"/>
        <v>-8.6420681837826478</v>
      </c>
      <c r="J22" s="377">
        <f t="shared" ca="1" si="0"/>
        <v>-22.731463937915844</v>
      </c>
      <c r="K22" s="378">
        <f t="shared" si="0"/>
        <v>6.1583956667355437</v>
      </c>
      <c r="L22" s="375"/>
    </row>
    <row r="23" spans="1:12">
      <c r="B23" s="379">
        <f>'Table 1'!B27</f>
        <v>2034</v>
      </c>
      <c r="C23" s="380">
        <f>VLOOKUP($B23,'[11]Table 1'!$B$13:$G$36,6,FALSE)</f>
        <v>46.374259022430756</v>
      </c>
      <c r="D23" s="380">
        <f ca="1">VLOOKUP($B23,'Table 1'!$B$13:$G$36,6,FALSE)</f>
        <v>20.227819651849941</v>
      </c>
      <c r="E23" s="380">
        <f>VLOOKUP($B23,'[12]Table 1'!$B$13:$G$36,6,FALSE)</f>
        <v>59.832158868090758</v>
      </c>
      <c r="F23" s="380">
        <v>56.081691960185168</v>
      </c>
      <c r="G23" s="380">
        <v>44.702770847916447</v>
      </c>
      <c r="H23" s="380">
        <v>53.725792296076527</v>
      </c>
      <c r="I23" s="380">
        <f t="shared" si="0"/>
        <v>-9.7074329377544117</v>
      </c>
      <c r="J23" s="380">
        <f t="shared" ca="1" si="0"/>
        <v>-24.474951196066506</v>
      </c>
      <c r="K23" s="381">
        <f t="shared" si="0"/>
        <v>6.1063665720142311</v>
      </c>
      <c r="L23" s="375"/>
    </row>
    <row r="24" spans="1:12">
      <c r="F24" s="364"/>
      <c r="G24" s="364"/>
      <c r="H24" s="364"/>
    </row>
    <row r="25" spans="1:12">
      <c r="B25" s="55" t="str">
        <f>'Table 1'!B47</f>
        <v xml:space="preserve">15 year Levelized Prices (Nominal) @ 6.92% Discount Rate (1) (3) </v>
      </c>
      <c r="F25" s="364"/>
      <c r="G25" s="364"/>
      <c r="H25" s="364"/>
      <c r="L25" s="382"/>
    </row>
    <row r="26" spans="1:12">
      <c r="A26" s="3" t="s">
        <v>240</v>
      </c>
      <c r="B26" s="383" t="s">
        <v>33</v>
      </c>
      <c r="C26" s="377">
        <f>ROUND('[11]Table 1'!$G$49,2)</f>
        <v>24.08</v>
      </c>
      <c r="D26" s="377">
        <f ca="1">ROUND('Table 1'!$G$49,2)</f>
        <v>13.04</v>
      </c>
      <c r="E26" s="377">
        <f>ROUND('[12]Table 1'!$G$49,2)</f>
        <v>26.6</v>
      </c>
      <c r="F26" s="377">
        <v>29.35</v>
      </c>
      <c r="G26" s="377">
        <v>23.89</v>
      </c>
      <c r="H26" s="377">
        <v>27.79</v>
      </c>
      <c r="I26" s="377">
        <f>C26-F26</f>
        <v>-5.2700000000000031</v>
      </c>
      <c r="J26" s="377">
        <f ca="1">D26-G26</f>
        <v>-10.850000000000001</v>
      </c>
      <c r="K26" s="377">
        <f>E26-H26</f>
        <v>-1.1899999999999977</v>
      </c>
      <c r="L26" s="384"/>
    </row>
    <row r="27" spans="1:12" ht="17.25" customHeight="1">
      <c r="B27" s="385"/>
      <c r="C27" s="377"/>
      <c r="D27" s="377"/>
      <c r="E27" s="377"/>
      <c r="F27" s="377"/>
      <c r="G27" s="377"/>
      <c r="H27" s="377"/>
      <c r="I27" s="386">
        <f>I26/F26</f>
        <v>-0.17955706984667813</v>
      </c>
      <c r="J27" s="386">
        <f ca="1">J26/G26</f>
        <v>-0.45416492256174135</v>
      </c>
      <c r="K27" s="386">
        <f>K26/H26</f>
        <v>-4.2821158690176241E-2</v>
      </c>
    </row>
    <row r="28" spans="1:12" ht="10.5" customHeight="1">
      <c r="B28" s="383"/>
      <c r="C28" s="377"/>
      <c r="D28" s="377"/>
      <c r="E28" s="377"/>
      <c r="F28" s="377"/>
      <c r="G28" s="377"/>
      <c r="H28" s="377"/>
      <c r="I28" s="377"/>
      <c r="J28" s="377"/>
      <c r="K28" s="377"/>
    </row>
    <row r="29" spans="1:12" s="54" customFormat="1" ht="5.25" customHeight="1">
      <c r="F29" s="387"/>
      <c r="G29" s="387"/>
      <c r="H29" s="387"/>
    </row>
    <row r="30" spans="1:12" s="54" customFormat="1">
      <c r="B30" s="54" t="s">
        <v>16</v>
      </c>
      <c r="C30" s="388"/>
      <c r="D30" s="388"/>
      <c r="E30" s="388"/>
      <c r="F30" s="389"/>
      <c r="G30" s="389"/>
      <c r="H30" s="389"/>
      <c r="I30" s="389"/>
      <c r="J30" s="389"/>
      <c r="K30" s="389"/>
    </row>
    <row r="31" spans="1:12" s="54" customFormat="1">
      <c r="B31" s="390" t="str">
        <f>'Table 1'!B65</f>
        <v>(1)   Discount Rate - 2019 IRP Update</v>
      </c>
      <c r="C31" s="388"/>
      <c r="D31" s="388"/>
      <c r="E31" s="388"/>
      <c r="F31" s="389"/>
      <c r="G31" s="389"/>
      <c r="H31" s="389"/>
      <c r="I31" s="389"/>
      <c r="J31" s="389"/>
      <c r="K31" s="389"/>
    </row>
    <row r="32" spans="1:12" s="54" customFormat="1">
      <c r="B32" s="390" t="str">
        <f>"(2)   Total Avoided Costs with Capacity, based on stated CF"</f>
        <v>(2)   Total Avoided Costs with Capacity, based on stated CF</v>
      </c>
    </row>
    <row r="33" spans="2:11" s="54" customFormat="1">
      <c r="B33" s="54" t="str">
        <f>"(3)   15-Years: "&amp;B9&amp;" - "&amp;B23&amp;", levelized monthly"</f>
        <v>(3)   15-Years: 2020 - 2034, levelized monthly</v>
      </c>
    </row>
    <row r="34" spans="2:11" s="54" customFormat="1">
      <c r="B34" s="10"/>
    </row>
    <row r="35" spans="2:11" s="54" customFormat="1">
      <c r="B35" s="10"/>
    </row>
    <row r="36" spans="2:11" s="54" customFormat="1">
      <c r="B36" s="10"/>
    </row>
    <row r="37" spans="2:11" s="54" customFormat="1" hidden="1"/>
    <row r="38" spans="2:11" s="54" customFormat="1">
      <c r="C38" s="377"/>
      <c r="D38" s="377"/>
      <c r="E38" s="377"/>
      <c r="F38" s="377"/>
      <c r="G38" s="377"/>
      <c r="H38" s="377"/>
    </row>
    <row r="40" spans="2:11" s="54" customFormat="1">
      <c r="C40" s="391"/>
      <c r="D40" s="391"/>
      <c r="E40" s="391"/>
      <c r="F40" s="391"/>
      <c r="G40" s="391"/>
      <c r="H40" s="391"/>
      <c r="I40" s="391"/>
      <c r="J40" s="391"/>
      <c r="K40" s="391"/>
    </row>
  </sheetData>
  <conditionalFormatting sqref="F8">
    <cfRule type="expression" dxfId="9" priority="17">
      <formula>ISNA(L8)</formula>
    </cfRule>
  </conditionalFormatting>
  <conditionalFormatting sqref="I8:J21">
    <cfRule type="expression" dxfId="8" priority="14">
      <formula>ISNA(N8)</formula>
    </cfRule>
  </conditionalFormatting>
  <conditionalFormatting sqref="H8">
    <cfRule type="expression" dxfId="7" priority="13">
      <formula>ISNA(N8)</formula>
    </cfRule>
  </conditionalFormatting>
  <conditionalFormatting sqref="G8">
    <cfRule type="expression" dxfId="6" priority="12">
      <formula>ISNA(M8)</formula>
    </cfRule>
  </conditionalFormatting>
  <conditionalFormatting sqref="I23:J23">
    <cfRule type="expression" dxfId="5" priority="8">
      <formula>ISNA(N23)</formula>
    </cfRule>
  </conditionalFormatting>
  <conditionalFormatting sqref="I22:J22">
    <cfRule type="expression" dxfId="4" priority="4">
      <formula>ISNA(N22)</formula>
    </cfRule>
  </conditionalFormatting>
  <conditionalFormatting sqref="F10:F21">
    <cfRule type="expression" dxfId="3" priority="3">
      <formula>ISNA(L10)</formula>
    </cfRule>
  </conditionalFormatting>
  <conditionalFormatting sqref="F23">
    <cfRule type="expression" dxfId="2" priority="2">
      <formula>ISNA(L23)</formula>
    </cfRule>
  </conditionalFormatting>
  <conditionalFormatting sqref="F22">
    <cfRule type="expression" dxfId="1" priority="1">
      <formula>ISNA(L22)</formula>
    </cfRule>
  </conditionalFormatting>
  <printOptions horizontalCentered="1"/>
  <pageMargins left="0.25" right="0.25" top="0.75" bottom="0.75" header="0.3" footer="0.3"/>
  <pageSetup scale="5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C102"/>
  <sheetViews>
    <sheetView view="pageBreakPreview" zoomScale="60" zoomScaleNormal="100" workbookViewId="0">
      <selection activeCell="B20" sqref="B20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5.33203125" style="118" customWidth="1"/>
    <col min="5" max="5" width="11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2.6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26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26" ht="15.75">
      <c r="B2" s="116" t="s">
        <v>110</v>
      </c>
      <c r="C2" s="117"/>
      <c r="D2" s="117"/>
      <c r="E2" s="117"/>
      <c r="F2" s="117"/>
      <c r="G2" s="117"/>
      <c r="H2" s="117"/>
      <c r="I2" s="117"/>
      <c r="J2" s="117"/>
    </row>
    <row r="3" spans="2:26" ht="15.75">
      <c r="B3" s="116" t="str">
        <f>TEXT($C$63,"0%")&amp;" Capacity Factor"</f>
        <v>33% Capacity Factor</v>
      </c>
      <c r="C3" s="117"/>
      <c r="D3" s="117"/>
      <c r="E3" s="117"/>
      <c r="F3" s="117"/>
      <c r="G3" s="117"/>
      <c r="H3" s="117"/>
      <c r="I3" s="117"/>
      <c r="J3" s="117"/>
      <c r="R3" s="120"/>
    </row>
    <row r="4" spans="2:26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</row>
    <row r="5" spans="2:26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  <c r="Z5" s="215"/>
    </row>
    <row r="6" spans="2:26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26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  <c r="R7" s="120"/>
    </row>
    <row r="8" spans="2:26" ht="6" customHeight="1">
      <c r="K8" s="120"/>
      <c r="R8" s="120"/>
    </row>
    <row r="9" spans="2:26" ht="15.75">
      <c r="B9" s="43" t="str">
        <f>C52</f>
        <v>2019 IRP Utah South Solar with Storage - 33%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26">
      <c r="B10" s="127"/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26">
      <c r="B11" s="127"/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26">
      <c r="B12" s="136"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270"/>
      <c r="W12" s="274"/>
      <c r="X12" s="274"/>
      <c r="Y12" s="270"/>
      <c r="Z12" s="270"/>
    </row>
    <row r="13" spans="2:26">
      <c r="B13" s="136">
        <f t="shared" ref="B13:B37" si="0">B12+1</f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25.05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25.05</v>
      </c>
      <c r="L13" s="120"/>
      <c r="N13" s="118"/>
      <c r="R13" s="120"/>
      <c r="V13" s="154"/>
      <c r="W13" s="274"/>
      <c r="Y13" s="154"/>
      <c r="Z13" s="154"/>
    </row>
    <row r="14" spans="2:26">
      <c r="B14" s="136">
        <f t="shared" si="0"/>
        <v>2020</v>
      </c>
      <c r="C14" s="137"/>
      <c r="D14" s="129"/>
      <c r="E14" s="129">
        <f t="shared" si="1"/>
        <v>25.7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25.7</v>
      </c>
      <c r="L14" s="120"/>
      <c r="N14" s="118"/>
      <c r="O14" s="133"/>
      <c r="P14" s="134"/>
      <c r="Q14" s="135"/>
      <c r="R14" s="120"/>
      <c r="V14" s="154"/>
      <c r="W14" s="274"/>
      <c r="Y14" s="154"/>
      <c r="Z14" s="154"/>
    </row>
    <row r="15" spans="2:26">
      <c r="B15" s="136">
        <f t="shared" si="0"/>
        <v>2021</v>
      </c>
      <c r="C15" s="137"/>
      <c r="D15" s="129"/>
      <c r="E15" s="129">
        <f t="shared" si="1"/>
        <v>26.35</v>
      </c>
      <c r="F15" s="129"/>
      <c r="G15" s="131"/>
      <c r="H15" s="129">
        <f t="shared" si="2"/>
        <v>0</v>
      </c>
      <c r="I15" s="131"/>
      <c r="J15" s="131"/>
      <c r="K15" s="129">
        <f t="shared" si="3"/>
        <v>26.35</v>
      </c>
      <c r="L15" s="120"/>
      <c r="N15" s="118"/>
      <c r="O15" s="271"/>
      <c r="P15" s="134"/>
      <c r="Q15" s="135"/>
      <c r="R15" s="120"/>
      <c r="V15" s="154"/>
      <c r="W15" s="274"/>
      <c r="Y15" s="154"/>
      <c r="Z15" s="154"/>
    </row>
    <row r="16" spans="2:26">
      <c r="B16" s="136">
        <f t="shared" si="0"/>
        <v>2022</v>
      </c>
      <c r="C16" s="137"/>
      <c r="D16" s="129"/>
      <c r="E16" s="129">
        <f t="shared" si="1"/>
        <v>27.02</v>
      </c>
      <c r="F16" s="129"/>
      <c r="G16" s="131"/>
      <c r="H16" s="129">
        <f t="shared" si="2"/>
        <v>0</v>
      </c>
      <c r="I16" s="131"/>
      <c r="J16" s="131"/>
      <c r="K16" s="129">
        <f t="shared" si="3"/>
        <v>27.02</v>
      </c>
      <c r="L16" s="120"/>
      <c r="N16" s="118"/>
      <c r="R16" s="120"/>
      <c r="V16" s="154"/>
      <c r="W16" s="274"/>
      <c r="Y16" s="154"/>
      <c r="Z16" s="154"/>
    </row>
    <row r="17" spans="2:28">
      <c r="B17" s="136">
        <f t="shared" si="0"/>
        <v>2023</v>
      </c>
      <c r="C17" s="137"/>
      <c r="D17" s="129"/>
      <c r="E17" s="129">
        <f t="shared" si="1"/>
        <v>27.68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27.68</v>
      </c>
      <c r="L17" s="120"/>
      <c r="N17" s="118"/>
      <c r="O17" s="133"/>
      <c r="R17" s="120"/>
      <c r="V17" s="154"/>
      <c r="W17" s="274"/>
      <c r="Y17" s="154"/>
      <c r="Z17" s="154"/>
    </row>
    <row r="18" spans="2:28">
      <c r="B18" s="136">
        <f t="shared" si="0"/>
        <v>2024</v>
      </c>
      <c r="C18" s="137"/>
      <c r="D18" s="129"/>
      <c r="E18" s="129">
        <f t="shared" si="1"/>
        <v>28.32</v>
      </c>
      <c r="F18" s="129"/>
      <c r="G18" s="131"/>
      <c r="H18" s="129">
        <f t="shared" si="2"/>
        <v>0</v>
      </c>
      <c r="I18" s="131"/>
      <c r="J18" s="131"/>
      <c r="K18" s="129">
        <f t="shared" si="3"/>
        <v>28.32</v>
      </c>
      <c r="L18" s="120"/>
      <c r="N18" s="118"/>
      <c r="P18" s="280"/>
      <c r="Q18" s="154"/>
      <c r="R18" s="120"/>
      <c r="T18" s="162"/>
      <c r="U18" s="154"/>
      <c r="V18" s="154"/>
      <c r="W18" s="274"/>
      <c r="X18" s="154"/>
      <c r="Y18" s="154"/>
      <c r="Z18" s="154"/>
      <c r="AA18" s="279"/>
      <c r="AB18" s="279"/>
    </row>
    <row r="19" spans="2:28">
      <c r="B19" s="136">
        <f t="shared" si="0"/>
        <v>2025</v>
      </c>
      <c r="C19" s="137"/>
      <c r="D19" s="129"/>
      <c r="E19" s="129">
        <f t="shared" si="1"/>
        <v>28.95</v>
      </c>
      <c r="F19" s="129"/>
      <c r="G19" s="131"/>
      <c r="H19" s="129">
        <f t="shared" si="2"/>
        <v>0</v>
      </c>
      <c r="I19" s="131"/>
      <c r="J19" s="131"/>
      <c r="K19" s="129">
        <f t="shared" si="3"/>
        <v>28.95</v>
      </c>
      <c r="L19" s="120"/>
      <c r="N19" s="118"/>
      <c r="R19" s="120"/>
      <c r="T19" s="162"/>
      <c r="U19" s="154"/>
      <c r="V19" s="154"/>
      <c r="W19" s="274"/>
      <c r="X19" s="154"/>
      <c r="Y19" s="154"/>
      <c r="Z19" s="154"/>
    </row>
    <row r="20" spans="2:28">
      <c r="B20" s="136">
        <f t="shared" si="0"/>
        <v>2026</v>
      </c>
      <c r="C20" s="137"/>
      <c r="D20" s="129"/>
      <c r="E20" s="129">
        <f t="shared" si="1"/>
        <v>29.59</v>
      </c>
      <c r="F20" s="129"/>
      <c r="G20" s="131"/>
      <c r="H20" s="129">
        <f t="shared" si="2"/>
        <v>0</v>
      </c>
      <c r="I20" s="131"/>
      <c r="J20" s="131"/>
      <c r="K20" s="129">
        <f t="shared" si="3"/>
        <v>29.59</v>
      </c>
      <c r="L20" s="120"/>
      <c r="N20" s="118"/>
      <c r="R20" s="161"/>
      <c r="T20" s="162"/>
      <c r="U20" s="154"/>
      <c r="V20" s="154"/>
      <c r="W20" s="274"/>
      <c r="X20" s="154"/>
      <c r="Y20" s="154"/>
      <c r="Z20" s="154"/>
    </row>
    <row r="21" spans="2:28">
      <c r="B21" s="136">
        <f t="shared" si="0"/>
        <v>2027</v>
      </c>
      <c r="C21" s="137"/>
      <c r="D21" s="129"/>
      <c r="E21" s="129">
        <f t="shared" si="1"/>
        <v>30.25</v>
      </c>
      <c r="F21" s="129"/>
      <c r="G21" s="131"/>
      <c r="H21" s="129">
        <f t="shared" si="2"/>
        <v>0</v>
      </c>
      <c r="I21" s="131"/>
      <c r="J21" s="131"/>
      <c r="K21" s="129">
        <f t="shared" si="3"/>
        <v>30.25</v>
      </c>
      <c r="L21" s="120"/>
      <c r="N21" s="118"/>
      <c r="R21" s="161"/>
      <c r="T21" s="162"/>
      <c r="U21" s="154"/>
      <c r="V21" s="154"/>
      <c r="W21" s="274"/>
      <c r="X21" s="154"/>
      <c r="Y21" s="154"/>
      <c r="Z21" s="154"/>
    </row>
    <row r="22" spans="2:28">
      <c r="B22" s="136">
        <f t="shared" si="0"/>
        <v>2028</v>
      </c>
      <c r="C22" s="137"/>
      <c r="D22" s="129"/>
      <c r="E22" s="129">
        <f t="shared" si="1"/>
        <v>30.93</v>
      </c>
      <c r="F22" s="129"/>
      <c r="G22" s="131"/>
      <c r="H22" s="129">
        <f t="shared" si="2"/>
        <v>0</v>
      </c>
      <c r="I22" s="131"/>
      <c r="J22" s="131"/>
      <c r="K22" s="129">
        <f t="shared" si="3"/>
        <v>30.93</v>
      </c>
      <c r="L22" s="120"/>
      <c r="N22" s="118"/>
      <c r="R22" s="161"/>
      <c r="T22" s="162"/>
      <c r="U22" s="154"/>
      <c r="V22" s="154"/>
      <c r="W22" s="274"/>
      <c r="X22" s="154"/>
      <c r="Y22" s="154"/>
      <c r="Z22" s="154"/>
    </row>
    <row r="23" spans="2:28">
      <c r="B23" s="136">
        <f t="shared" si="0"/>
        <v>2029</v>
      </c>
      <c r="C23" s="137"/>
      <c r="D23" s="129"/>
      <c r="E23" s="129">
        <f t="shared" si="1"/>
        <v>31.63</v>
      </c>
      <c r="F23" s="129"/>
      <c r="G23" s="131"/>
      <c r="H23" s="129">
        <f t="shared" si="2"/>
        <v>0</v>
      </c>
      <c r="I23" s="131"/>
      <c r="J23" s="131"/>
      <c r="K23" s="129">
        <f t="shared" si="3"/>
        <v>31.63</v>
      </c>
      <c r="L23" s="120"/>
      <c r="N23" s="118"/>
      <c r="R23" s="161"/>
      <c r="T23" s="162"/>
      <c r="U23" s="154"/>
      <c r="V23" s="154"/>
      <c r="W23" s="274"/>
      <c r="X23" s="154"/>
      <c r="Y23" s="154"/>
      <c r="Z23" s="154"/>
    </row>
    <row r="24" spans="2:28">
      <c r="B24" s="136">
        <f t="shared" si="0"/>
        <v>2030</v>
      </c>
      <c r="C24" s="137">
        <v>1208.8</v>
      </c>
      <c r="D24" s="129">
        <f>C24*$C$62</f>
        <v>81.594000000000008</v>
      </c>
      <c r="E24" s="129">
        <f t="shared" si="1"/>
        <v>32.340000000000003</v>
      </c>
      <c r="F24" s="129">
        <f>C60</f>
        <v>21.577297145999619</v>
      </c>
      <c r="G24" s="131">
        <f>(D24+E24+F24)/(8.76*$C$63)</f>
        <v>47.597926640674267</v>
      </c>
      <c r="H24" s="129">
        <f t="shared" si="2"/>
        <v>0</v>
      </c>
      <c r="I24" s="131">
        <f>(G24+H24)</f>
        <v>47.597926640674267</v>
      </c>
      <c r="J24" s="131">
        <f t="shared" ref="J24:J32" si="4">ROUND(I24*$C$63*8.76,2)</f>
        <v>135.51</v>
      </c>
      <c r="K24" s="129">
        <f t="shared" si="3"/>
        <v>135.51129714599963</v>
      </c>
      <c r="L24" s="120"/>
      <c r="N24" s="118"/>
      <c r="R24" s="161"/>
      <c r="T24" s="162"/>
      <c r="U24" s="154"/>
      <c r="V24" s="154"/>
      <c r="W24" s="274"/>
      <c r="X24" s="154"/>
      <c r="Y24" s="154"/>
      <c r="Z24" s="154"/>
    </row>
    <row r="25" spans="2:28">
      <c r="B25" s="136">
        <f t="shared" si="0"/>
        <v>2031</v>
      </c>
      <c r="C25" s="137"/>
      <c r="D25" s="129">
        <f t="shared" ref="D25:F37" si="5">ROUND(D24*(1+(IFERROR(INDEX($D$66:$D$74,MATCH($B25,$C$66:$C$74,0),1),0)+IFERROR(INDEX($G$66:$G$74,MATCH($B25,$F$66:$F$74,0),1),0)+IFERROR(INDEX($J$66:$J$74,MATCH($B25,$I$66:$I$74,0),1),0))),2)</f>
        <v>83.38</v>
      </c>
      <c r="E25" s="129">
        <f t="shared" si="1"/>
        <v>33.049999999999997</v>
      </c>
      <c r="F25" s="129">
        <f t="shared" si="5"/>
        <v>22.05</v>
      </c>
      <c r="G25" s="131">
        <f t="shared" ref="G25:G37" si="6">(D25+E25+F25)/(8.76*$C$63)</f>
        <v>48.640674394099051</v>
      </c>
      <c r="H25" s="129">
        <f t="shared" si="2"/>
        <v>0</v>
      </c>
      <c r="I25" s="131">
        <f t="shared" ref="I25:I37" si="7">(G25+H25)</f>
        <v>48.640674394099051</v>
      </c>
      <c r="J25" s="131">
        <f t="shared" si="4"/>
        <v>138.47999999999999</v>
      </c>
      <c r="K25" s="129">
        <f t="shared" si="3"/>
        <v>138.47999999999999</v>
      </c>
      <c r="L25" s="120"/>
      <c r="N25" s="118"/>
      <c r="R25" s="161"/>
      <c r="T25" s="162"/>
      <c r="U25" s="154"/>
      <c r="V25" s="154"/>
      <c r="W25" s="274"/>
      <c r="X25" s="154"/>
      <c r="Y25" s="154"/>
      <c r="Z25" s="154"/>
    </row>
    <row r="26" spans="2:28">
      <c r="B26" s="136">
        <f t="shared" si="0"/>
        <v>2032</v>
      </c>
      <c r="C26" s="137"/>
      <c r="D26" s="129">
        <f t="shared" si="5"/>
        <v>85.18</v>
      </c>
      <c r="E26" s="129">
        <f t="shared" si="1"/>
        <v>33.76</v>
      </c>
      <c r="F26" s="129">
        <f t="shared" si="5"/>
        <v>22.53</v>
      </c>
      <c r="G26" s="131">
        <f t="shared" si="6"/>
        <v>49.690902704601335</v>
      </c>
      <c r="H26" s="129">
        <f t="shared" si="2"/>
        <v>0</v>
      </c>
      <c r="I26" s="131">
        <f t="shared" si="7"/>
        <v>49.690902704601335</v>
      </c>
      <c r="J26" s="131">
        <f t="shared" si="4"/>
        <v>141.47</v>
      </c>
      <c r="K26" s="129">
        <f t="shared" si="3"/>
        <v>141.47</v>
      </c>
      <c r="L26" s="120"/>
      <c r="N26" s="118"/>
      <c r="R26" s="161"/>
      <c r="T26" s="162"/>
      <c r="U26" s="154"/>
      <c r="V26" s="154"/>
      <c r="W26" s="274"/>
      <c r="X26" s="154"/>
      <c r="Y26" s="154"/>
      <c r="Z26" s="154"/>
    </row>
    <row r="27" spans="2:28">
      <c r="B27" s="136">
        <f t="shared" si="0"/>
        <v>2033</v>
      </c>
      <c r="C27" s="137"/>
      <c r="D27" s="129">
        <f t="shared" si="5"/>
        <v>87.01</v>
      </c>
      <c r="E27" s="129">
        <f t="shared" si="1"/>
        <v>34.479999999999997</v>
      </c>
      <c r="F27" s="129">
        <f t="shared" si="5"/>
        <v>23.01</v>
      </c>
      <c r="G27" s="131">
        <f t="shared" si="6"/>
        <v>50.755180892167196</v>
      </c>
      <c r="H27" s="129">
        <f t="shared" si="2"/>
        <v>0</v>
      </c>
      <c r="I27" s="131">
        <f t="shared" si="7"/>
        <v>50.755180892167196</v>
      </c>
      <c r="J27" s="131">
        <f t="shared" si="4"/>
        <v>144.5</v>
      </c>
      <c r="K27" s="129">
        <f t="shared" si="3"/>
        <v>144.5</v>
      </c>
      <c r="L27" s="120"/>
      <c r="N27" s="118"/>
      <c r="R27" s="161"/>
      <c r="T27" s="162"/>
      <c r="U27" s="154"/>
      <c r="V27" s="154"/>
      <c r="W27" s="274"/>
      <c r="X27" s="154"/>
      <c r="Y27" s="154"/>
      <c r="Z27" s="154"/>
    </row>
    <row r="28" spans="2:28">
      <c r="B28" s="136">
        <f t="shared" si="0"/>
        <v>2034</v>
      </c>
      <c r="C28" s="137"/>
      <c r="D28" s="129">
        <f t="shared" si="5"/>
        <v>88.84</v>
      </c>
      <c r="E28" s="129">
        <f t="shared" si="1"/>
        <v>35.200000000000003</v>
      </c>
      <c r="F28" s="129">
        <f t="shared" si="5"/>
        <v>23.49</v>
      </c>
      <c r="G28" s="131">
        <f t="shared" si="6"/>
        <v>51.819459079733051</v>
      </c>
      <c r="H28" s="129">
        <f t="shared" si="2"/>
        <v>0</v>
      </c>
      <c r="I28" s="131">
        <f t="shared" si="7"/>
        <v>51.819459079733051</v>
      </c>
      <c r="J28" s="131">
        <f t="shared" si="4"/>
        <v>147.53</v>
      </c>
      <c r="K28" s="129">
        <f t="shared" si="3"/>
        <v>147.53</v>
      </c>
      <c r="L28" s="120"/>
      <c r="N28" s="118"/>
      <c r="R28" s="161"/>
      <c r="T28" s="162"/>
      <c r="U28" s="154"/>
      <c r="V28" s="154"/>
      <c r="W28" s="274"/>
      <c r="X28" s="154"/>
      <c r="Y28" s="154"/>
      <c r="Z28" s="154"/>
    </row>
    <row r="29" spans="2:28">
      <c r="B29" s="136">
        <f t="shared" si="0"/>
        <v>2035</v>
      </c>
      <c r="C29" s="137"/>
      <c r="D29" s="129">
        <f t="shared" si="5"/>
        <v>90.71</v>
      </c>
      <c r="E29" s="129">
        <f t="shared" si="1"/>
        <v>35.94</v>
      </c>
      <c r="F29" s="129">
        <f t="shared" si="5"/>
        <v>23.98</v>
      </c>
      <c r="G29" s="131">
        <f t="shared" si="6"/>
        <v>52.908324552160167</v>
      </c>
      <c r="H29" s="129">
        <f t="shared" si="2"/>
        <v>0</v>
      </c>
      <c r="I29" s="131">
        <f t="shared" si="7"/>
        <v>52.908324552160167</v>
      </c>
      <c r="J29" s="131">
        <f t="shared" si="4"/>
        <v>150.63</v>
      </c>
      <c r="K29" s="129">
        <f t="shared" si="3"/>
        <v>150.63</v>
      </c>
      <c r="L29" s="120"/>
      <c r="N29" s="118"/>
      <c r="R29" s="161"/>
      <c r="T29" s="162"/>
      <c r="U29" s="154"/>
      <c r="V29" s="154"/>
      <c r="W29" s="274"/>
      <c r="X29" s="154"/>
      <c r="Y29" s="154"/>
      <c r="Z29" s="154"/>
    </row>
    <row r="30" spans="2:28">
      <c r="B30" s="136">
        <f t="shared" si="0"/>
        <v>2036</v>
      </c>
      <c r="C30" s="137"/>
      <c r="D30" s="129">
        <f t="shared" si="5"/>
        <v>92.6</v>
      </c>
      <c r="E30" s="129">
        <f t="shared" si="1"/>
        <v>36.69</v>
      </c>
      <c r="F30" s="129">
        <f t="shared" si="5"/>
        <v>24.48</v>
      </c>
      <c r="G30" s="131">
        <f t="shared" si="6"/>
        <v>54.011239901650853</v>
      </c>
      <c r="H30" s="129">
        <f t="shared" si="2"/>
        <v>0</v>
      </c>
      <c r="I30" s="131">
        <f t="shared" si="7"/>
        <v>54.011239901650853</v>
      </c>
      <c r="J30" s="131">
        <f t="shared" si="4"/>
        <v>153.77000000000001</v>
      </c>
      <c r="K30" s="129">
        <f t="shared" si="3"/>
        <v>153.76999999999998</v>
      </c>
      <c r="L30" s="120"/>
      <c r="N30" s="118"/>
      <c r="R30" s="161"/>
      <c r="T30" s="162"/>
      <c r="U30" s="154"/>
      <c r="V30" s="154"/>
      <c r="W30" s="274"/>
      <c r="X30" s="154"/>
      <c r="Y30" s="154"/>
      <c r="Z30" s="154"/>
    </row>
    <row r="31" spans="2:28">
      <c r="B31" s="136">
        <f t="shared" si="0"/>
        <v>2037</v>
      </c>
      <c r="C31" s="137"/>
      <c r="D31" s="129">
        <f t="shared" si="5"/>
        <v>94.53</v>
      </c>
      <c r="E31" s="129">
        <f t="shared" si="1"/>
        <v>37.46</v>
      </c>
      <c r="F31" s="129">
        <f t="shared" si="5"/>
        <v>24.99</v>
      </c>
      <c r="G31" s="131">
        <f t="shared" si="6"/>
        <v>55.138742536002816</v>
      </c>
      <c r="H31" s="129">
        <f t="shared" si="2"/>
        <v>0</v>
      </c>
      <c r="I31" s="131">
        <f t="shared" si="7"/>
        <v>55.138742536002816</v>
      </c>
      <c r="J31" s="131">
        <f t="shared" si="4"/>
        <v>156.97999999999999</v>
      </c>
      <c r="K31" s="129">
        <f t="shared" si="3"/>
        <v>156.98000000000002</v>
      </c>
      <c r="L31" s="120"/>
      <c r="N31" s="118"/>
      <c r="R31" s="161"/>
      <c r="T31" s="162"/>
      <c r="U31" s="154"/>
      <c r="V31" s="154"/>
      <c r="W31" s="274"/>
      <c r="X31" s="154"/>
      <c r="Y31" s="154"/>
      <c r="Z31" s="154"/>
    </row>
    <row r="32" spans="2:28">
      <c r="B32" s="136">
        <f t="shared" si="0"/>
        <v>2038</v>
      </c>
      <c r="C32" s="137"/>
      <c r="D32" s="129">
        <f t="shared" si="5"/>
        <v>96.5</v>
      </c>
      <c r="E32" s="129">
        <f t="shared" si="1"/>
        <v>38.24</v>
      </c>
      <c r="F32" s="129">
        <f t="shared" si="5"/>
        <v>25.51</v>
      </c>
      <c r="G32" s="131">
        <f t="shared" si="6"/>
        <v>56.287319985950127</v>
      </c>
      <c r="H32" s="129">
        <f t="shared" si="2"/>
        <v>0</v>
      </c>
      <c r="I32" s="131">
        <f t="shared" si="7"/>
        <v>56.287319985950127</v>
      </c>
      <c r="J32" s="131">
        <f t="shared" si="4"/>
        <v>160.25</v>
      </c>
      <c r="K32" s="129">
        <f t="shared" si="3"/>
        <v>160.25</v>
      </c>
      <c r="L32" s="120"/>
      <c r="N32" s="118"/>
      <c r="R32" s="161"/>
      <c r="T32" s="162"/>
      <c r="U32" s="154"/>
      <c r="V32" s="154"/>
      <c r="W32" s="274"/>
      <c r="X32" s="154"/>
      <c r="Y32" s="154"/>
      <c r="Z32" s="154"/>
    </row>
    <row r="33" spans="2:29">
      <c r="B33" s="136">
        <f t="shared" si="0"/>
        <v>2039</v>
      </c>
      <c r="C33" s="137"/>
      <c r="D33" s="129">
        <f t="shared" si="5"/>
        <v>98.5</v>
      </c>
      <c r="E33" s="129">
        <f t="shared" si="1"/>
        <v>39.03</v>
      </c>
      <c r="F33" s="129">
        <f t="shared" si="5"/>
        <v>26.04</v>
      </c>
      <c r="G33" s="131">
        <f t="shared" si="6"/>
        <v>57.453459782226901</v>
      </c>
      <c r="H33" s="129">
        <f t="shared" si="2"/>
        <v>0</v>
      </c>
      <c r="I33" s="131">
        <f t="shared" si="7"/>
        <v>57.453459782226901</v>
      </c>
      <c r="J33" s="131">
        <f t="shared" ref="J33:J37" si="8">ROUND(I33*$C$63*8.76,2)</f>
        <v>163.57</v>
      </c>
      <c r="K33" s="129">
        <f t="shared" si="3"/>
        <v>163.57</v>
      </c>
      <c r="L33" s="120"/>
      <c r="N33" s="118"/>
      <c r="R33" s="120"/>
      <c r="AC33" s="277"/>
    </row>
    <row r="34" spans="2:29">
      <c r="B34" s="136">
        <f t="shared" si="0"/>
        <v>2040</v>
      </c>
      <c r="C34" s="137"/>
      <c r="D34" s="129">
        <f t="shared" si="5"/>
        <v>100.54</v>
      </c>
      <c r="E34" s="129">
        <f t="shared" si="1"/>
        <v>39.840000000000003</v>
      </c>
      <c r="F34" s="129">
        <f t="shared" si="5"/>
        <v>26.58</v>
      </c>
      <c r="G34" s="131">
        <f t="shared" si="6"/>
        <v>58.644186863364936</v>
      </c>
      <c r="H34" s="129">
        <f t="shared" si="2"/>
        <v>0</v>
      </c>
      <c r="I34" s="131">
        <f t="shared" si="7"/>
        <v>58.644186863364936</v>
      </c>
      <c r="J34" s="131">
        <f t="shared" si="8"/>
        <v>166.96</v>
      </c>
      <c r="K34" s="129">
        <f t="shared" si="3"/>
        <v>166.95999999999998</v>
      </c>
      <c r="L34" s="120"/>
      <c r="N34" s="118"/>
      <c r="R34" s="120"/>
      <c r="AC34" s="277"/>
    </row>
    <row r="35" spans="2:29">
      <c r="B35" s="136">
        <f t="shared" si="0"/>
        <v>2041</v>
      </c>
      <c r="C35" s="137"/>
      <c r="D35" s="129">
        <f t="shared" si="5"/>
        <v>102.64</v>
      </c>
      <c r="E35" s="129">
        <f t="shared" si="1"/>
        <v>40.67</v>
      </c>
      <c r="F35" s="129">
        <f t="shared" si="5"/>
        <v>27.13</v>
      </c>
      <c r="G35" s="131">
        <f t="shared" si="6"/>
        <v>59.866526167896033</v>
      </c>
      <c r="H35" s="129">
        <f t="shared" si="2"/>
        <v>0</v>
      </c>
      <c r="I35" s="131">
        <f t="shared" si="7"/>
        <v>59.866526167896033</v>
      </c>
      <c r="J35" s="131">
        <f t="shared" si="8"/>
        <v>170.44</v>
      </c>
      <c r="K35" s="129">
        <f t="shared" si="3"/>
        <v>170.44</v>
      </c>
      <c r="L35" s="120"/>
      <c r="N35" s="118"/>
      <c r="R35" s="120"/>
      <c r="AC35" s="277"/>
    </row>
    <row r="36" spans="2:29">
      <c r="B36" s="136">
        <f t="shared" si="0"/>
        <v>2042</v>
      </c>
      <c r="C36" s="137"/>
      <c r="D36" s="129">
        <f t="shared" si="5"/>
        <v>104.8</v>
      </c>
      <c r="E36" s="129">
        <f t="shared" si="1"/>
        <v>41.53</v>
      </c>
      <c r="F36" s="129">
        <f t="shared" si="5"/>
        <v>27.7</v>
      </c>
      <c r="G36" s="131">
        <f t="shared" si="6"/>
        <v>61.127502634351941</v>
      </c>
      <c r="H36" s="129">
        <f t="shared" si="2"/>
        <v>0</v>
      </c>
      <c r="I36" s="131">
        <f t="shared" si="7"/>
        <v>61.127502634351941</v>
      </c>
      <c r="J36" s="131">
        <f t="shared" si="8"/>
        <v>174.03</v>
      </c>
      <c r="K36" s="129">
        <f t="shared" si="3"/>
        <v>174.02999999999997</v>
      </c>
      <c r="L36" s="120"/>
      <c r="N36" s="118"/>
      <c r="R36" s="120"/>
      <c r="AC36" s="277"/>
    </row>
    <row r="37" spans="2:29">
      <c r="B37" s="136">
        <f t="shared" si="0"/>
        <v>2043</v>
      </c>
      <c r="C37" s="132"/>
      <c r="D37" s="129">
        <f t="shared" si="5"/>
        <v>107.02</v>
      </c>
      <c r="E37" s="129">
        <f t="shared" si="1"/>
        <v>42.41</v>
      </c>
      <c r="F37" s="129">
        <f t="shared" si="5"/>
        <v>28.29</v>
      </c>
      <c r="G37" s="131">
        <f t="shared" si="6"/>
        <v>62.42360379346681</v>
      </c>
      <c r="H37" s="129">
        <f t="shared" si="2"/>
        <v>0</v>
      </c>
      <c r="I37" s="131">
        <f t="shared" si="7"/>
        <v>62.42360379346681</v>
      </c>
      <c r="J37" s="131">
        <f t="shared" si="8"/>
        <v>177.72</v>
      </c>
      <c r="K37" s="129">
        <f t="shared" si="3"/>
        <v>177.72</v>
      </c>
      <c r="R37" s="120"/>
      <c r="AC37" s="277"/>
    </row>
    <row r="38" spans="2:29">
      <c r="B38" s="127"/>
      <c r="C38" s="132"/>
      <c r="D38" s="129"/>
      <c r="E38" s="129"/>
      <c r="F38" s="130"/>
      <c r="G38" s="129"/>
      <c r="H38" s="129"/>
      <c r="I38" s="131"/>
      <c r="J38" s="131"/>
      <c r="K38" s="138"/>
      <c r="R38" s="120"/>
      <c r="AC38" s="277"/>
    </row>
    <row r="39" spans="2:29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  <c r="AC39" s="277"/>
    </row>
    <row r="40" spans="2:29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  <c r="AC40" s="277"/>
    </row>
    <row r="41" spans="2:29">
      <c r="R41" s="120"/>
      <c r="AC41" s="277"/>
    </row>
    <row r="42" spans="2:29" ht="14.25">
      <c r="B42" s="139" t="s">
        <v>27</v>
      </c>
      <c r="C42" s="140"/>
      <c r="D42" s="140"/>
      <c r="E42" s="140"/>
      <c r="F42" s="140"/>
      <c r="G42" s="140"/>
      <c r="H42" s="140"/>
      <c r="R42" s="120"/>
      <c r="AC42" s="277"/>
    </row>
    <row r="43" spans="2:29">
      <c r="AC43" s="277"/>
    </row>
    <row r="44" spans="2:29">
      <c r="B44" s="118" t="s">
        <v>65</v>
      </c>
      <c r="C44" s="141" t="s">
        <v>66</v>
      </c>
      <c r="D44" s="142" t="s">
        <v>105</v>
      </c>
      <c r="AC44" s="277"/>
    </row>
    <row r="45" spans="2:29">
      <c r="C45" s="141" t="str">
        <f>C7</f>
        <v>(a)</v>
      </c>
      <c r="D45" s="118" t="s">
        <v>67</v>
      </c>
      <c r="AC45" s="277"/>
    </row>
    <row r="46" spans="2:29">
      <c r="C46" s="141" t="str">
        <f>D7</f>
        <v>(b)</v>
      </c>
      <c r="D46" s="131" t="str">
        <f>"= "&amp;C7&amp;" x "&amp;C62</f>
        <v>= (a) x 0.0675</v>
      </c>
      <c r="AC46" s="277"/>
    </row>
    <row r="47" spans="2:29">
      <c r="C47" s="141" t="str">
        <f>G7</f>
        <v>(e)</v>
      </c>
      <c r="D47" s="131" t="str">
        <f>"= ("&amp;$D$7&amp;" + "&amp;$E$7&amp;") /  (8.76 x "&amp;TEXT(C63,"0.0%")&amp;")"</f>
        <v>= ((b) + (c)) /  (8.76 x 32.5%)</v>
      </c>
      <c r="AC47" s="277"/>
    </row>
    <row r="48" spans="2:29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106</v>
      </c>
      <c r="Q54" s="274">
        <v>2030</v>
      </c>
    </row>
    <row r="55" spans="2:25">
      <c r="B55" s="85" t="s">
        <v>104</v>
      </c>
      <c r="C55" s="393">
        <v>1611.5125096665929</v>
      </c>
      <c r="D55" s="118" t="s">
        <v>67</v>
      </c>
      <c r="O55" s="278">
        <v>500</v>
      </c>
      <c r="P55" s="118" t="s">
        <v>34</v>
      </c>
      <c r="Q55" s="274" t="s">
        <v>178</v>
      </c>
      <c r="R55" s="274" t="s">
        <v>179</v>
      </c>
      <c r="T55" s="274" t="str">
        <f>$Q$55&amp;"Proposed Station Capital Costs"</f>
        <v>L_.US4_PVSProposed Station Capital Costs</v>
      </c>
    </row>
    <row r="56" spans="2:25">
      <c r="B56" s="85" t="s">
        <v>104</v>
      </c>
      <c r="C56" s="149">
        <v>24.570618817436728</v>
      </c>
      <c r="D56" s="118" t="s">
        <v>70</v>
      </c>
      <c r="R56" s="120"/>
      <c r="T56" s="274" t="str">
        <f>$Q$55&amp;"Proposed Station Fixed Costs"</f>
        <v>L_.US4_PVSProposed Station Fixed Costs</v>
      </c>
    </row>
    <row r="57" spans="2:25" ht="24" customHeight="1">
      <c r="B57" s="85"/>
      <c r="C57" s="154"/>
      <c r="D57" s="118" t="s">
        <v>109</v>
      </c>
      <c r="Q57" s="215" t="str">
        <f>Q55&amp;Q54</f>
        <v>L_.US4_PVS2030</v>
      </c>
      <c r="T57" s="274" t="str">
        <f>$Q$55&amp;"Proposed Station Variable O&amp;M Costs"</f>
        <v>L_.US4_PVSProposed Station Variable O&amp;M Costs</v>
      </c>
    </row>
    <row r="58" spans="2:25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 t="s">
        <v>260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58" t="str">
        <f>LEFT(RIGHT(INDEX('Table 3 TransCost'!$39:$39,1,MATCH(F60,'Table 3 TransCost'!$4:$4,0)),6),5)</f>
        <v>2030$</v>
      </c>
      <c r="C60" s="154">
        <f>INDEX('Table 3 TransCost'!$39:$39,1,MATCH(F60,'Table 3 TransCost'!$4:$4,0)+2)</f>
        <v>21.577297145999619</v>
      </c>
      <c r="D60" s="118" t="s">
        <v>222</v>
      </c>
      <c r="F60" s="118" t="s">
        <v>226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2"/>
      <c r="K61" s="401"/>
      <c r="L61" s="401"/>
      <c r="M61" s="401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5">
      <c r="C62" s="395">
        <v>6.7500000000000004E-2</v>
      </c>
      <c r="D62" s="118" t="s">
        <v>38</v>
      </c>
      <c r="E62" s="118" t="s">
        <v>113</v>
      </c>
      <c r="K62" s="288"/>
      <c r="L62" s="157"/>
      <c r="M62" s="157"/>
      <c r="O62" s="158"/>
    </row>
    <row r="63" spans="2:25">
      <c r="C63" s="396">
        <v>0.32500000000000001</v>
      </c>
      <c r="D63" s="118" t="s">
        <v>39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9">C66+1</f>
        <v>2018</v>
      </c>
      <c r="D67" s="41">
        <v>2.3994563767884003E-2</v>
      </c>
      <c r="E67" s="85"/>
      <c r="F67" s="87">
        <f t="shared" ref="F67:F74" si="10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9"/>
        <v>2019</v>
      </c>
      <c r="D68" s="41">
        <v>1.9651346350279875E-2</v>
      </c>
      <c r="E68" s="85"/>
      <c r="F68" s="87">
        <f t="shared" si="10"/>
        <v>2028</v>
      </c>
      <c r="G68" s="41">
        <v>2.2447976887115972E-2</v>
      </c>
      <c r="H68" s="41"/>
      <c r="I68" s="87">
        <f t="shared" ref="I68:I74" si="11">I67+1</f>
        <v>2037</v>
      </c>
      <c r="J68" s="41">
        <v>2.0854082421584375E-2</v>
      </c>
    </row>
    <row r="69" spans="3:14">
      <c r="C69" s="87">
        <f t="shared" si="9"/>
        <v>2020</v>
      </c>
      <c r="D69" s="41">
        <v>2.6147280919121885E-2</v>
      </c>
      <c r="E69" s="85"/>
      <c r="F69" s="87">
        <f t="shared" si="10"/>
        <v>2029</v>
      </c>
      <c r="G69" s="41">
        <v>2.2764957830614385E-2</v>
      </c>
      <c r="H69" s="41"/>
      <c r="I69" s="87">
        <f t="shared" si="11"/>
        <v>2038</v>
      </c>
      <c r="J69" s="41">
        <v>2.0886076981620372E-2</v>
      </c>
    </row>
    <row r="70" spans="3:14">
      <c r="C70" s="87">
        <f t="shared" si="9"/>
        <v>2021</v>
      </c>
      <c r="D70" s="41">
        <v>2.5435997430165225E-2</v>
      </c>
      <c r="E70" s="85"/>
      <c r="F70" s="87">
        <f t="shared" si="10"/>
        <v>2030</v>
      </c>
      <c r="G70" s="41">
        <v>2.2409251338579406E-2</v>
      </c>
      <c r="H70" s="41"/>
      <c r="I70" s="87">
        <f t="shared" si="11"/>
        <v>2039</v>
      </c>
      <c r="J70" s="41">
        <v>2.0755199547329406E-2</v>
      </c>
    </row>
    <row r="71" spans="3:14">
      <c r="C71" s="87">
        <f t="shared" si="9"/>
        <v>2022</v>
      </c>
      <c r="D71" s="41">
        <v>2.5246661572301266E-2</v>
      </c>
      <c r="E71" s="85"/>
      <c r="F71" s="87">
        <f t="shared" si="10"/>
        <v>2031</v>
      </c>
      <c r="G71" s="41">
        <v>2.1876862460861402E-2</v>
      </c>
      <c r="H71" s="41"/>
      <c r="I71" s="87">
        <f t="shared" si="11"/>
        <v>2040</v>
      </c>
      <c r="J71" s="41">
        <v>2.0747934127706591E-2</v>
      </c>
    </row>
    <row r="72" spans="3:14" s="120" customFormat="1">
      <c r="C72" s="87">
        <f t="shared" si="9"/>
        <v>2023</v>
      </c>
      <c r="D72" s="41">
        <v>2.4577195966118071E-2</v>
      </c>
      <c r="E72" s="86"/>
      <c r="F72" s="87">
        <f t="shared" si="10"/>
        <v>2032</v>
      </c>
      <c r="G72" s="41">
        <v>2.1570874084378078E-2</v>
      </c>
      <c r="H72" s="41"/>
      <c r="I72" s="87">
        <f t="shared" si="11"/>
        <v>2041</v>
      </c>
      <c r="J72" s="41">
        <v>2.0871781890604124E-2</v>
      </c>
      <c r="N72" s="165"/>
    </row>
    <row r="73" spans="3:14" s="120" customFormat="1">
      <c r="C73" s="87">
        <f t="shared" si="9"/>
        <v>2024</v>
      </c>
      <c r="D73" s="41">
        <v>2.3256370085936506E-2</v>
      </c>
      <c r="E73" s="86"/>
      <c r="F73" s="87">
        <f t="shared" si="10"/>
        <v>2033</v>
      </c>
      <c r="G73" s="41">
        <v>2.144511122277093E-2</v>
      </c>
      <c r="H73" s="41"/>
      <c r="I73" s="87">
        <f t="shared" si="11"/>
        <v>2042</v>
      </c>
      <c r="J73" s="41">
        <v>2.1078469389761434E-2</v>
      </c>
      <c r="N73" s="165"/>
    </row>
    <row r="74" spans="3:14" s="120" customFormat="1">
      <c r="C74" s="87">
        <f t="shared" si="9"/>
        <v>2025</v>
      </c>
      <c r="D74" s="41">
        <v>2.2304783799234951E-2</v>
      </c>
      <c r="E74" s="86"/>
      <c r="F74" s="87">
        <f t="shared" si="10"/>
        <v>2034</v>
      </c>
      <c r="G74" s="41">
        <v>2.1010014778543251E-2</v>
      </c>
      <c r="H74" s="41"/>
      <c r="I74" s="87">
        <f t="shared" si="11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2"/>
  <sheetViews>
    <sheetView view="pageBreakPreview" zoomScale="60" zoomScaleNormal="70" workbookViewId="0">
      <selection activeCell="F14" sqref="F14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10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1.332031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26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26" ht="15.75">
      <c r="B2" s="116" t="s">
        <v>152</v>
      </c>
      <c r="C2" s="117"/>
      <c r="D2" s="117"/>
      <c r="E2" s="117"/>
      <c r="F2" s="117"/>
      <c r="G2" s="117"/>
      <c r="H2" s="117"/>
      <c r="I2" s="117"/>
      <c r="J2" s="117"/>
    </row>
    <row r="3" spans="2:26" ht="15.75">
      <c r="B3" s="116" t="str">
        <f>TEXT($C$63,"0%")&amp;"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R3" s="120"/>
    </row>
    <row r="4" spans="2:26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</row>
    <row r="5" spans="2:26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  <c r="Z5" s="215"/>
    </row>
    <row r="6" spans="2:26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26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  <c r="R7" s="120"/>
    </row>
    <row r="8" spans="2:26" ht="6" customHeight="1">
      <c r="K8" s="120"/>
      <c r="R8" s="120"/>
    </row>
    <row r="9" spans="2:26" ht="15.75">
      <c r="B9" s="43" t="str">
        <f>C52</f>
        <v>2019 IRP Utah North Solar with Storage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26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26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26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W12" s="278"/>
      <c r="Y12" s="154"/>
      <c r="Z12" s="154"/>
    </row>
    <row r="13" spans="2:26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25.05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25.05</v>
      </c>
      <c r="L13" s="120"/>
      <c r="N13" s="118"/>
      <c r="R13" s="120"/>
      <c r="V13" s="154"/>
      <c r="Y13" s="154"/>
      <c r="Z13" s="154"/>
    </row>
    <row r="14" spans="2:26">
      <c r="B14" s="136">
        <f t="shared" si="0"/>
        <v>2020</v>
      </c>
      <c r="C14" s="137"/>
      <c r="D14" s="129"/>
      <c r="E14" s="129">
        <f t="shared" si="1"/>
        <v>25.7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25.7</v>
      </c>
      <c r="L14" s="120"/>
      <c r="N14" s="118"/>
      <c r="O14" s="133"/>
      <c r="P14" s="397"/>
      <c r="Q14" s="398"/>
      <c r="R14" s="120"/>
      <c r="V14" s="154"/>
      <c r="Y14" s="154"/>
      <c r="Z14" s="154"/>
    </row>
    <row r="15" spans="2:26">
      <c r="B15" s="136">
        <f t="shared" si="0"/>
        <v>2021</v>
      </c>
      <c r="C15" s="137"/>
      <c r="D15" s="129"/>
      <c r="E15" s="129">
        <f t="shared" si="1"/>
        <v>26.35</v>
      </c>
      <c r="F15" s="129"/>
      <c r="G15" s="131"/>
      <c r="H15" s="129">
        <f t="shared" si="2"/>
        <v>0</v>
      </c>
      <c r="I15" s="131"/>
      <c r="J15" s="131"/>
      <c r="K15" s="129">
        <f t="shared" si="3"/>
        <v>26.35</v>
      </c>
      <c r="L15" s="120"/>
      <c r="N15" s="118"/>
      <c r="O15" s="399"/>
      <c r="P15" s="397"/>
      <c r="Q15" s="398"/>
      <c r="R15" s="120"/>
      <c r="V15" s="154"/>
      <c r="Y15" s="154"/>
      <c r="Z15" s="154"/>
    </row>
    <row r="16" spans="2:26">
      <c r="B16" s="136">
        <f t="shared" si="0"/>
        <v>2022</v>
      </c>
      <c r="C16" s="137"/>
      <c r="D16" s="129"/>
      <c r="E16" s="129">
        <f t="shared" si="1"/>
        <v>27.02</v>
      </c>
      <c r="F16" s="129"/>
      <c r="G16" s="131"/>
      <c r="H16" s="129">
        <f t="shared" si="2"/>
        <v>0</v>
      </c>
      <c r="I16" s="131"/>
      <c r="J16" s="131"/>
      <c r="K16" s="129">
        <f t="shared" si="3"/>
        <v>27.02</v>
      </c>
      <c r="L16" s="120"/>
      <c r="N16" s="118"/>
      <c r="R16" s="120"/>
      <c r="V16" s="154"/>
      <c r="Y16" s="154"/>
      <c r="Z16" s="154"/>
    </row>
    <row r="17" spans="2:28">
      <c r="B17" s="136">
        <f t="shared" si="0"/>
        <v>2023</v>
      </c>
      <c r="C17" s="137"/>
      <c r="D17" s="129"/>
      <c r="E17" s="129">
        <f t="shared" si="1"/>
        <v>27.68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27.68</v>
      </c>
      <c r="L17" s="120"/>
      <c r="N17" s="118"/>
      <c r="O17" s="133"/>
      <c r="R17" s="120"/>
      <c r="V17" s="154"/>
      <c r="Y17" s="154"/>
      <c r="Z17" s="154"/>
    </row>
    <row r="18" spans="2:28">
      <c r="B18" s="136">
        <f t="shared" si="0"/>
        <v>2024</v>
      </c>
      <c r="C18" s="137">
        <v>1230.020455873758</v>
      </c>
      <c r="D18" s="129">
        <f>C18*$C$62</f>
        <v>62.546540181180596</v>
      </c>
      <c r="E18" s="129">
        <f t="shared" si="1"/>
        <v>28.32</v>
      </c>
      <c r="F18" s="129">
        <f>C60</f>
        <v>2.5818101631996475</v>
      </c>
      <c r="G18" s="131">
        <f>(D18+E18+F18)/(8.76*$C$63)</f>
        <v>35.440597682147882</v>
      </c>
      <c r="H18" s="129">
        <f t="shared" si="2"/>
        <v>0</v>
      </c>
      <c r="I18" s="131">
        <f>(G18+H18)</f>
        <v>35.440597682147882</v>
      </c>
      <c r="J18" s="131">
        <f t="shared" ref="J18:J32" si="4">ROUND(I18*$C$63*8.76,2)</f>
        <v>93.45</v>
      </c>
      <c r="K18" s="129">
        <f t="shared" si="3"/>
        <v>93.448350344380245</v>
      </c>
      <c r="L18" s="120"/>
      <c r="N18" s="118"/>
      <c r="P18" s="280"/>
      <c r="Q18" s="154"/>
      <c r="R18" s="120"/>
      <c r="T18" s="162"/>
      <c r="U18" s="154"/>
      <c r="V18" s="154"/>
      <c r="X18" s="154"/>
      <c r="Y18" s="154"/>
      <c r="Z18" s="154"/>
      <c r="AA18" s="279"/>
      <c r="AB18" s="279"/>
    </row>
    <row r="19" spans="2:28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63.94</v>
      </c>
      <c r="E19" s="129">
        <f t="shared" si="1"/>
        <v>28.95</v>
      </c>
      <c r="F19" s="129">
        <f t="shared" si="5"/>
        <v>2.64</v>
      </c>
      <c r="G19" s="131">
        <f t="shared" ref="G19:G37" si="6">(D19+E19+F19)/(8.76*$C$63)</f>
        <v>36.230070237715985</v>
      </c>
      <c r="H19" s="129">
        <f t="shared" si="2"/>
        <v>0</v>
      </c>
      <c r="I19" s="131">
        <f t="shared" ref="I19:I37" si="7">(G19+H19)</f>
        <v>36.230070237715985</v>
      </c>
      <c r="J19" s="131">
        <f t="shared" si="4"/>
        <v>95.53</v>
      </c>
      <c r="K19" s="129">
        <f t="shared" si="3"/>
        <v>95.53</v>
      </c>
      <c r="L19" s="120"/>
      <c r="N19" s="118"/>
      <c r="R19" s="120"/>
      <c r="T19" s="162"/>
      <c r="U19" s="154"/>
      <c r="V19" s="154"/>
      <c r="X19" s="154"/>
      <c r="Y19" s="154"/>
      <c r="Z19" s="154"/>
    </row>
    <row r="20" spans="2:28">
      <c r="B20" s="136">
        <f t="shared" si="0"/>
        <v>2026</v>
      </c>
      <c r="C20" s="137"/>
      <c r="D20" s="129">
        <f t="shared" si="5"/>
        <v>65.349999999999994</v>
      </c>
      <c r="E20" s="129">
        <f t="shared" si="1"/>
        <v>29.59</v>
      </c>
      <c r="F20" s="129">
        <f t="shared" si="5"/>
        <v>2.7</v>
      </c>
      <c r="G20" s="131">
        <f t="shared" si="6"/>
        <v>37.030294755685013</v>
      </c>
      <c r="H20" s="129">
        <f t="shared" si="2"/>
        <v>0</v>
      </c>
      <c r="I20" s="131">
        <f t="shared" si="7"/>
        <v>37.030294755685013</v>
      </c>
      <c r="J20" s="131">
        <f t="shared" si="4"/>
        <v>97.64</v>
      </c>
      <c r="K20" s="129">
        <f t="shared" si="3"/>
        <v>97.64</v>
      </c>
      <c r="L20" s="120"/>
      <c r="N20" s="118"/>
      <c r="R20" s="161"/>
      <c r="T20" s="162"/>
      <c r="U20" s="154"/>
      <c r="V20" s="154"/>
      <c r="X20" s="154"/>
      <c r="Y20" s="154"/>
      <c r="Z20" s="154"/>
    </row>
    <row r="21" spans="2:28">
      <c r="B21" s="136">
        <f t="shared" si="0"/>
        <v>2027</v>
      </c>
      <c r="C21" s="137"/>
      <c r="D21" s="129">
        <f t="shared" si="5"/>
        <v>66.8</v>
      </c>
      <c r="E21" s="129">
        <f t="shared" si="1"/>
        <v>30.25</v>
      </c>
      <c r="F21" s="129">
        <f t="shared" si="5"/>
        <v>2.76</v>
      </c>
      <c r="G21" s="131">
        <f t="shared" si="6"/>
        <v>37.853274473217134</v>
      </c>
      <c r="H21" s="129">
        <f t="shared" si="2"/>
        <v>0</v>
      </c>
      <c r="I21" s="131">
        <f t="shared" si="7"/>
        <v>37.853274473217134</v>
      </c>
      <c r="J21" s="131">
        <f t="shared" si="4"/>
        <v>99.81</v>
      </c>
      <c r="K21" s="129">
        <f t="shared" si="3"/>
        <v>99.81</v>
      </c>
      <c r="L21" s="120"/>
      <c r="N21" s="118"/>
      <c r="R21" s="161"/>
      <c r="T21" s="162"/>
      <c r="U21" s="154"/>
      <c r="V21" s="154"/>
      <c r="X21" s="154"/>
      <c r="Y21" s="154"/>
      <c r="Z21" s="154"/>
    </row>
    <row r="22" spans="2:28">
      <c r="B22" s="136">
        <f t="shared" si="0"/>
        <v>2028</v>
      </c>
      <c r="C22" s="137"/>
      <c r="D22" s="129">
        <f t="shared" si="5"/>
        <v>68.3</v>
      </c>
      <c r="E22" s="129">
        <f t="shared" si="1"/>
        <v>30.93</v>
      </c>
      <c r="F22" s="129">
        <f t="shared" si="5"/>
        <v>2.82</v>
      </c>
      <c r="G22" s="131">
        <f t="shared" si="6"/>
        <v>38.702801923572864</v>
      </c>
      <c r="H22" s="129">
        <f t="shared" si="2"/>
        <v>0</v>
      </c>
      <c r="I22" s="131">
        <f t="shared" si="7"/>
        <v>38.702801923572864</v>
      </c>
      <c r="J22" s="131">
        <f t="shared" si="4"/>
        <v>102.05</v>
      </c>
      <c r="K22" s="129">
        <f t="shared" si="3"/>
        <v>102.04999999999998</v>
      </c>
      <c r="L22" s="120"/>
      <c r="N22" s="118"/>
      <c r="R22" s="161"/>
      <c r="T22" s="162"/>
      <c r="U22" s="154"/>
      <c r="V22" s="154"/>
      <c r="X22" s="154"/>
      <c r="Y22" s="154"/>
      <c r="Z22" s="154"/>
    </row>
    <row r="23" spans="2:28">
      <c r="B23" s="136">
        <f t="shared" si="0"/>
        <v>2029</v>
      </c>
      <c r="C23" s="137"/>
      <c r="D23" s="129">
        <f t="shared" si="5"/>
        <v>69.849999999999994</v>
      </c>
      <c r="E23" s="129">
        <f t="shared" si="1"/>
        <v>31.63</v>
      </c>
      <c r="F23" s="129">
        <f t="shared" si="5"/>
        <v>2.88</v>
      </c>
      <c r="G23" s="131">
        <f t="shared" si="6"/>
        <v>39.578877106752223</v>
      </c>
      <c r="H23" s="129">
        <f t="shared" si="2"/>
        <v>0</v>
      </c>
      <c r="I23" s="131">
        <f t="shared" si="7"/>
        <v>39.578877106752223</v>
      </c>
      <c r="J23" s="131">
        <f t="shared" si="4"/>
        <v>104.36</v>
      </c>
      <c r="K23" s="129">
        <f t="shared" si="3"/>
        <v>104.35999999999999</v>
      </c>
      <c r="L23" s="120"/>
      <c r="N23" s="118"/>
      <c r="R23" s="161"/>
      <c r="T23" s="162"/>
      <c r="U23" s="154"/>
      <c r="V23" s="154"/>
      <c r="X23" s="154"/>
      <c r="Y23" s="154"/>
      <c r="Z23" s="154"/>
    </row>
    <row r="24" spans="2:28">
      <c r="B24" s="136">
        <f t="shared" si="0"/>
        <v>2030</v>
      </c>
      <c r="C24" s="137"/>
      <c r="D24" s="129">
        <f t="shared" si="5"/>
        <v>71.42</v>
      </c>
      <c r="E24" s="129">
        <f t="shared" si="1"/>
        <v>32.340000000000003</v>
      </c>
      <c r="F24" s="129">
        <f t="shared" si="5"/>
        <v>2.94</v>
      </c>
      <c r="G24" s="131">
        <f t="shared" si="6"/>
        <v>40.466329889713137</v>
      </c>
      <c r="H24" s="129">
        <f t="shared" si="2"/>
        <v>0</v>
      </c>
      <c r="I24" s="131">
        <f t="shared" si="7"/>
        <v>40.466329889713137</v>
      </c>
      <c r="J24" s="131">
        <f t="shared" si="4"/>
        <v>106.7</v>
      </c>
      <c r="K24" s="129">
        <f t="shared" si="3"/>
        <v>106.7</v>
      </c>
      <c r="L24" s="120"/>
      <c r="N24" s="118"/>
      <c r="R24" s="161"/>
      <c r="T24" s="162"/>
      <c r="U24" s="154"/>
      <c r="V24" s="154"/>
      <c r="X24" s="154"/>
      <c r="Y24" s="154"/>
      <c r="Z24" s="154"/>
    </row>
    <row r="25" spans="2:28">
      <c r="B25" s="136">
        <f t="shared" si="0"/>
        <v>2031</v>
      </c>
      <c r="C25" s="137"/>
      <c r="D25" s="129">
        <f t="shared" si="5"/>
        <v>72.98</v>
      </c>
      <c r="E25" s="129">
        <f t="shared" si="1"/>
        <v>33.049999999999997</v>
      </c>
      <c r="F25" s="129">
        <f t="shared" si="5"/>
        <v>3</v>
      </c>
      <c r="G25" s="131">
        <f t="shared" si="6"/>
        <v>41.349990139413528</v>
      </c>
      <c r="H25" s="129">
        <f t="shared" si="2"/>
        <v>0</v>
      </c>
      <c r="I25" s="131">
        <f t="shared" si="7"/>
        <v>41.349990139413528</v>
      </c>
      <c r="J25" s="131">
        <f t="shared" si="4"/>
        <v>109.03</v>
      </c>
      <c r="K25" s="129">
        <f t="shared" si="3"/>
        <v>109.03</v>
      </c>
      <c r="L25" s="120"/>
      <c r="N25" s="118"/>
      <c r="R25" s="161"/>
      <c r="T25" s="162"/>
      <c r="U25" s="154"/>
      <c r="V25" s="154"/>
      <c r="X25" s="154"/>
      <c r="Y25" s="154"/>
      <c r="Z25" s="154"/>
    </row>
    <row r="26" spans="2:28">
      <c r="B26" s="136">
        <f t="shared" si="0"/>
        <v>2032</v>
      </c>
      <c r="C26" s="137"/>
      <c r="D26" s="129">
        <f t="shared" si="5"/>
        <v>74.55</v>
      </c>
      <c r="E26" s="129">
        <f t="shared" si="1"/>
        <v>33.76</v>
      </c>
      <c r="F26" s="129">
        <f t="shared" si="5"/>
        <v>3.06</v>
      </c>
      <c r="G26" s="131">
        <f t="shared" si="6"/>
        <v>42.237442922374434</v>
      </c>
      <c r="H26" s="129">
        <f t="shared" si="2"/>
        <v>0</v>
      </c>
      <c r="I26" s="131">
        <f t="shared" si="7"/>
        <v>42.237442922374434</v>
      </c>
      <c r="J26" s="131">
        <f t="shared" si="4"/>
        <v>111.37</v>
      </c>
      <c r="K26" s="129">
        <f t="shared" si="3"/>
        <v>111.37</v>
      </c>
      <c r="L26" s="120"/>
      <c r="N26" s="118"/>
      <c r="R26" s="161"/>
      <c r="T26" s="162"/>
      <c r="U26" s="154"/>
      <c r="V26" s="154"/>
      <c r="X26" s="154"/>
      <c r="Y26" s="154"/>
      <c r="Z26" s="154"/>
    </row>
    <row r="27" spans="2:28">
      <c r="B27" s="136">
        <f t="shared" si="0"/>
        <v>2033</v>
      </c>
      <c r="C27" s="137"/>
      <c r="D27" s="129">
        <f t="shared" si="5"/>
        <v>76.150000000000006</v>
      </c>
      <c r="E27" s="129">
        <f t="shared" si="1"/>
        <v>34.479999999999997</v>
      </c>
      <c r="F27" s="129">
        <f t="shared" si="5"/>
        <v>3.13</v>
      </c>
      <c r="G27" s="131">
        <f t="shared" si="6"/>
        <v>43.143858371637918</v>
      </c>
      <c r="H27" s="129">
        <f t="shared" si="2"/>
        <v>0</v>
      </c>
      <c r="I27" s="131">
        <f t="shared" si="7"/>
        <v>43.143858371637918</v>
      </c>
      <c r="J27" s="131">
        <f t="shared" si="4"/>
        <v>113.76</v>
      </c>
      <c r="K27" s="129">
        <f t="shared" si="3"/>
        <v>113.75999999999999</v>
      </c>
      <c r="L27" s="120"/>
      <c r="N27" s="118"/>
      <c r="R27" s="161"/>
      <c r="T27" s="162"/>
      <c r="U27" s="154"/>
      <c r="V27" s="154"/>
      <c r="X27" s="154"/>
      <c r="Y27" s="154"/>
      <c r="Z27" s="154"/>
    </row>
    <row r="28" spans="2:28">
      <c r="B28" s="136">
        <f t="shared" si="0"/>
        <v>2034</v>
      </c>
      <c r="C28" s="137"/>
      <c r="D28" s="129">
        <f t="shared" si="5"/>
        <v>77.75</v>
      </c>
      <c r="E28" s="129">
        <f t="shared" si="1"/>
        <v>35.200000000000003</v>
      </c>
      <c r="F28" s="129">
        <f t="shared" si="5"/>
        <v>3.2</v>
      </c>
      <c r="G28" s="131">
        <f t="shared" si="6"/>
        <v>44.050273820901417</v>
      </c>
      <c r="H28" s="129">
        <f t="shared" si="2"/>
        <v>0</v>
      </c>
      <c r="I28" s="131">
        <f t="shared" si="7"/>
        <v>44.050273820901417</v>
      </c>
      <c r="J28" s="131">
        <f t="shared" si="4"/>
        <v>116.15</v>
      </c>
      <c r="K28" s="129">
        <f t="shared" si="3"/>
        <v>116.15</v>
      </c>
      <c r="L28" s="120"/>
      <c r="N28" s="118"/>
      <c r="R28" s="161"/>
      <c r="T28" s="162"/>
      <c r="U28" s="154"/>
      <c r="V28" s="154"/>
      <c r="X28" s="154"/>
      <c r="Y28" s="154"/>
      <c r="Z28" s="154"/>
    </row>
    <row r="29" spans="2:28">
      <c r="B29" s="136">
        <f t="shared" si="0"/>
        <v>2035</v>
      </c>
      <c r="C29" s="137"/>
      <c r="D29" s="129">
        <f t="shared" si="5"/>
        <v>79.38</v>
      </c>
      <c r="E29" s="129">
        <f t="shared" si="1"/>
        <v>35.94</v>
      </c>
      <c r="F29" s="129">
        <f t="shared" si="5"/>
        <v>3.27</v>
      </c>
      <c r="G29" s="131">
        <f t="shared" si="6"/>
        <v>44.975651936467486</v>
      </c>
      <c r="H29" s="129">
        <f t="shared" si="2"/>
        <v>0</v>
      </c>
      <c r="I29" s="131">
        <f t="shared" si="7"/>
        <v>44.975651936467486</v>
      </c>
      <c r="J29" s="131">
        <f t="shared" si="4"/>
        <v>118.59</v>
      </c>
      <c r="K29" s="129">
        <f t="shared" si="3"/>
        <v>118.58999999999999</v>
      </c>
      <c r="L29" s="120"/>
      <c r="N29" s="118"/>
      <c r="R29" s="161"/>
      <c r="T29" s="162"/>
      <c r="U29" s="154"/>
      <c r="V29" s="154"/>
      <c r="X29" s="154"/>
      <c r="Y29" s="154"/>
      <c r="Z29" s="154"/>
    </row>
    <row r="30" spans="2:28">
      <c r="B30" s="136">
        <f t="shared" si="0"/>
        <v>2036</v>
      </c>
      <c r="C30" s="137"/>
      <c r="D30" s="129">
        <f t="shared" si="5"/>
        <v>81.03</v>
      </c>
      <c r="E30" s="129">
        <f t="shared" si="1"/>
        <v>36.69</v>
      </c>
      <c r="F30" s="129">
        <f t="shared" si="5"/>
        <v>3.34</v>
      </c>
      <c r="G30" s="131">
        <f t="shared" si="6"/>
        <v>45.912407651815109</v>
      </c>
      <c r="H30" s="129">
        <f t="shared" si="2"/>
        <v>0</v>
      </c>
      <c r="I30" s="131">
        <f t="shared" si="7"/>
        <v>45.912407651815109</v>
      </c>
      <c r="J30" s="131">
        <f t="shared" si="4"/>
        <v>121.06</v>
      </c>
      <c r="K30" s="129">
        <f t="shared" si="3"/>
        <v>121.06</v>
      </c>
      <c r="L30" s="120"/>
      <c r="N30" s="118"/>
      <c r="R30" s="161"/>
      <c r="T30" s="162"/>
      <c r="U30" s="154"/>
      <c r="V30" s="154"/>
      <c r="X30" s="154"/>
      <c r="Y30" s="154"/>
      <c r="Z30" s="154"/>
    </row>
    <row r="31" spans="2:28">
      <c r="B31" s="136">
        <f t="shared" si="0"/>
        <v>2037</v>
      </c>
      <c r="C31" s="137"/>
      <c r="D31" s="129">
        <f t="shared" si="5"/>
        <v>82.72</v>
      </c>
      <c r="E31" s="129">
        <f t="shared" si="1"/>
        <v>37.46</v>
      </c>
      <c r="F31" s="129">
        <f t="shared" si="5"/>
        <v>3.41</v>
      </c>
      <c r="G31" s="131">
        <f t="shared" si="6"/>
        <v>46.871918566725839</v>
      </c>
      <c r="H31" s="129">
        <f t="shared" si="2"/>
        <v>0</v>
      </c>
      <c r="I31" s="131">
        <f t="shared" si="7"/>
        <v>46.871918566725839</v>
      </c>
      <c r="J31" s="131">
        <f t="shared" si="4"/>
        <v>123.59</v>
      </c>
      <c r="K31" s="129">
        <f t="shared" si="3"/>
        <v>123.59</v>
      </c>
      <c r="L31" s="120"/>
      <c r="N31" s="118"/>
      <c r="R31" s="161"/>
      <c r="T31" s="162"/>
      <c r="U31" s="154"/>
      <c r="V31" s="154"/>
      <c r="X31" s="154"/>
      <c r="Y31" s="154"/>
      <c r="Z31" s="154"/>
    </row>
    <row r="32" spans="2:28">
      <c r="B32" s="136">
        <f t="shared" si="0"/>
        <v>2038</v>
      </c>
      <c r="C32" s="137"/>
      <c r="D32" s="129">
        <f t="shared" si="5"/>
        <v>84.45</v>
      </c>
      <c r="E32" s="129">
        <f t="shared" si="1"/>
        <v>38.24</v>
      </c>
      <c r="F32" s="129">
        <f t="shared" si="5"/>
        <v>3.48</v>
      </c>
      <c r="G32" s="131">
        <f t="shared" si="6"/>
        <v>47.850392147939139</v>
      </c>
      <c r="H32" s="129">
        <f t="shared" si="2"/>
        <v>0</v>
      </c>
      <c r="I32" s="131">
        <f t="shared" si="7"/>
        <v>47.850392147939139</v>
      </c>
      <c r="J32" s="131">
        <f t="shared" si="4"/>
        <v>126.17</v>
      </c>
      <c r="K32" s="129">
        <f t="shared" si="3"/>
        <v>126.17</v>
      </c>
      <c r="L32" s="120"/>
      <c r="N32" s="118"/>
      <c r="R32" s="161"/>
      <c r="T32" s="162"/>
      <c r="U32" s="154"/>
      <c r="V32" s="154"/>
      <c r="X32" s="154"/>
      <c r="Y32" s="154"/>
      <c r="Z32" s="154"/>
    </row>
    <row r="33" spans="2:26">
      <c r="B33" s="136">
        <f t="shared" si="0"/>
        <v>2039</v>
      </c>
      <c r="C33" s="137"/>
      <c r="D33" s="129">
        <f t="shared" si="5"/>
        <v>86.2</v>
      </c>
      <c r="E33" s="129">
        <f t="shared" si="1"/>
        <v>39.03</v>
      </c>
      <c r="F33" s="129">
        <f t="shared" si="5"/>
        <v>3.55</v>
      </c>
      <c r="G33" s="131">
        <f t="shared" si="6"/>
        <v>48.840243328934001</v>
      </c>
      <c r="H33" s="129">
        <f t="shared" si="2"/>
        <v>0</v>
      </c>
      <c r="I33" s="131">
        <f t="shared" si="7"/>
        <v>48.840243328934001</v>
      </c>
      <c r="J33" s="131">
        <f t="shared" ref="J33:J37" si="8">ROUND(I33*$C$63*8.76,2)</f>
        <v>128.78</v>
      </c>
      <c r="K33" s="129">
        <f t="shared" si="3"/>
        <v>128.78</v>
      </c>
      <c r="L33" s="120"/>
      <c r="N33" s="118"/>
      <c r="R33" s="161"/>
      <c r="T33" s="162"/>
      <c r="U33" s="154"/>
      <c r="V33" s="154"/>
      <c r="X33" s="154"/>
      <c r="Y33" s="154"/>
      <c r="Z33" s="154"/>
    </row>
    <row r="34" spans="2:26">
      <c r="B34" s="136">
        <f t="shared" si="0"/>
        <v>2040</v>
      </c>
      <c r="C34" s="137"/>
      <c r="D34" s="129">
        <f t="shared" si="5"/>
        <v>87.99</v>
      </c>
      <c r="E34" s="129">
        <f t="shared" si="1"/>
        <v>39.840000000000003</v>
      </c>
      <c r="F34" s="129">
        <f t="shared" si="5"/>
        <v>3.62</v>
      </c>
      <c r="G34" s="131">
        <f t="shared" si="6"/>
        <v>49.852849709491956</v>
      </c>
      <c r="H34" s="129">
        <f t="shared" si="2"/>
        <v>0</v>
      </c>
      <c r="I34" s="131">
        <f t="shared" si="7"/>
        <v>49.852849709491956</v>
      </c>
      <c r="J34" s="131">
        <f t="shared" si="8"/>
        <v>131.44999999999999</v>
      </c>
      <c r="K34" s="129">
        <f t="shared" si="3"/>
        <v>131.44999999999999</v>
      </c>
      <c r="L34" s="120"/>
      <c r="N34" s="118"/>
      <c r="R34" s="161"/>
      <c r="T34" s="162"/>
      <c r="U34" s="154"/>
      <c r="V34" s="154"/>
      <c r="X34" s="154"/>
      <c r="Y34" s="154"/>
      <c r="Z34" s="154"/>
    </row>
    <row r="35" spans="2:26">
      <c r="B35" s="136">
        <f t="shared" si="0"/>
        <v>2041</v>
      </c>
      <c r="C35" s="137"/>
      <c r="D35" s="129">
        <f t="shared" si="5"/>
        <v>89.83</v>
      </c>
      <c r="E35" s="129">
        <f t="shared" si="1"/>
        <v>40.67</v>
      </c>
      <c r="F35" s="129">
        <f t="shared" si="5"/>
        <v>3.7</v>
      </c>
      <c r="G35" s="131">
        <f t="shared" si="6"/>
        <v>50.895796356134042</v>
      </c>
      <c r="H35" s="129">
        <f t="shared" si="2"/>
        <v>0</v>
      </c>
      <c r="I35" s="131">
        <f t="shared" si="7"/>
        <v>50.895796356134042</v>
      </c>
      <c r="J35" s="131">
        <f t="shared" si="8"/>
        <v>134.19999999999999</v>
      </c>
      <c r="K35" s="129">
        <f t="shared" si="3"/>
        <v>134.19999999999999</v>
      </c>
      <c r="L35" s="120"/>
      <c r="N35" s="118"/>
      <c r="R35" s="161"/>
      <c r="T35" s="162"/>
      <c r="U35" s="154"/>
      <c r="V35" s="154"/>
      <c r="X35" s="154"/>
      <c r="Y35" s="154"/>
      <c r="Z35" s="154"/>
    </row>
    <row r="36" spans="2:26">
      <c r="B36" s="136">
        <f t="shared" si="0"/>
        <v>2042</v>
      </c>
      <c r="C36" s="137"/>
      <c r="D36" s="129">
        <f t="shared" si="5"/>
        <v>91.72</v>
      </c>
      <c r="E36" s="129">
        <f t="shared" si="1"/>
        <v>41.53</v>
      </c>
      <c r="F36" s="129">
        <f t="shared" si="5"/>
        <v>3.78</v>
      </c>
      <c r="G36" s="131">
        <f t="shared" si="6"/>
        <v>51.969083268860274</v>
      </c>
      <c r="H36" s="129">
        <f t="shared" si="2"/>
        <v>0</v>
      </c>
      <c r="I36" s="131">
        <f t="shared" si="7"/>
        <v>51.969083268860274</v>
      </c>
      <c r="J36" s="131">
        <f t="shared" si="8"/>
        <v>137.03</v>
      </c>
      <c r="K36" s="129">
        <f t="shared" si="3"/>
        <v>137.03</v>
      </c>
      <c r="L36" s="120"/>
      <c r="N36" s="118"/>
      <c r="R36" s="161"/>
      <c r="T36" s="162"/>
      <c r="U36" s="154"/>
      <c r="V36" s="154"/>
      <c r="X36" s="154"/>
      <c r="Y36" s="154"/>
      <c r="Z36" s="154"/>
    </row>
    <row r="37" spans="2:26">
      <c r="B37" s="136">
        <f t="shared" si="0"/>
        <v>2043</v>
      </c>
      <c r="C37" s="137"/>
      <c r="D37" s="129">
        <f t="shared" si="5"/>
        <v>93.66</v>
      </c>
      <c r="E37" s="129">
        <f t="shared" si="1"/>
        <v>42.41</v>
      </c>
      <c r="F37" s="129">
        <f t="shared" si="5"/>
        <v>3.86</v>
      </c>
      <c r="G37" s="131">
        <f t="shared" si="6"/>
        <v>53.068917914410115</v>
      </c>
      <c r="H37" s="129">
        <f t="shared" si="2"/>
        <v>0</v>
      </c>
      <c r="I37" s="131">
        <f t="shared" si="7"/>
        <v>53.068917914410115</v>
      </c>
      <c r="J37" s="131">
        <f t="shared" si="8"/>
        <v>139.93</v>
      </c>
      <c r="K37" s="129">
        <f t="shared" si="3"/>
        <v>139.93</v>
      </c>
      <c r="L37" s="120"/>
      <c r="N37" s="118"/>
      <c r="R37" s="161"/>
      <c r="T37" s="162"/>
      <c r="U37" s="154"/>
      <c r="V37" s="154"/>
      <c r="X37" s="154"/>
      <c r="Y37" s="154"/>
      <c r="Z37" s="154"/>
    </row>
    <row r="38" spans="2:26">
      <c r="B38" s="127"/>
      <c r="C38" s="132"/>
      <c r="D38" s="129"/>
      <c r="E38" s="129"/>
      <c r="F38" s="130"/>
      <c r="G38" s="129"/>
      <c r="H38" s="129"/>
      <c r="I38" s="131"/>
      <c r="J38" s="131"/>
      <c r="K38" s="138"/>
      <c r="R38" s="120"/>
    </row>
    <row r="39" spans="2:26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</row>
    <row r="40" spans="2:26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</row>
    <row r="41" spans="2:26">
      <c r="R41" s="120"/>
    </row>
    <row r="42" spans="2:26" ht="14.25">
      <c r="B42" s="139" t="s">
        <v>27</v>
      </c>
      <c r="C42" s="140"/>
      <c r="D42" s="140"/>
      <c r="E42" s="140"/>
      <c r="F42" s="140"/>
      <c r="G42" s="140"/>
      <c r="H42" s="140"/>
      <c r="R42" s="120"/>
    </row>
    <row r="44" spans="2:26">
      <c r="B44" s="118" t="s">
        <v>65</v>
      </c>
      <c r="C44" s="141" t="s">
        <v>66</v>
      </c>
      <c r="D44" s="142" t="s">
        <v>105</v>
      </c>
    </row>
    <row r="45" spans="2:26">
      <c r="C45" s="141" t="str">
        <f>C7</f>
        <v>(a)</v>
      </c>
      <c r="D45" s="118" t="s">
        <v>67</v>
      </c>
    </row>
    <row r="46" spans="2:26">
      <c r="C46" s="141" t="str">
        <f>D7</f>
        <v>(b)</v>
      </c>
      <c r="D46" s="131" t="str">
        <f>"= "&amp;C7&amp;" x "&amp;C62</f>
        <v>= (a) x 0.05085</v>
      </c>
    </row>
    <row r="47" spans="2:26">
      <c r="C47" s="141" t="str">
        <f>G7</f>
        <v>(e)</v>
      </c>
      <c r="D47" s="131" t="str">
        <f>"= ("&amp;$D$7&amp;" + "&amp;$E$7&amp;") /  (8.76 x "&amp;TEXT(C63,"0.0%")&amp;")"</f>
        <v>= ((b) + (c)) /  (8.76 x 30.1%)</v>
      </c>
    </row>
    <row r="48" spans="2:26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Utah North Solar with Storage - 30%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106</v>
      </c>
      <c r="Q54" s="118">
        <v>2024</v>
      </c>
    </row>
    <row r="55" spans="2:25">
      <c r="B55" s="85" t="s">
        <v>104</v>
      </c>
      <c r="C55" s="393">
        <v>1608.8221683005897</v>
      </c>
      <c r="D55" s="118" t="s">
        <v>67</v>
      </c>
      <c r="O55" s="278">
        <v>342.2</v>
      </c>
      <c r="P55" s="118" t="s">
        <v>34</v>
      </c>
      <c r="Q55" s="118" t="s">
        <v>146</v>
      </c>
      <c r="R55" s="118" t="s">
        <v>112</v>
      </c>
      <c r="T55" s="118" t="str">
        <f>$Q$55&amp;"Proposed Station Capital Costs"</f>
        <v>L1.UN1_PVSProposed Station Capital Costs</v>
      </c>
    </row>
    <row r="56" spans="2:25">
      <c r="B56" s="85" t="s">
        <v>104</v>
      </c>
      <c r="C56" s="149">
        <v>24.570618817436728</v>
      </c>
      <c r="D56" s="118" t="s">
        <v>70</v>
      </c>
      <c r="R56" s="120"/>
      <c r="T56" s="118" t="str">
        <f>$Q$55&amp;"Proposed Station Fixed Costs"</f>
        <v>L1.UN1_PVSProposed Station Fixed Costs</v>
      </c>
    </row>
    <row r="57" spans="2:25" ht="24" customHeight="1">
      <c r="B57" s="85"/>
      <c r="C57" s="154"/>
      <c r="D57" s="118" t="s">
        <v>109</v>
      </c>
      <c r="Q57" s="337" t="str">
        <f>Q55&amp;Q54</f>
        <v>L1.UN1_PVS2024</v>
      </c>
      <c r="T57" s="118" t="str">
        <f>$Q$55&amp;"Proposed Station Variable O&amp;M Costs"</f>
        <v>L1.UN1_PVSProposed Station Variable O&amp;M Costs</v>
      </c>
    </row>
    <row r="58" spans="2:25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 t="s">
        <v>260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58" t="str">
        <f>LEFT(RIGHT(INDEX('Table 3 TransCost'!$39:$39,1,MATCH(F60,'Table 3 TransCost'!$4:$4,0)),6),5)</f>
        <v>2024$</v>
      </c>
      <c r="C60" s="154">
        <f>INDEX('Table 3 TransCost'!$39:$39,1,MATCH(F60,'Table 3 TransCost'!$4:$4,0)+2)</f>
        <v>2.5818101631996475</v>
      </c>
      <c r="D60" s="118" t="s">
        <v>222</v>
      </c>
      <c r="F60" s="118" t="s">
        <v>186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5">
      <c r="C62" s="395">
        <v>5.0849999999999999E-2</v>
      </c>
      <c r="D62" s="118" t="s">
        <v>38</v>
      </c>
      <c r="E62" s="118" t="s">
        <v>113</v>
      </c>
      <c r="K62" s="288"/>
      <c r="L62" s="157"/>
      <c r="M62" s="157"/>
      <c r="O62" s="158"/>
    </row>
    <row r="63" spans="2:25">
      <c r="C63" s="396">
        <v>0.30099999999999999</v>
      </c>
      <c r="D63" s="118" t="s">
        <v>39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9">C66+1</f>
        <v>2018</v>
      </c>
      <c r="D67" s="41">
        <v>2.3994563767884003E-2</v>
      </c>
      <c r="E67" s="85"/>
      <c r="F67" s="87">
        <f t="shared" ref="F67:F74" si="10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9"/>
        <v>2019</v>
      </c>
      <c r="D68" s="41">
        <v>1.9651346350279875E-2</v>
      </c>
      <c r="E68" s="85"/>
      <c r="F68" s="87">
        <f t="shared" si="10"/>
        <v>2028</v>
      </c>
      <c r="G68" s="41">
        <v>2.2447976887115972E-2</v>
      </c>
      <c r="H68" s="41"/>
      <c r="I68" s="87">
        <f t="shared" ref="I68:I74" si="11">I67+1</f>
        <v>2037</v>
      </c>
      <c r="J68" s="41">
        <v>2.0854082421584375E-2</v>
      </c>
    </row>
    <row r="69" spans="3:14">
      <c r="C69" s="87">
        <f t="shared" si="9"/>
        <v>2020</v>
      </c>
      <c r="D69" s="41">
        <v>2.6147280919121885E-2</v>
      </c>
      <c r="E69" s="85"/>
      <c r="F69" s="87">
        <f t="shared" si="10"/>
        <v>2029</v>
      </c>
      <c r="G69" s="41">
        <v>2.2764957830614385E-2</v>
      </c>
      <c r="H69" s="41"/>
      <c r="I69" s="87">
        <f t="shared" si="11"/>
        <v>2038</v>
      </c>
      <c r="J69" s="41">
        <v>2.0886076981620372E-2</v>
      </c>
    </row>
    <row r="70" spans="3:14">
      <c r="C70" s="87">
        <f t="shared" si="9"/>
        <v>2021</v>
      </c>
      <c r="D70" s="41">
        <v>2.5435997430165225E-2</v>
      </c>
      <c r="E70" s="85"/>
      <c r="F70" s="87">
        <f t="shared" si="10"/>
        <v>2030</v>
      </c>
      <c r="G70" s="41">
        <v>2.2409251338579406E-2</v>
      </c>
      <c r="H70" s="41"/>
      <c r="I70" s="87">
        <f t="shared" si="11"/>
        <v>2039</v>
      </c>
      <c r="J70" s="41">
        <v>2.0755199547329406E-2</v>
      </c>
    </row>
    <row r="71" spans="3:14">
      <c r="C71" s="87">
        <f t="shared" si="9"/>
        <v>2022</v>
      </c>
      <c r="D71" s="41">
        <v>2.5246661572301266E-2</v>
      </c>
      <c r="E71" s="85"/>
      <c r="F71" s="87">
        <f t="shared" si="10"/>
        <v>2031</v>
      </c>
      <c r="G71" s="41">
        <v>2.1876862460861402E-2</v>
      </c>
      <c r="H71" s="41"/>
      <c r="I71" s="87">
        <f t="shared" si="11"/>
        <v>2040</v>
      </c>
      <c r="J71" s="41">
        <v>2.0747934127706591E-2</v>
      </c>
    </row>
    <row r="72" spans="3:14" s="120" customFormat="1">
      <c r="C72" s="87">
        <f t="shared" si="9"/>
        <v>2023</v>
      </c>
      <c r="D72" s="41">
        <v>2.4577195966118071E-2</v>
      </c>
      <c r="E72" s="86"/>
      <c r="F72" s="87">
        <f t="shared" si="10"/>
        <v>2032</v>
      </c>
      <c r="G72" s="41">
        <v>2.1570874084378078E-2</v>
      </c>
      <c r="H72" s="41"/>
      <c r="I72" s="87">
        <f t="shared" si="11"/>
        <v>2041</v>
      </c>
      <c r="J72" s="41">
        <v>2.0871781890604124E-2</v>
      </c>
      <c r="N72" s="165"/>
    </row>
    <row r="73" spans="3:14" s="120" customFormat="1">
      <c r="C73" s="87">
        <f t="shared" si="9"/>
        <v>2024</v>
      </c>
      <c r="D73" s="41">
        <v>2.3256370085936506E-2</v>
      </c>
      <c r="E73" s="86"/>
      <c r="F73" s="87">
        <f t="shared" si="10"/>
        <v>2033</v>
      </c>
      <c r="G73" s="41">
        <v>2.144511122277093E-2</v>
      </c>
      <c r="H73" s="41"/>
      <c r="I73" s="87">
        <f t="shared" si="11"/>
        <v>2042</v>
      </c>
      <c r="J73" s="41">
        <v>2.1078469389761434E-2</v>
      </c>
      <c r="N73" s="165"/>
    </row>
    <row r="74" spans="3:14" s="120" customFormat="1">
      <c r="C74" s="87">
        <f t="shared" si="9"/>
        <v>2025</v>
      </c>
      <c r="D74" s="41">
        <v>2.2304783799234951E-2</v>
      </c>
      <c r="E74" s="86"/>
      <c r="F74" s="87">
        <f t="shared" si="10"/>
        <v>2034</v>
      </c>
      <c r="G74" s="41">
        <v>2.1010014778543251E-2</v>
      </c>
      <c r="H74" s="41"/>
      <c r="I74" s="87">
        <f t="shared" si="11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02"/>
  <sheetViews>
    <sheetView topLeftCell="D1" zoomScale="80" zoomScaleNormal="80" workbookViewId="0">
      <selection activeCell="F48" sqref="F48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10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4" width="9.33203125" style="118"/>
    <col min="25" max="25" width="12" style="118" bestFit="1" customWidth="1"/>
    <col min="26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2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32" ht="15.75">
      <c r="B2" s="116" t="s">
        <v>151</v>
      </c>
      <c r="C2" s="117"/>
      <c r="D2" s="117"/>
      <c r="E2" s="117"/>
      <c r="F2" s="117"/>
      <c r="G2" s="117"/>
      <c r="H2" s="117"/>
      <c r="I2" s="117"/>
      <c r="J2" s="117"/>
    </row>
    <row r="3" spans="2:32" ht="15.75">
      <c r="B3" s="116" t="str">
        <f>TEXT($C$63,"0%")&amp;"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R3" s="120"/>
    </row>
    <row r="4" spans="2:32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</row>
    <row r="5" spans="2:32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  <c r="Z5" s="215"/>
    </row>
    <row r="6" spans="2:32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32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  <c r="R7" s="120"/>
    </row>
    <row r="8" spans="2:32" ht="6" customHeight="1">
      <c r="K8" s="120"/>
      <c r="R8" s="120"/>
    </row>
    <row r="9" spans="2:32" ht="15.75">
      <c r="B9" s="43" t="str">
        <f>C52</f>
        <v>2019 IRP Jim Bridger Solar with Storage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32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32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32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W12" s="278"/>
      <c r="Y12" s="154"/>
      <c r="Z12" s="154"/>
      <c r="AF12" s="154"/>
    </row>
    <row r="13" spans="2:32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25.05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25.05</v>
      </c>
      <c r="L13" s="120"/>
      <c r="N13" s="118"/>
      <c r="R13" s="120"/>
      <c r="V13" s="154"/>
      <c r="Y13" s="154"/>
      <c r="Z13" s="154"/>
      <c r="AF13" s="154"/>
    </row>
    <row r="14" spans="2:32">
      <c r="B14" s="136">
        <f t="shared" si="0"/>
        <v>2020</v>
      </c>
      <c r="C14" s="137"/>
      <c r="D14" s="129"/>
      <c r="E14" s="129">
        <f t="shared" si="1"/>
        <v>25.7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25.7</v>
      </c>
      <c r="L14" s="120"/>
      <c r="N14" s="118"/>
      <c r="O14" s="133"/>
      <c r="P14" s="397"/>
      <c r="Q14" s="398"/>
      <c r="R14" s="120"/>
      <c r="V14" s="154"/>
      <c r="Y14" s="154"/>
      <c r="Z14" s="154"/>
      <c r="AF14" s="154"/>
    </row>
    <row r="15" spans="2:32">
      <c r="B15" s="136">
        <f t="shared" si="0"/>
        <v>2021</v>
      </c>
      <c r="C15" s="137"/>
      <c r="D15" s="129"/>
      <c r="E15" s="129">
        <f t="shared" si="1"/>
        <v>26.35</v>
      </c>
      <c r="F15" s="129"/>
      <c r="G15" s="131"/>
      <c r="H15" s="129">
        <f t="shared" si="2"/>
        <v>0</v>
      </c>
      <c r="I15" s="131"/>
      <c r="J15" s="131"/>
      <c r="K15" s="129">
        <f t="shared" si="3"/>
        <v>26.35</v>
      </c>
      <c r="L15" s="120"/>
      <c r="N15" s="118"/>
      <c r="O15" s="399"/>
      <c r="P15" s="397"/>
      <c r="Q15" s="398"/>
      <c r="R15" s="120"/>
      <c r="V15" s="154"/>
      <c r="Y15" s="154"/>
      <c r="Z15" s="154"/>
      <c r="AF15" s="154"/>
    </row>
    <row r="16" spans="2:32">
      <c r="B16" s="136">
        <f t="shared" si="0"/>
        <v>2022</v>
      </c>
      <c r="C16" s="137"/>
      <c r="D16" s="129"/>
      <c r="E16" s="129">
        <f t="shared" si="1"/>
        <v>27.02</v>
      </c>
      <c r="F16" s="129"/>
      <c r="G16" s="131"/>
      <c r="H16" s="129">
        <f t="shared" si="2"/>
        <v>0</v>
      </c>
      <c r="I16" s="131"/>
      <c r="J16" s="131"/>
      <c r="K16" s="129">
        <f t="shared" si="3"/>
        <v>27.02</v>
      </c>
      <c r="L16" s="120"/>
      <c r="N16" s="118"/>
      <c r="O16" s="338"/>
      <c r="R16" s="120"/>
      <c r="V16" s="154"/>
      <c r="Y16" s="154"/>
      <c r="Z16" s="154"/>
      <c r="AF16" s="154"/>
    </row>
    <row r="17" spans="2:32">
      <c r="B17" s="136">
        <f t="shared" si="0"/>
        <v>2023</v>
      </c>
      <c r="C17" s="137"/>
      <c r="D17" s="129"/>
      <c r="E17" s="129">
        <f t="shared" si="1"/>
        <v>27.68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27.68</v>
      </c>
      <c r="L17" s="120"/>
      <c r="N17" s="118"/>
      <c r="O17" s="200"/>
      <c r="R17" s="120"/>
      <c r="V17" s="154"/>
      <c r="Y17" s="154"/>
      <c r="Z17" s="154"/>
      <c r="AF17" s="154"/>
    </row>
    <row r="18" spans="2:32">
      <c r="B18" s="136">
        <f t="shared" si="0"/>
        <v>2024</v>
      </c>
      <c r="C18" s="137">
        <v>1227.9632768361582</v>
      </c>
      <c r="D18" s="129">
        <f>C18*$C$62</f>
        <v>62.441932627118646</v>
      </c>
      <c r="E18" s="129">
        <f t="shared" si="1"/>
        <v>28.32</v>
      </c>
      <c r="F18" s="129">
        <f>C60</f>
        <v>0</v>
      </c>
      <c r="G18" s="131">
        <f>(D18+E18+F18)/(8.76*$C$63)</f>
        <v>34.421764827712295</v>
      </c>
      <c r="H18" s="129">
        <f t="shared" si="2"/>
        <v>0</v>
      </c>
      <c r="I18" s="131">
        <f>(G18+H18)</f>
        <v>34.421764827712295</v>
      </c>
      <c r="J18" s="131">
        <f t="shared" ref="J18:J32" si="4">ROUND(I18*$C$63*8.76,2)</f>
        <v>90.76</v>
      </c>
      <c r="K18" s="129">
        <f t="shared" si="3"/>
        <v>90.761932627118654</v>
      </c>
      <c r="L18" s="120"/>
      <c r="N18" s="118"/>
      <c r="O18" s="339"/>
      <c r="Q18" s="154"/>
      <c r="R18" s="120"/>
      <c r="T18" s="162"/>
      <c r="U18" s="154"/>
      <c r="V18" s="154"/>
      <c r="W18" s="154"/>
      <c r="X18" s="154"/>
      <c r="Y18" s="154"/>
      <c r="Z18" s="154"/>
      <c r="AA18" s="280"/>
      <c r="AB18" s="279"/>
      <c r="AF18" s="154"/>
    </row>
    <row r="19" spans="2:32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63.83</v>
      </c>
      <c r="E19" s="129">
        <f t="shared" si="1"/>
        <v>28.95</v>
      </c>
      <c r="F19" s="129">
        <f t="shared" si="5"/>
        <v>0</v>
      </c>
      <c r="G19" s="131">
        <f t="shared" ref="G19:G37" si="6">(D19+E19+F19)/(8.76*$C$63)</f>
        <v>35.187123591073899</v>
      </c>
      <c r="H19" s="129">
        <f t="shared" si="2"/>
        <v>0</v>
      </c>
      <c r="I19" s="131">
        <f t="shared" ref="I19:I37" si="7">(G19+H19)</f>
        <v>35.187123591073899</v>
      </c>
      <c r="J19" s="131">
        <f t="shared" si="4"/>
        <v>92.78</v>
      </c>
      <c r="K19" s="129">
        <f t="shared" si="3"/>
        <v>92.78</v>
      </c>
      <c r="L19" s="120"/>
      <c r="N19" s="118"/>
      <c r="R19" s="120"/>
      <c r="T19" s="162"/>
      <c r="U19" s="154"/>
      <c r="V19" s="154"/>
      <c r="W19" s="154"/>
      <c r="X19" s="154"/>
      <c r="Y19" s="154"/>
      <c r="Z19" s="154"/>
      <c r="AF19" s="154"/>
    </row>
    <row r="20" spans="2:32">
      <c r="B20" s="136">
        <f t="shared" si="0"/>
        <v>2026</v>
      </c>
      <c r="C20" s="137"/>
      <c r="D20" s="129">
        <f t="shared" si="5"/>
        <v>65.239999999999995</v>
      </c>
      <c r="E20" s="129">
        <f t="shared" si="1"/>
        <v>29.59</v>
      </c>
      <c r="F20" s="129">
        <f t="shared" si="5"/>
        <v>0</v>
      </c>
      <c r="G20" s="131">
        <f t="shared" si="6"/>
        <v>35.964592909479819</v>
      </c>
      <c r="H20" s="129">
        <f t="shared" si="2"/>
        <v>0</v>
      </c>
      <c r="I20" s="131">
        <f t="shared" si="7"/>
        <v>35.964592909479819</v>
      </c>
      <c r="J20" s="131">
        <f t="shared" si="4"/>
        <v>94.83</v>
      </c>
      <c r="K20" s="129">
        <f t="shared" si="3"/>
        <v>94.83</v>
      </c>
      <c r="L20" s="120"/>
      <c r="N20" s="118"/>
      <c r="R20" s="161"/>
      <c r="T20" s="162"/>
      <c r="U20" s="154"/>
      <c r="V20" s="154"/>
      <c r="W20" s="154"/>
      <c r="X20" s="154"/>
      <c r="Y20" s="154"/>
      <c r="Z20" s="154"/>
      <c r="AF20" s="154"/>
    </row>
    <row r="21" spans="2:32">
      <c r="B21" s="136">
        <f t="shared" si="0"/>
        <v>2027</v>
      </c>
      <c r="C21" s="137"/>
      <c r="D21" s="129">
        <f t="shared" si="5"/>
        <v>66.69</v>
      </c>
      <c r="E21" s="129">
        <f t="shared" si="1"/>
        <v>30.25</v>
      </c>
      <c r="F21" s="129">
        <f t="shared" si="5"/>
        <v>0</v>
      </c>
      <c r="G21" s="131">
        <f t="shared" si="6"/>
        <v>36.76481742744884</v>
      </c>
      <c r="H21" s="129">
        <f t="shared" si="2"/>
        <v>0</v>
      </c>
      <c r="I21" s="131">
        <f t="shared" si="7"/>
        <v>36.76481742744884</v>
      </c>
      <c r="J21" s="131">
        <f t="shared" si="4"/>
        <v>96.94</v>
      </c>
      <c r="K21" s="129">
        <f t="shared" si="3"/>
        <v>96.94</v>
      </c>
      <c r="L21" s="120"/>
      <c r="N21" s="118"/>
      <c r="R21" s="161"/>
      <c r="T21" s="162"/>
      <c r="U21" s="154"/>
      <c r="V21" s="154"/>
      <c r="W21" s="154"/>
      <c r="X21" s="154"/>
      <c r="Y21" s="154"/>
      <c r="Z21" s="154"/>
      <c r="AF21" s="154"/>
    </row>
    <row r="22" spans="2:32">
      <c r="B22" s="136">
        <f t="shared" si="0"/>
        <v>2028</v>
      </c>
      <c r="C22" s="137"/>
      <c r="D22" s="129">
        <f t="shared" si="5"/>
        <v>68.19</v>
      </c>
      <c r="E22" s="129">
        <f t="shared" si="1"/>
        <v>30.93</v>
      </c>
      <c r="F22" s="129">
        <f t="shared" si="5"/>
        <v>0</v>
      </c>
      <c r="G22" s="131">
        <f t="shared" si="6"/>
        <v>37.591589678241483</v>
      </c>
      <c r="H22" s="129">
        <f t="shared" si="2"/>
        <v>0</v>
      </c>
      <c r="I22" s="131">
        <f t="shared" si="7"/>
        <v>37.591589678241483</v>
      </c>
      <c r="J22" s="131">
        <f t="shared" si="4"/>
        <v>99.12</v>
      </c>
      <c r="K22" s="129">
        <f t="shared" si="3"/>
        <v>99.12</v>
      </c>
      <c r="L22" s="120"/>
      <c r="N22" s="118"/>
      <c r="R22" s="161"/>
      <c r="T22" s="162"/>
      <c r="U22" s="154"/>
      <c r="V22" s="154"/>
      <c r="W22" s="154"/>
      <c r="X22" s="154"/>
      <c r="Y22" s="154"/>
      <c r="Z22" s="154"/>
      <c r="AF22" s="154"/>
    </row>
    <row r="23" spans="2:32">
      <c r="B23" s="136">
        <f t="shared" si="0"/>
        <v>2029</v>
      </c>
      <c r="C23" s="137"/>
      <c r="D23" s="129">
        <f t="shared" si="5"/>
        <v>69.739999999999995</v>
      </c>
      <c r="E23" s="129">
        <f t="shared" si="1"/>
        <v>31.63</v>
      </c>
      <c r="F23" s="129">
        <f t="shared" si="5"/>
        <v>0</v>
      </c>
      <c r="G23" s="131">
        <f t="shared" si="6"/>
        <v>38.444909661857736</v>
      </c>
      <c r="H23" s="129">
        <f t="shared" si="2"/>
        <v>0</v>
      </c>
      <c r="I23" s="131">
        <f t="shared" si="7"/>
        <v>38.444909661857736</v>
      </c>
      <c r="J23" s="131">
        <f t="shared" si="4"/>
        <v>101.37</v>
      </c>
      <c r="K23" s="129">
        <f t="shared" si="3"/>
        <v>101.36999999999999</v>
      </c>
      <c r="L23" s="120"/>
      <c r="N23" s="118"/>
      <c r="R23" s="161"/>
      <c r="T23" s="162"/>
      <c r="U23" s="154"/>
      <c r="V23" s="154"/>
      <c r="W23" s="154"/>
      <c r="X23" s="154"/>
      <c r="Y23" s="154"/>
      <c r="Z23" s="154"/>
      <c r="AF23" s="154"/>
    </row>
    <row r="24" spans="2:32">
      <c r="B24" s="136">
        <f t="shared" si="0"/>
        <v>2030</v>
      </c>
      <c r="C24" s="137"/>
      <c r="D24" s="129">
        <f t="shared" si="5"/>
        <v>71.3</v>
      </c>
      <c r="E24" s="129">
        <f t="shared" si="1"/>
        <v>32.340000000000003</v>
      </c>
      <c r="F24" s="129">
        <f t="shared" si="5"/>
        <v>0</v>
      </c>
      <c r="G24" s="131">
        <f t="shared" si="6"/>
        <v>39.305814711995026</v>
      </c>
      <c r="H24" s="129">
        <f t="shared" si="2"/>
        <v>0</v>
      </c>
      <c r="I24" s="131">
        <f t="shared" si="7"/>
        <v>39.305814711995026</v>
      </c>
      <c r="J24" s="131">
        <f t="shared" si="4"/>
        <v>103.64</v>
      </c>
      <c r="K24" s="129">
        <f t="shared" si="3"/>
        <v>103.64</v>
      </c>
      <c r="L24" s="120"/>
      <c r="N24" s="118"/>
      <c r="R24" s="161"/>
      <c r="T24" s="162"/>
      <c r="U24" s="154"/>
      <c r="V24" s="154"/>
      <c r="W24" s="154"/>
      <c r="X24" s="154"/>
      <c r="Y24" s="154"/>
      <c r="Z24" s="154"/>
      <c r="AF24" s="154"/>
    </row>
    <row r="25" spans="2:32">
      <c r="B25" s="136">
        <f t="shared" si="0"/>
        <v>2031</v>
      </c>
      <c r="C25" s="137"/>
      <c r="D25" s="129">
        <f t="shared" si="5"/>
        <v>72.86</v>
      </c>
      <c r="E25" s="129">
        <f t="shared" si="1"/>
        <v>33.049999999999997</v>
      </c>
      <c r="F25" s="129">
        <f t="shared" si="5"/>
        <v>0</v>
      </c>
      <c r="G25" s="131">
        <f t="shared" si="6"/>
        <v>40.166719762132317</v>
      </c>
      <c r="H25" s="129">
        <f t="shared" si="2"/>
        <v>0</v>
      </c>
      <c r="I25" s="131">
        <f t="shared" si="7"/>
        <v>40.166719762132317</v>
      </c>
      <c r="J25" s="131">
        <f t="shared" si="4"/>
        <v>105.91</v>
      </c>
      <c r="K25" s="129">
        <f t="shared" si="3"/>
        <v>105.91</v>
      </c>
      <c r="L25" s="120"/>
      <c r="N25" s="118"/>
      <c r="R25" s="161"/>
      <c r="T25" s="162"/>
      <c r="U25" s="154"/>
      <c r="V25" s="154"/>
      <c r="W25" s="154"/>
      <c r="X25" s="154"/>
      <c r="Y25" s="154"/>
      <c r="Z25" s="154"/>
      <c r="AF25" s="154"/>
    </row>
    <row r="26" spans="2:32">
      <c r="B26" s="136">
        <f t="shared" si="0"/>
        <v>2032</v>
      </c>
      <c r="C26" s="137"/>
      <c r="D26" s="129">
        <f t="shared" si="5"/>
        <v>74.430000000000007</v>
      </c>
      <c r="E26" s="129">
        <f t="shared" si="1"/>
        <v>33.76</v>
      </c>
      <c r="F26" s="129">
        <f t="shared" si="5"/>
        <v>0</v>
      </c>
      <c r="G26" s="131">
        <f t="shared" si="6"/>
        <v>41.031417345530123</v>
      </c>
      <c r="H26" s="129">
        <f t="shared" si="2"/>
        <v>0</v>
      </c>
      <c r="I26" s="131">
        <f t="shared" si="7"/>
        <v>41.031417345530123</v>
      </c>
      <c r="J26" s="131">
        <f t="shared" si="4"/>
        <v>108.19</v>
      </c>
      <c r="K26" s="129">
        <f t="shared" si="3"/>
        <v>108.19</v>
      </c>
      <c r="L26" s="120"/>
      <c r="N26" s="118"/>
      <c r="R26" s="161"/>
      <c r="T26" s="162"/>
      <c r="U26" s="154"/>
      <c r="V26" s="154"/>
      <c r="W26" s="154"/>
      <c r="X26" s="154"/>
      <c r="Y26" s="154"/>
      <c r="Z26" s="154"/>
      <c r="AF26" s="154"/>
    </row>
    <row r="27" spans="2:32">
      <c r="B27" s="136">
        <f t="shared" si="0"/>
        <v>2033</v>
      </c>
      <c r="C27" s="137"/>
      <c r="D27" s="129">
        <f t="shared" si="5"/>
        <v>76.03</v>
      </c>
      <c r="E27" s="129">
        <f t="shared" si="1"/>
        <v>34.479999999999997</v>
      </c>
      <c r="F27" s="129">
        <f t="shared" si="5"/>
        <v>0</v>
      </c>
      <c r="G27" s="131">
        <f t="shared" si="6"/>
        <v>41.911285061969991</v>
      </c>
      <c r="H27" s="129">
        <f t="shared" si="2"/>
        <v>0</v>
      </c>
      <c r="I27" s="131">
        <f t="shared" si="7"/>
        <v>41.911285061969991</v>
      </c>
      <c r="J27" s="131">
        <f t="shared" si="4"/>
        <v>110.51</v>
      </c>
      <c r="K27" s="129">
        <f t="shared" si="3"/>
        <v>110.50999999999999</v>
      </c>
      <c r="L27" s="120"/>
      <c r="N27" s="118"/>
      <c r="R27" s="161"/>
      <c r="T27" s="162"/>
      <c r="U27" s="154"/>
      <c r="V27" s="154"/>
      <c r="W27" s="154"/>
      <c r="X27" s="154"/>
      <c r="Y27" s="154"/>
      <c r="Z27" s="154"/>
      <c r="AF27" s="154"/>
    </row>
    <row r="28" spans="2:32">
      <c r="B28" s="136">
        <f t="shared" si="0"/>
        <v>2034</v>
      </c>
      <c r="C28" s="137"/>
      <c r="D28" s="129">
        <f t="shared" si="5"/>
        <v>77.63</v>
      </c>
      <c r="E28" s="129">
        <f t="shared" si="1"/>
        <v>35.200000000000003</v>
      </c>
      <c r="F28" s="129">
        <f t="shared" si="5"/>
        <v>0</v>
      </c>
      <c r="G28" s="131">
        <f t="shared" si="6"/>
        <v>42.791152778409867</v>
      </c>
      <c r="H28" s="129">
        <f t="shared" si="2"/>
        <v>0</v>
      </c>
      <c r="I28" s="131">
        <f t="shared" si="7"/>
        <v>42.791152778409867</v>
      </c>
      <c r="J28" s="131">
        <f t="shared" si="4"/>
        <v>112.83</v>
      </c>
      <c r="K28" s="129">
        <f t="shared" si="3"/>
        <v>112.83</v>
      </c>
      <c r="L28" s="120"/>
      <c r="N28" s="118"/>
      <c r="R28" s="161"/>
      <c r="T28" s="162"/>
      <c r="U28" s="154"/>
      <c r="V28" s="154"/>
      <c r="W28" s="154"/>
      <c r="X28" s="154"/>
      <c r="Y28" s="154"/>
      <c r="Z28" s="154"/>
      <c r="AF28" s="154"/>
    </row>
    <row r="29" spans="2:32">
      <c r="B29" s="136">
        <f t="shared" si="0"/>
        <v>2035</v>
      </c>
      <c r="C29" s="137"/>
      <c r="D29" s="129">
        <f t="shared" si="5"/>
        <v>79.260000000000005</v>
      </c>
      <c r="E29" s="129">
        <f t="shared" si="1"/>
        <v>35.94</v>
      </c>
      <c r="F29" s="129">
        <f t="shared" si="5"/>
        <v>0</v>
      </c>
      <c r="G29" s="131">
        <f t="shared" si="6"/>
        <v>43.689983161152327</v>
      </c>
      <c r="H29" s="129">
        <f t="shared" si="2"/>
        <v>0</v>
      </c>
      <c r="I29" s="131">
        <f t="shared" si="7"/>
        <v>43.689983161152327</v>
      </c>
      <c r="J29" s="131">
        <f t="shared" si="4"/>
        <v>115.2</v>
      </c>
      <c r="K29" s="129">
        <f t="shared" si="3"/>
        <v>115.2</v>
      </c>
      <c r="L29" s="120"/>
      <c r="N29" s="118"/>
      <c r="R29" s="161"/>
      <c r="T29" s="162"/>
      <c r="U29" s="154"/>
      <c r="V29" s="154"/>
      <c r="W29" s="154"/>
      <c r="X29" s="154"/>
      <c r="Y29" s="154"/>
      <c r="Z29" s="154"/>
      <c r="AF29" s="154"/>
    </row>
    <row r="30" spans="2:32">
      <c r="B30" s="136">
        <f t="shared" si="0"/>
        <v>2036</v>
      </c>
      <c r="C30" s="137"/>
      <c r="D30" s="129">
        <f t="shared" si="5"/>
        <v>80.91</v>
      </c>
      <c r="E30" s="129">
        <f t="shared" si="1"/>
        <v>36.69</v>
      </c>
      <c r="F30" s="129">
        <f t="shared" si="5"/>
        <v>0</v>
      </c>
      <c r="G30" s="131">
        <f t="shared" si="6"/>
        <v>44.600191143676334</v>
      </c>
      <c r="H30" s="129">
        <f t="shared" si="2"/>
        <v>0</v>
      </c>
      <c r="I30" s="131">
        <f t="shared" si="7"/>
        <v>44.600191143676334</v>
      </c>
      <c r="J30" s="131">
        <f t="shared" si="4"/>
        <v>117.6</v>
      </c>
      <c r="K30" s="129">
        <f t="shared" si="3"/>
        <v>117.6</v>
      </c>
      <c r="L30" s="120"/>
      <c r="N30" s="118"/>
      <c r="R30" s="161"/>
      <c r="T30" s="162"/>
      <c r="U30" s="154"/>
      <c r="V30" s="154"/>
      <c r="W30" s="154"/>
      <c r="X30" s="154"/>
      <c r="Y30" s="154"/>
      <c r="Z30" s="154"/>
      <c r="AF30" s="154"/>
    </row>
    <row r="31" spans="2:32">
      <c r="B31" s="136">
        <f t="shared" si="0"/>
        <v>2037</v>
      </c>
      <c r="C31" s="137"/>
      <c r="D31" s="129">
        <f t="shared" si="5"/>
        <v>82.6</v>
      </c>
      <c r="E31" s="129">
        <f t="shared" si="1"/>
        <v>37.46</v>
      </c>
      <c r="F31" s="129">
        <f t="shared" si="5"/>
        <v>0</v>
      </c>
      <c r="G31" s="131">
        <f t="shared" si="6"/>
        <v>45.533154325763441</v>
      </c>
      <c r="H31" s="129">
        <f t="shared" si="2"/>
        <v>0</v>
      </c>
      <c r="I31" s="131">
        <f t="shared" si="7"/>
        <v>45.533154325763441</v>
      </c>
      <c r="J31" s="131">
        <f t="shared" si="4"/>
        <v>120.06</v>
      </c>
      <c r="K31" s="129">
        <f t="shared" si="3"/>
        <v>120.06</v>
      </c>
      <c r="L31" s="120"/>
      <c r="N31" s="118"/>
      <c r="R31" s="161"/>
      <c r="T31" s="162"/>
      <c r="U31" s="154"/>
      <c r="V31" s="154"/>
      <c r="W31" s="154"/>
      <c r="X31" s="154"/>
      <c r="Y31" s="154"/>
      <c r="Z31" s="154"/>
      <c r="AF31" s="154"/>
    </row>
    <row r="32" spans="2:32">
      <c r="B32" s="136">
        <f t="shared" si="0"/>
        <v>2038</v>
      </c>
      <c r="C32" s="137"/>
      <c r="D32" s="129">
        <f t="shared" si="5"/>
        <v>84.33</v>
      </c>
      <c r="E32" s="129">
        <f t="shared" si="1"/>
        <v>38.24</v>
      </c>
      <c r="F32" s="129">
        <f t="shared" si="5"/>
        <v>0</v>
      </c>
      <c r="G32" s="131">
        <f t="shared" si="6"/>
        <v>46.485080174153126</v>
      </c>
      <c r="H32" s="129">
        <f t="shared" si="2"/>
        <v>0</v>
      </c>
      <c r="I32" s="131">
        <f t="shared" si="7"/>
        <v>46.485080174153126</v>
      </c>
      <c r="J32" s="131">
        <f t="shared" si="4"/>
        <v>122.57</v>
      </c>
      <c r="K32" s="129">
        <f t="shared" si="3"/>
        <v>122.57</v>
      </c>
      <c r="L32" s="120"/>
      <c r="N32" s="118"/>
      <c r="R32" s="161"/>
      <c r="T32" s="162"/>
      <c r="U32" s="154"/>
      <c r="V32" s="154"/>
      <c r="W32" s="154"/>
      <c r="X32" s="154"/>
      <c r="Y32" s="154"/>
      <c r="Z32" s="154"/>
      <c r="AF32" s="154"/>
    </row>
    <row r="33" spans="2:32">
      <c r="B33" s="136">
        <f t="shared" si="0"/>
        <v>2039</v>
      </c>
      <c r="C33" s="137"/>
      <c r="D33" s="129">
        <f t="shared" si="5"/>
        <v>86.08</v>
      </c>
      <c r="E33" s="129">
        <f t="shared" si="1"/>
        <v>39.03</v>
      </c>
      <c r="F33" s="129">
        <f t="shared" si="5"/>
        <v>0</v>
      </c>
      <c r="G33" s="131">
        <f t="shared" si="6"/>
        <v>47.448383622324371</v>
      </c>
      <c r="H33" s="129">
        <f t="shared" si="2"/>
        <v>0</v>
      </c>
      <c r="I33" s="131">
        <f t="shared" si="7"/>
        <v>47.448383622324371</v>
      </c>
      <c r="J33" s="131">
        <f t="shared" ref="J33:J37" si="8">ROUND(I33*$C$63*8.76,2)</f>
        <v>125.11</v>
      </c>
      <c r="K33" s="129">
        <f t="shared" si="3"/>
        <v>125.11</v>
      </c>
      <c r="L33" s="120"/>
      <c r="N33" s="118"/>
      <c r="R33" s="161"/>
      <c r="T33" s="162"/>
      <c r="U33" s="154"/>
      <c r="V33" s="154"/>
      <c r="W33" s="154"/>
      <c r="X33" s="154"/>
      <c r="Y33" s="154"/>
      <c r="Z33" s="154"/>
      <c r="AF33" s="154"/>
    </row>
    <row r="34" spans="2:32">
      <c r="B34" s="136">
        <f t="shared" si="0"/>
        <v>2040</v>
      </c>
      <c r="C34" s="137"/>
      <c r="D34" s="129">
        <f t="shared" si="5"/>
        <v>87.87</v>
      </c>
      <c r="E34" s="129">
        <f t="shared" si="1"/>
        <v>39.840000000000003</v>
      </c>
      <c r="F34" s="129">
        <f t="shared" si="5"/>
        <v>0</v>
      </c>
      <c r="G34" s="131">
        <f t="shared" si="6"/>
        <v>48.434442270058717</v>
      </c>
      <c r="H34" s="129">
        <f t="shared" si="2"/>
        <v>0</v>
      </c>
      <c r="I34" s="131">
        <f t="shared" si="7"/>
        <v>48.434442270058717</v>
      </c>
      <c r="J34" s="131">
        <f t="shared" si="8"/>
        <v>127.71</v>
      </c>
      <c r="K34" s="129">
        <f t="shared" si="3"/>
        <v>127.71000000000001</v>
      </c>
      <c r="L34" s="120"/>
      <c r="N34" s="118"/>
      <c r="R34" s="161"/>
      <c r="T34" s="162"/>
      <c r="U34" s="154"/>
      <c r="V34" s="154"/>
      <c r="W34" s="154"/>
      <c r="X34" s="154"/>
      <c r="Y34" s="154"/>
      <c r="Z34" s="154"/>
      <c r="AF34" s="154"/>
    </row>
    <row r="35" spans="2:32">
      <c r="B35" s="136">
        <f t="shared" si="0"/>
        <v>2041</v>
      </c>
      <c r="C35" s="137"/>
      <c r="D35" s="129">
        <f t="shared" si="5"/>
        <v>89.7</v>
      </c>
      <c r="E35" s="129">
        <f t="shared" si="1"/>
        <v>40.67</v>
      </c>
      <c r="F35" s="129">
        <f t="shared" si="5"/>
        <v>0</v>
      </c>
      <c r="G35" s="131">
        <f t="shared" si="6"/>
        <v>49.443256117356157</v>
      </c>
      <c r="H35" s="129">
        <f t="shared" si="2"/>
        <v>0</v>
      </c>
      <c r="I35" s="131">
        <f t="shared" si="7"/>
        <v>49.443256117356157</v>
      </c>
      <c r="J35" s="131">
        <f t="shared" si="8"/>
        <v>130.37</v>
      </c>
      <c r="K35" s="129">
        <f t="shared" si="3"/>
        <v>130.37</v>
      </c>
      <c r="L35" s="120"/>
      <c r="N35" s="118"/>
      <c r="R35" s="161"/>
      <c r="T35" s="162"/>
      <c r="U35" s="154"/>
      <c r="V35" s="154"/>
      <c r="W35" s="154"/>
      <c r="X35" s="154"/>
      <c r="Y35" s="154"/>
      <c r="Z35" s="154"/>
      <c r="AF35" s="154"/>
    </row>
    <row r="36" spans="2:32">
      <c r="B36" s="136">
        <f t="shared" si="0"/>
        <v>2042</v>
      </c>
      <c r="C36" s="137"/>
      <c r="D36" s="129">
        <f t="shared" si="5"/>
        <v>91.59</v>
      </c>
      <c r="E36" s="129">
        <f t="shared" si="1"/>
        <v>41.53</v>
      </c>
      <c r="F36" s="129">
        <f t="shared" si="5"/>
        <v>0</v>
      </c>
      <c r="G36" s="131">
        <f t="shared" si="6"/>
        <v>50.486202763998243</v>
      </c>
      <c r="H36" s="129">
        <f t="shared" si="2"/>
        <v>0</v>
      </c>
      <c r="I36" s="131">
        <f t="shared" si="7"/>
        <v>50.486202763998243</v>
      </c>
      <c r="J36" s="131">
        <f t="shared" si="8"/>
        <v>133.12</v>
      </c>
      <c r="K36" s="129">
        <f t="shared" si="3"/>
        <v>133.12</v>
      </c>
      <c r="L36" s="120"/>
      <c r="N36" s="118"/>
      <c r="R36" s="161"/>
      <c r="T36" s="162"/>
      <c r="U36" s="154"/>
      <c r="V36" s="154"/>
      <c r="W36" s="154"/>
      <c r="X36" s="154"/>
      <c r="Y36" s="154"/>
      <c r="Z36" s="154"/>
      <c r="AF36" s="154"/>
    </row>
    <row r="37" spans="2:32">
      <c r="B37" s="136">
        <f t="shared" si="0"/>
        <v>2043</v>
      </c>
      <c r="C37" s="137"/>
      <c r="D37" s="129">
        <f t="shared" si="5"/>
        <v>93.53</v>
      </c>
      <c r="E37" s="129">
        <f t="shared" si="1"/>
        <v>42.41</v>
      </c>
      <c r="F37" s="129">
        <f t="shared" si="5"/>
        <v>0</v>
      </c>
      <c r="G37" s="131">
        <f t="shared" si="6"/>
        <v>51.555697143463952</v>
      </c>
      <c r="H37" s="129">
        <f t="shared" si="2"/>
        <v>0</v>
      </c>
      <c r="I37" s="131">
        <f t="shared" si="7"/>
        <v>51.555697143463952</v>
      </c>
      <c r="J37" s="131">
        <f t="shared" si="8"/>
        <v>135.94</v>
      </c>
      <c r="K37" s="129">
        <f t="shared" si="3"/>
        <v>135.94</v>
      </c>
      <c r="L37" s="120"/>
      <c r="N37" s="118"/>
      <c r="R37" s="161"/>
      <c r="T37" s="162"/>
      <c r="U37" s="154"/>
      <c r="V37" s="154"/>
      <c r="W37" s="154"/>
      <c r="X37" s="154"/>
      <c r="Y37" s="154"/>
      <c r="Z37" s="154"/>
      <c r="AF37" s="154"/>
    </row>
    <row r="38" spans="2:32">
      <c r="B38" s="127"/>
      <c r="C38" s="132"/>
      <c r="D38" s="129"/>
      <c r="E38" s="129"/>
      <c r="F38" s="130"/>
      <c r="G38" s="129"/>
      <c r="H38" s="129"/>
      <c r="I38" s="131"/>
      <c r="J38" s="131"/>
      <c r="K38" s="138"/>
      <c r="R38" s="120"/>
    </row>
    <row r="39" spans="2:32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</row>
    <row r="40" spans="2:32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</row>
    <row r="41" spans="2:32">
      <c r="R41" s="120"/>
    </row>
    <row r="42" spans="2:32" ht="14.25">
      <c r="B42" s="139" t="s">
        <v>27</v>
      </c>
      <c r="C42" s="140"/>
      <c r="D42" s="140"/>
      <c r="E42" s="140"/>
      <c r="F42" s="140"/>
      <c r="G42" s="140"/>
      <c r="H42" s="140"/>
      <c r="R42" s="120"/>
    </row>
    <row r="44" spans="2:32">
      <c r="B44" s="118" t="s">
        <v>65</v>
      </c>
      <c r="C44" s="141" t="s">
        <v>66</v>
      </c>
      <c r="D44" s="142" t="s">
        <v>105</v>
      </c>
    </row>
    <row r="45" spans="2:32">
      <c r="C45" s="141" t="str">
        <f>C7</f>
        <v>(a)</v>
      </c>
      <c r="D45" s="118" t="s">
        <v>67</v>
      </c>
    </row>
    <row r="46" spans="2:32">
      <c r="C46" s="141" t="str">
        <f>D7</f>
        <v>(b)</v>
      </c>
      <c r="D46" s="131" t="str">
        <f>"= "&amp;C7&amp;" x "&amp;C62</f>
        <v>= (a) x 0.05085</v>
      </c>
    </row>
    <row r="47" spans="2:32">
      <c r="C47" s="141" t="str">
        <f>G7</f>
        <v>(e)</v>
      </c>
      <c r="D47" s="131" t="str">
        <f>"= ("&amp;$D$7&amp;" + "&amp;$E$7&amp;") /  (8.76 x "&amp;TEXT(C63,"0.0%")&amp;")"</f>
        <v>= ((b) + (c)) /  (8.76 x 30.1%)</v>
      </c>
    </row>
    <row r="48" spans="2:32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106</v>
      </c>
      <c r="Q54" s="118">
        <v>2024</v>
      </c>
    </row>
    <row r="55" spans="2:25">
      <c r="B55" s="85" t="s">
        <v>104</v>
      </c>
      <c r="C55" s="393">
        <v>1608.8221683005897</v>
      </c>
      <c r="D55" s="118" t="s">
        <v>67</v>
      </c>
      <c r="O55" s="278">
        <v>354</v>
      </c>
      <c r="P55" s="118" t="s">
        <v>34</v>
      </c>
      <c r="Q55" s="118" t="s">
        <v>148</v>
      </c>
      <c r="R55" s="118" t="s">
        <v>112</v>
      </c>
      <c r="T55" s="118" t="str">
        <f>$Q$55&amp;"Proposed Station Capital Costs"</f>
        <v>L1.JBB_PVSProposed Station Capital Costs</v>
      </c>
    </row>
    <row r="56" spans="2:25">
      <c r="B56" s="85" t="s">
        <v>104</v>
      </c>
      <c r="C56" s="149">
        <v>24.570618817436728</v>
      </c>
      <c r="D56" s="118" t="s">
        <v>70</v>
      </c>
      <c r="R56" s="120"/>
      <c r="T56" s="118" t="str">
        <f>$Q$55&amp;"Proposed Station Fixed Costs"</f>
        <v>L1.JBB_PVSProposed Station Fixed Costs</v>
      </c>
    </row>
    <row r="57" spans="2:25" ht="24" customHeight="1">
      <c r="B57" s="85"/>
      <c r="C57" s="154"/>
      <c r="D57" s="118" t="s">
        <v>109</v>
      </c>
      <c r="Q57" s="337" t="str">
        <f>Q55&amp;Q54</f>
        <v>L1.JBB_PVS2024</v>
      </c>
      <c r="T57" s="118" t="str">
        <f>$Q$55&amp;"Proposed Station Variable O&amp;M Costs"</f>
        <v>L1.JBB_PVSProposed Station Variable O&amp;M Costs</v>
      </c>
    </row>
    <row r="58" spans="2:25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 t="s">
        <v>260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58" t="str">
        <f>LEFT(RIGHT(INDEX('Table 3 TransCost'!$39:$39,1,MATCH(F60,'Table 3 TransCost'!$4:$4,0)),6),5)</f>
        <v>2024$</v>
      </c>
      <c r="C60" s="154">
        <f>INDEX('Table 3 TransCost'!$39:$39,1,MATCH(F60,'Table 3 TransCost'!$4:$4,0)+2)</f>
        <v>0</v>
      </c>
      <c r="D60" s="118" t="s">
        <v>222</v>
      </c>
      <c r="F60" s="118" t="s">
        <v>224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5">
      <c r="C62" s="395">
        <v>5.0849999999999999E-2</v>
      </c>
      <c r="D62" s="118" t="s">
        <v>38</v>
      </c>
      <c r="E62" s="118" t="s">
        <v>113</v>
      </c>
      <c r="K62" s="288"/>
      <c r="L62" s="157"/>
      <c r="M62" s="157"/>
      <c r="O62" s="158"/>
    </row>
    <row r="63" spans="2:25">
      <c r="C63" s="396">
        <v>0.30099999999999999</v>
      </c>
      <c r="D63" s="118" t="s">
        <v>39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9">C66+1</f>
        <v>2018</v>
      </c>
      <c r="D67" s="41">
        <v>2.3994563767884003E-2</v>
      </c>
      <c r="E67" s="85"/>
      <c r="F67" s="87">
        <f t="shared" ref="F67:F74" si="10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9"/>
        <v>2019</v>
      </c>
      <c r="D68" s="41">
        <v>1.9651346350279875E-2</v>
      </c>
      <c r="E68" s="85"/>
      <c r="F68" s="87">
        <f t="shared" si="10"/>
        <v>2028</v>
      </c>
      <c r="G68" s="41">
        <v>2.2447976887115972E-2</v>
      </c>
      <c r="H68" s="41"/>
      <c r="I68" s="87">
        <f t="shared" ref="I68:I74" si="11">I67+1</f>
        <v>2037</v>
      </c>
      <c r="J68" s="41">
        <v>2.0854082421584375E-2</v>
      </c>
    </row>
    <row r="69" spans="3:14">
      <c r="C69" s="87">
        <f t="shared" si="9"/>
        <v>2020</v>
      </c>
      <c r="D69" s="41">
        <v>2.6147280919121885E-2</v>
      </c>
      <c r="E69" s="85"/>
      <c r="F69" s="87">
        <f t="shared" si="10"/>
        <v>2029</v>
      </c>
      <c r="G69" s="41">
        <v>2.2764957830614385E-2</v>
      </c>
      <c r="H69" s="41"/>
      <c r="I69" s="87">
        <f t="shared" si="11"/>
        <v>2038</v>
      </c>
      <c r="J69" s="41">
        <v>2.0886076981620372E-2</v>
      </c>
    </row>
    <row r="70" spans="3:14">
      <c r="C70" s="87">
        <f t="shared" si="9"/>
        <v>2021</v>
      </c>
      <c r="D70" s="41">
        <v>2.5435997430165225E-2</v>
      </c>
      <c r="E70" s="85"/>
      <c r="F70" s="87">
        <f t="shared" si="10"/>
        <v>2030</v>
      </c>
      <c r="G70" s="41">
        <v>2.2409251338579406E-2</v>
      </c>
      <c r="H70" s="41"/>
      <c r="I70" s="87">
        <f t="shared" si="11"/>
        <v>2039</v>
      </c>
      <c r="J70" s="41">
        <v>2.0755199547329406E-2</v>
      </c>
    </row>
    <row r="71" spans="3:14">
      <c r="C71" s="87">
        <f t="shared" si="9"/>
        <v>2022</v>
      </c>
      <c r="D71" s="41">
        <v>2.5246661572301266E-2</v>
      </c>
      <c r="E71" s="85"/>
      <c r="F71" s="87">
        <f t="shared" si="10"/>
        <v>2031</v>
      </c>
      <c r="G71" s="41">
        <v>2.1876862460861402E-2</v>
      </c>
      <c r="H71" s="41"/>
      <c r="I71" s="87">
        <f t="shared" si="11"/>
        <v>2040</v>
      </c>
      <c r="J71" s="41">
        <v>2.0747934127706591E-2</v>
      </c>
    </row>
    <row r="72" spans="3:14" s="120" customFormat="1">
      <c r="C72" s="87">
        <f t="shared" si="9"/>
        <v>2023</v>
      </c>
      <c r="D72" s="41">
        <v>2.4577195966118071E-2</v>
      </c>
      <c r="E72" s="86"/>
      <c r="F72" s="87">
        <f t="shared" si="10"/>
        <v>2032</v>
      </c>
      <c r="G72" s="41">
        <v>2.1570874084378078E-2</v>
      </c>
      <c r="H72" s="41"/>
      <c r="I72" s="87">
        <f t="shared" si="11"/>
        <v>2041</v>
      </c>
      <c r="J72" s="41">
        <v>2.0871781890604124E-2</v>
      </c>
      <c r="N72" s="165"/>
    </row>
    <row r="73" spans="3:14" s="120" customFormat="1">
      <c r="C73" s="87">
        <f t="shared" si="9"/>
        <v>2024</v>
      </c>
      <c r="D73" s="41">
        <v>2.3256370085936506E-2</v>
      </c>
      <c r="E73" s="86"/>
      <c r="F73" s="87">
        <f t="shared" si="10"/>
        <v>2033</v>
      </c>
      <c r="G73" s="41">
        <v>2.144511122277093E-2</v>
      </c>
      <c r="H73" s="41"/>
      <c r="I73" s="87">
        <f t="shared" si="11"/>
        <v>2042</v>
      </c>
      <c r="J73" s="41">
        <v>2.1078469389761434E-2</v>
      </c>
      <c r="N73" s="165"/>
    </row>
    <row r="74" spans="3:14" s="120" customFormat="1">
      <c r="C74" s="87">
        <f t="shared" si="9"/>
        <v>2025</v>
      </c>
      <c r="D74" s="41">
        <v>2.2304783799234951E-2</v>
      </c>
      <c r="E74" s="86"/>
      <c r="F74" s="87">
        <f t="shared" si="10"/>
        <v>2034</v>
      </c>
      <c r="G74" s="41">
        <v>2.1010014778543251E-2</v>
      </c>
      <c r="H74" s="41"/>
      <c r="I74" s="87">
        <f t="shared" si="11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25" right="0.25" top="0.75" bottom="0.75" header="0.3" footer="0.3"/>
  <pageSetup scale="74" fitToHeight="0" orientation="portrait" r:id="rId1"/>
  <headerFooter alignWithMargins="0"/>
  <rowBreaks count="1" manualBreakCount="1">
    <brk id="51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view="pageBreakPreview" zoomScale="60" zoomScaleNormal="70" workbookViewId="0">
      <selection activeCell="D10" sqref="D10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11.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1.832031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4" width="9.33203125" style="118"/>
    <col min="25" max="25" width="12" style="118" bestFit="1" customWidth="1"/>
    <col min="26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2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32" ht="15.75">
      <c r="B2" s="116" t="s">
        <v>151</v>
      </c>
      <c r="C2" s="117"/>
      <c r="D2" s="117"/>
      <c r="E2" s="117"/>
      <c r="F2" s="117"/>
      <c r="G2" s="117"/>
      <c r="H2" s="117"/>
      <c r="I2" s="117"/>
      <c r="J2" s="117"/>
    </row>
    <row r="3" spans="2:32" ht="15.75">
      <c r="B3" s="116" t="str">
        <f>TEXT($C$63,"0%")&amp;"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R3" s="120"/>
    </row>
    <row r="4" spans="2:32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</row>
    <row r="5" spans="2:32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  <c r="Z5" s="215"/>
    </row>
    <row r="6" spans="2:32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32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  <c r="R7" s="120"/>
    </row>
    <row r="8" spans="2:32" ht="6" customHeight="1">
      <c r="K8" s="120"/>
      <c r="R8" s="120"/>
    </row>
    <row r="9" spans="2:32" ht="15.75">
      <c r="B9" s="43" t="str">
        <f>C52</f>
        <v>2019 IRP Jim Bridger Solar with Storage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32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32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32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Y12" s="154"/>
      <c r="Z12" s="154"/>
      <c r="AF12" s="154"/>
    </row>
    <row r="13" spans="2:32">
      <c r="B13" s="136">
        <f t="shared" si="0"/>
        <v>2019</v>
      </c>
      <c r="C13" s="137"/>
      <c r="D13" s="129"/>
      <c r="E13" s="129">
        <f t="shared" ref="E13:E22" si="1">ROUND(E12*(1+(IFERROR(INDEX($D$66:$D$74,MATCH($B13,$C$66:$C$74,0),1),0)+IFERROR(INDEX($G$66:$G$74,MATCH($B13,$F$66:$F$74,0),1),0)+IFERROR(INDEX($J$66:$J$74,MATCH($B13,$I$66:$I$74,0),1),0))),2)</f>
        <v>25.05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25.05</v>
      </c>
      <c r="L13" s="120"/>
      <c r="N13" s="118"/>
      <c r="R13" s="120"/>
      <c r="V13" s="154"/>
      <c r="Y13" s="154"/>
      <c r="Z13" s="154"/>
      <c r="AF13" s="154"/>
    </row>
    <row r="14" spans="2:32">
      <c r="B14" s="136">
        <f t="shared" si="0"/>
        <v>2020</v>
      </c>
      <c r="C14" s="137"/>
      <c r="D14" s="129"/>
      <c r="E14" s="129">
        <f t="shared" si="1"/>
        <v>25.7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25.7</v>
      </c>
      <c r="L14" s="120"/>
      <c r="N14" s="118"/>
      <c r="O14" s="133"/>
      <c r="P14" s="397"/>
      <c r="Q14" s="398"/>
      <c r="R14" s="120"/>
      <c r="V14" s="154"/>
      <c r="Y14" s="154"/>
      <c r="Z14" s="154"/>
      <c r="AF14" s="154"/>
    </row>
    <row r="15" spans="2:32">
      <c r="B15" s="136">
        <f t="shared" si="0"/>
        <v>2021</v>
      </c>
      <c r="C15" s="137"/>
      <c r="D15" s="129"/>
      <c r="E15" s="129">
        <f t="shared" si="1"/>
        <v>26.35</v>
      </c>
      <c r="F15" s="129"/>
      <c r="G15" s="131"/>
      <c r="H15" s="129">
        <f t="shared" si="2"/>
        <v>0</v>
      </c>
      <c r="I15" s="131"/>
      <c r="J15" s="131"/>
      <c r="K15" s="129">
        <f t="shared" si="3"/>
        <v>26.35</v>
      </c>
      <c r="L15" s="120"/>
      <c r="N15" s="118"/>
      <c r="O15" s="399"/>
      <c r="P15" s="397"/>
      <c r="Q15" s="398"/>
      <c r="R15" s="120"/>
      <c r="V15" s="154"/>
      <c r="Y15" s="154"/>
      <c r="Z15" s="154"/>
      <c r="AF15" s="154"/>
    </row>
    <row r="16" spans="2:32">
      <c r="B16" s="136">
        <f t="shared" si="0"/>
        <v>2022</v>
      </c>
      <c r="C16" s="137"/>
      <c r="D16" s="129"/>
      <c r="E16" s="129">
        <f t="shared" si="1"/>
        <v>27.02</v>
      </c>
      <c r="F16" s="129"/>
      <c r="G16" s="131"/>
      <c r="H16" s="129">
        <f t="shared" si="2"/>
        <v>0</v>
      </c>
      <c r="I16" s="131"/>
      <c r="J16" s="131"/>
      <c r="K16" s="129">
        <f t="shared" si="3"/>
        <v>27.02</v>
      </c>
      <c r="L16" s="120"/>
      <c r="N16" s="118"/>
      <c r="O16" s="338"/>
      <c r="R16" s="120"/>
      <c r="V16" s="154"/>
      <c r="Y16" s="154"/>
      <c r="Z16" s="154"/>
      <c r="AF16" s="154"/>
    </row>
    <row r="17" spans="2:32">
      <c r="B17" s="136">
        <f t="shared" si="0"/>
        <v>2023</v>
      </c>
      <c r="C17" s="137"/>
      <c r="D17" s="129"/>
      <c r="E17" s="129">
        <f t="shared" si="1"/>
        <v>27.68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27.68</v>
      </c>
      <c r="L17" s="120"/>
      <c r="N17" s="118"/>
      <c r="O17" s="200"/>
      <c r="R17" s="120"/>
      <c r="V17" s="154"/>
      <c r="Y17" s="154"/>
      <c r="Z17" s="154"/>
      <c r="AF17" s="154"/>
    </row>
    <row r="18" spans="2:32">
      <c r="B18" s="136">
        <f t="shared" si="0"/>
        <v>2024</v>
      </c>
      <c r="C18" s="137"/>
      <c r="D18" s="129"/>
      <c r="E18" s="129">
        <f t="shared" si="1"/>
        <v>28.32</v>
      </c>
      <c r="F18" s="129"/>
      <c r="G18" s="131"/>
      <c r="H18" s="129">
        <f t="shared" si="2"/>
        <v>0</v>
      </c>
      <c r="I18" s="131"/>
      <c r="J18" s="131"/>
      <c r="K18" s="129">
        <f t="shared" si="3"/>
        <v>28.32</v>
      </c>
      <c r="L18" s="120"/>
      <c r="N18" s="118"/>
      <c r="O18" s="339"/>
      <c r="Q18" s="154"/>
      <c r="R18" s="120"/>
      <c r="T18" s="162"/>
      <c r="U18" s="154"/>
      <c r="V18" s="154"/>
      <c r="X18" s="154"/>
      <c r="Y18" s="154"/>
      <c r="Z18" s="154"/>
      <c r="AA18" s="280"/>
      <c r="AB18" s="279"/>
      <c r="AF18" s="154"/>
    </row>
    <row r="19" spans="2:32">
      <c r="B19" s="136">
        <f t="shared" si="0"/>
        <v>2025</v>
      </c>
      <c r="C19" s="137"/>
      <c r="D19" s="129"/>
      <c r="E19" s="129">
        <f t="shared" si="1"/>
        <v>28.95</v>
      </c>
      <c r="F19" s="129"/>
      <c r="G19" s="131"/>
      <c r="H19" s="129">
        <f t="shared" si="2"/>
        <v>0</v>
      </c>
      <c r="I19" s="131"/>
      <c r="J19" s="131"/>
      <c r="K19" s="129">
        <f t="shared" si="3"/>
        <v>28.95</v>
      </c>
      <c r="L19" s="120"/>
      <c r="N19" s="118"/>
      <c r="R19" s="120"/>
      <c r="T19" s="162"/>
      <c r="U19" s="154"/>
      <c r="V19" s="154"/>
      <c r="X19" s="154"/>
      <c r="Y19" s="154"/>
      <c r="Z19" s="154"/>
      <c r="AF19" s="154"/>
    </row>
    <row r="20" spans="2:32">
      <c r="B20" s="136">
        <f t="shared" si="0"/>
        <v>2026</v>
      </c>
      <c r="C20" s="137"/>
      <c r="D20" s="129"/>
      <c r="E20" s="129">
        <f t="shared" si="1"/>
        <v>29.59</v>
      </c>
      <c r="F20" s="129"/>
      <c r="G20" s="131"/>
      <c r="H20" s="129">
        <f t="shared" si="2"/>
        <v>0</v>
      </c>
      <c r="I20" s="131"/>
      <c r="J20" s="131"/>
      <c r="K20" s="129">
        <f t="shared" si="3"/>
        <v>29.59</v>
      </c>
      <c r="L20" s="120"/>
      <c r="N20" s="118"/>
      <c r="R20" s="161"/>
      <c r="T20" s="162"/>
      <c r="U20" s="154"/>
      <c r="V20" s="154"/>
      <c r="X20" s="154"/>
      <c r="Y20" s="154"/>
      <c r="Z20" s="154"/>
      <c r="AF20" s="154"/>
    </row>
    <row r="21" spans="2:32">
      <c r="B21" s="136">
        <f t="shared" si="0"/>
        <v>2027</v>
      </c>
      <c r="C21" s="137"/>
      <c r="D21" s="129"/>
      <c r="E21" s="129">
        <f t="shared" si="1"/>
        <v>30.25</v>
      </c>
      <c r="F21" s="129"/>
      <c r="G21" s="131"/>
      <c r="H21" s="129">
        <f t="shared" si="2"/>
        <v>0</v>
      </c>
      <c r="I21" s="131"/>
      <c r="J21" s="131"/>
      <c r="K21" s="129">
        <f t="shared" si="3"/>
        <v>30.25</v>
      </c>
      <c r="L21" s="120"/>
      <c r="N21" s="118"/>
      <c r="R21" s="161"/>
      <c r="T21" s="162"/>
      <c r="U21" s="154"/>
      <c r="V21" s="154"/>
      <c r="X21" s="154"/>
      <c r="Y21" s="154"/>
      <c r="Z21" s="154"/>
      <c r="AF21" s="154"/>
    </row>
    <row r="22" spans="2:32">
      <c r="B22" s="136">
        <f t="shared" si="0"/>
        <v>2028</v>
      </c>
      <c r="C22" s="137"/>
      <c r="D22" s="129"/>
      <c r="E22" s="129">
        <f t="shared" si="1"/>
        <v>30.93</v>
      </c>
      <c r="F22" s="129"/>
      <c r="G22" s="131"/>
      <c r="H22" s="129">
        <f t="shared" si="2"/>
        <v>0</v>
      </c>
      <c r="I22" s="131"/>
      <c r="J22" s="131"/>
      <c r="K22" s="129">
        <f t="shared" si="3"/>
        <v>30.93</v>
      </c>
      <c r="L22" s="120"/>
      <c r="N22" s="118"/>
      <c r="R22" s="161"/>
      <c r="T22" s="162"/>
      <c r="U22" s="154"/>
      <c r="V22" s="154"/>
      <c r="X22" s="154"/>
      <c r="Y22" s="154"/>
      <c r="Z22" s="154"/>
      <c r="AF22" s="154"/>
    </row>
    <row r="23" spans="2:32">
      <c r="B23" s="136">
        <f t="shared" si="0"/>
        <v>2029</v>
      </c>
      <c r="C23" s="137">
        <v>1210.0083472454089</v>
      </c>
      <c r="D23" s="129">
        <f>C23*$C$62</f>
        <v>61.528924457429042</v>
      </c>
      <c r="E23" s="129">
        <f t="shared" ref="E23:E37" si="4">ROUND(E22*(1+(IFERROR(INDEX($D$66:$D$74,MATCH($B23,$C$66:$C$74,0),1),0)+IFERROR(INDEX($G$66:$G$74,MATCH($B23,$F$66:$F$74,0),1),0)+IFERROR(INDEX($J$66:$J$74,MATCH($B23,$I$66:$I$74,0),1),0))),2)</f>
        <v>31.63</v>
      </c>
      <c r="F23" s="129">
        <f>C60</f>
        <v>0</v>
      </c>
      <c r="G23" s="131">
        <f>(D23+E23+F23)/(8.76*$C$63)</f>
        <v>35.330831951876185</v>
      </c>
      <c r="H23" s="129">
        <f t="shared" si="2"/>
        <v>0</v>
      </c>
      <c r="I23" s="131">
        <f>(G23+H23)</f>
        <v>35.330831951876185</v>
      </c>
      <c r="J23" s="131">
        <f t="shared" ref="J23" si="5">ROUND(I23*$C$63*8.76,2)</f>
        <v>93.16</v>
      </c>
      <c r="K23" s="129">
        <f t="shared" si="3"/>
        <v>93.158924457429038</v>
      </c>
      <c r="L23" s="120"/>
      <c r="N23" s="118"/>
      <c r="R23" s="161"/>
      <c r="T23" s="162"/>
      <c r="U23" s="154"/>
      <c r="V23" s="154"/>
      <c r="X23" s="154"/>
      <c r="Y23" s="154"/>
      <c r="Z23" s="154"/>
      <c r="AF23" s="154"/>
    </row>
    <row r="24" spans="2:32">
      <c r="B24" s="136">
        <f t="shared" si="0"/>
        <v>2030</v>
      </c>
      <c r="C24" s="137"/>
      <c r="D24" s="129">
        <f t="shared" ref="D24:F37" si="6">ROUND(D23*(1+(IFERROR(INDEX($D$66:$D$74,MATCH($B24,$C$66:$C$74,0),1),0)+IFERROR(INDEX($G$66:$G$74,MATCH($B24,$F$66:$F$74,0),1),0)+IFERROR(INDEX($J$66:$J$74,MATCH($B24,$I$66:$I$74,0),1),0))),2)</f>
        <v>62.91</v>
      </c>
      <c r="E24" s="129">
        <f t="shared" si="4"/>
        <v>32.340000000000003</v>
      </c>
      <c r="F24" s="129">
        <f t="shared" si="6"/>
        <v>0</v>
      </c>
      <c r="G24" s="131">
        <f t="shared" ref="G24:G37" si="7">(D24+E24+F24)/(8.76*$C$63)</f>
        <v>36.123879306421522</v>
      </c>
      <c r="H24" s="129">
        <f t="shared" si="2"/>
        <v>0</v>
      </c>
      <c r="I24" s="131">
        <f t="shared" ref="I24:I37" si="8">(G24+H24)</f>
        <v>36.123879306421522</v>
      </c>
      <c r="J24" s="131">
        <f t="shared" ref="J24:J32" si="9">ROUND(I24*$C$63*8.76,2)</f>
        <v>95.25</v>
      </c>
      <c r="K24" s="129">
        <f t="shared" si="3"/>
        <v>95.25</v>
      </c>
      <c r="L24" s="120"/>
      <c r="N24" s="118"/>
      <c r="R24" s="161"/>
      <c r="T24" s="162"/>
      <c r="U24" s="154"/>
      <c r="V24" s="154"/>
      <c r="X24" s="154"/>
      <c r="Y24" s="154"/>
      <c r="Z24" s="154"/>
      <c r="AF24" s="154"/>
    </row>
    <row r="25" spans="2:32">
      <c r="B25" s="136">
        <f t="shared" si="0"/>
        <v>2031</v>
      </c>
      <c r="C25" s="137"/>
      <c r="D25" s="129">
        <f t="shared" si="6"/>
        <v>64.290000000000006</v>
      </c>
      <c r="E25" s="129">
        <f t="shared" si="4"/>
        <v>33.049999999999997</v>
      </c>
      <c r="F25" s="129">
        <f t="shared" si="6"/>
        <v>0</v>
      </c>
      <c r="G25" s="131">
        <f t="shared" si="7"/>
        <v>36.916518757869511</v>
      </c>
      <c r="H25" s="129">
        <f t="shared" si="2"/>
        <v>0</v>
      </c>
      <c r="I25" s="131">
        <f t="shared" si="8"/>
        <v>36.916518757869511</v>
      </c>
      <c r="J25" s="131">
        <f t="shared" si="9"/>
        <v>97.34</v>
      </c>
      <c r="K25" s="129">
        <f t="shared" si="3"/>
        <v>97.34</v>
      </c>
      <c r="L25" s="120"/>
      <c r="N25" s="118"/>
      <c r="R25" s="161"/>
      <c r="T25" s="162"/>
      <c r="U25" s="154"/>
      <c r="V25" s="154"/>
      <c r="X25" s="154"/>
      <c r="Y25" s="154"/>
      <c r="Z25" s="154"/>
      <c r="AF25" s="154"/>
    </row>
    <row r="26" spans="2:32">
      <c r="B26" s="136">
        <f t="shared" si="0"/>
        <v>2032</v>
      </c>
      <c r="C26" s="137"/>
      <c r="D26" s="129">
        <f t="shared" si="6"/>
        <v>65.680000000000007</v>
      </c>
      <c r="E26" s="129">
        <f t="shared" si="4"/>
        <v>33.76</v>
      </c>
      <c r="F26" s="129">
        <f t="shared" si="6"/>
        <v>0</v>
      </c>
      <c r="G26" s="131">
        <f t="shared" si="7"/>
        <v>37.712950742578016</v>
      </c>
      <c r="H26" s="129">
        <f t="shared" si="2"/>
        <v>0</v>
      </c>
      <c r="I26" s="131">
        <f t="shared" si="8"/>
        <v>37.712950742578016</v>
      </c>
      <c r="J26" s="131">
        <f t="shared" si="9"/>
        <v>99.44</v>
      </c>
      <c r="K26" s="129">
        <f t="shared" si="3"/>
        <v>99.44</v>
      </c>
      <c r="L26" s="120"/>
      <c r="N26" s="118"/>
      <c r="R26" s="161"/>
      <c r="T26" s="162"/>
      <c r="U26" s="154"/>
      <c r="V26" s="154"/>
      <c r="X26" s="154"/>
      <c r="Y26" s="154"/>
      <c r="Z26" s="154"/>
      <c r="AF26" s="154"/>
    </row>
    <row r="27" spans="2:32">
      <c r="B27" s="136">
        <f t="shared" si="0"/>
        <v>2033</v>
      </c>
      <c r="C27" s="137"/>
      <c r="D27" s="129">
        <f t="shared" si="6"/>
        <v>67.09</v>
      </c>
      <c r="E27" s="129">
        <f t="shared" si="4"/>
        <v>34.479999999999997</v>
      </c>
      <c r="F27" s="129">
        <f t="shared" si="6"/>
        <v>0</v>
      </c>
      <c r="G27" s="131">
        <f t="shared" si="7"/>
        <v>38.520760327068068</v>
      </c>
      <c r="H27" s="129">
        <f t="shared" si="2"/>
        <v>0</v>
      </c>
      <c r="I27" s="131">
        <f t="shared" si="8"/>
        <v>38.520760327068068</v>
      </c>
      <c r="J27" s="131">
        <f t="shared" si="9"/>
        <v>101.57</v>
      </c>
      <c r="K27" s="129">
        <f t="shared" si="3"/>
        <v>101.57</v>
      </c>
      <c r="L27" s="120"/>
      <c r="N27" s="118"/>
      <c r="R27" s="161"/>
      <c r="T27" s="162"/>
      <c r="U27" s="154"/>
      <c r="V27" s="154"/>
      <c r="X27" s="154"/>
      <c r="Y27" s="154"/>
      <c r="Z27" s="154"/>
      <c r="AF27" s="154"/>
    </row>
    <row r="28" spans="2:32">
      <c r="B28" s="136">
        <f t="shared" si="0"/>
        <v>2034</v>
      </c>
      <c r="C28" s="137"/>
      <c r="D28" s="129">
        <f t="shared" si="6"/>
        <v>68.5</v>
      </c>
      <c r="E28" s="129">
        <f t="shared" si="4"/>
        <v>35.200000000000003</v>
      </c>
      <c r="F28" s="129">
        <f t="shared" si="6"/>
        <v>0</v>
      </c>
      <c r="G28" s="131">
        <f t="shared" si="7"/>
        <v>39.328569911558127</v>
      </c>
      <c r="H28" s="129">
        <f t="shared" si="2"/>
        <v>0</v>
      </c>
      <c r="I28" s="131">
        <f t="shared" si="8"/>
        <v>39.328569911558127</v>
      </c>
      <c r="J28" s="131">
        <f t="shared" si="9"/>
        <v>103.7</v>
      </c>
      <c r="K28" s="129">
        <f t="shared" si="3"/>
        <v>103.7</v>
      </c>
      <c r="L28" s="120"/>
      <c r="N28" s="118"/>
      <c r="R28" s="161"/>
      <c r="T28" s="162"/>
      <c r="U28" s="154"/>
      <c r="V28" s="154"/>
      <c r="X28" s="154"/>
      <c r="Y28" s="154"/>
      <c r="Z28" s="154"/>
      <c r="AF28" s="154"/>
    </row>
    <row r="29" spans="2:32">
      <c r="B29" s="136">
        <f t="shared" si="0"/>
        <v>2035</v>
      </c>
      <c r="C29" s="137"/>
      <c r="D29" s="129">
        <f t="shared" si="6"/>
        <v>69.94</v>
      </c>
      <c r="E29" s="129">
        <f t="shared" si="4"/>
        <v>35.94</v>
      </c>
      <c r="F29" s="129">
        <f t="shared" si="6"/>
        <v>0</v>
      </c>
      <c r="G29" s="131">
        <f t="shared" si="7"/>
        <v>40.155342162350763</v>
      </c>
      <c r="H29" s="129">
        <f t="shared" si="2"/>
        <v>0</v>
      </c>
      <c r="I29" s="131">
        <f t="shared" si="8"/>
        <v>40.155342162350763</v>
      </c>
      <c r="J29" s="131">
        <f t="shared" si="9"/>
        <v>105.88</v>
      </c>
      <c r="K29" s="129">
        <f t="shared" si="3"/>
        <v>105.88</v>
      </c>
      <c r="L29" s="120"/>
      <c r="N29" s="118"/>
      <c r="R29" s="161"/>
      <c r="T29" s="162"/>
      <c r="U29" s="154"/>
      <c r="V29" s="154"/>
      <c r="X29" s="154"/>
      <c r="Y29" s="154"/>
      <c r="Z29" s="154"/>
      <c r="AF29" s="154"/>
    </row>
    <row r="30" spans="2:32">
      <c r="B30" s="136">
        <f t="shared" si="0"/>
        <v>2036</v>
      </c>
      <c r="C30" s="137"/>
      <c r="D30" s="129">
        <f t="shared" si="6"/>
        <v>71.400000000000006</v>
      </c>
      <c r="E30" s="129">
        <f t="shared" si="4"/>
        <v>36.69</v>
      </c>
      <c r="F30" s="129">
        <f t="shared" si="6"/>
        <v>0</v>
      </c>
      <c r="G30" s="131">
        <f t="shared" si="7"/>
        <v>40.99349201292496</v>
      </c>
      <c r="H30" s="129">
        <f t="shared" si="2"/>
        <v>0</v>
      </c>
      <c r="I30" s="131">
        <f t="shared" si="8"/>
        <v>40.99349201292496</v>
      </c>
      <c r="J30" s="131">
        <f t="shared" si="9"/>
        <v>108.09</v>
      </c>
      <c r="K30" s="129">
        <f t="shared" si="3"/>
        <v>108.09</v>
      </c>
      <c r="L30" s="120"/>
      <c r="N30" s="118"/>
      <c r="R30" s="161"/>
      <c r="T30" s="162"/>
      <c r="U30" s="154"/>
      <c r="V30" s="154"/>
      <c r="X30" s="154"/>
      <c r="Y30" s="154"/>
      <c r="Z30" s="154"/>
      <c r="AF30" s="154"/>
    </row>
    <row r="31" spans="2:32">
      <c r="B31" s="136">
        <f t="shared" si="0"/>
        <v>2037</v>
      </c>
      <c r="C31" s="137"/>
      <c r="D31" s="129">
        <f t="shared" si="6"/>
        <v>72.89</v>
      </c>
      <c r="E31" s="129">
        <f t="shared" si="4"/>
        <v>37.46</v>
      </c>
      <c r="F31" s="129">
        <f t="shared" si="6"/>
        <v>0</v>
      </c>
      <c r="G31" s="131">
        <f t="shared" si="7"/>
        <v>41.850604529801728</v>
      </c>
      <c r="H31" s="129">
        <f t="shared" si="2"/>
        <v>0</v>
      </c>
      <c r="I31" s="131">
        <f t="shared" si="8"/>
        <v>41.850604529801728</v>
      </c>
      <c r="J31" s="131">
        <f t="shared" si="9"/>
        <v>110.35</v>
      </c>
      <c r="K31" s="129">
        <f t="shared" si="3"/>
        <v>110.35</v>
      </c>
      <c r="L31" s="120"/>
      <c r="N31" s="118"/>
      <c r="R31" s="161"/>
      <c r="T31" s="162"/>
      <c r="U31" s="154"/>
      <c r="V31" s="154"/>
      <c r="X31" s="154"/>
      <c r="Y31" s="154"/>
      <c r="Z31" s="154"/>
      <c r="AF31" s="154"/>
    </row>
    <row r="32" spans="2:32">
      <c r="B32" s="136">
        <f t="shared" si="0"/>
        <v>2038</v>
      </c>
      <c r="C32" s="137"/>
      <c r="D32" s="129">
        <f t="shared" si="6"/>
        <v>74.41</v>
      </c>
      <c r="E32" s="129">
        <f t="shared" si="4"/>
        <v>38.24</v>
      </c>
      <c r="F32" s="129">
        <f t="shared" si="6"/>
        <v>0</v>
      </c>
      <c r="G32" s="131">
        <f t="shared" si="7"/>
        <v>42.722887179720573</v>
      </c>
      <c r="H32" s="129">
        <f t="shared" si="2"/>
        <v>0</v>
      </c>
      <c r="I32" s="131">
        <f t="shared" si="8"/>
        <v>42.722887179720573</v>
      </c>
      <c r="J32" s="131">
        <f t="shared" si="9"/>
        <v>112.65</v>
      </c>
      <c r="K32" s="129">
        <f t="shared" si="3"/>
        <v>112.65</v>
      </c>
      <c r="L32" s="120"/>
      <c r="N32" s="118"/>
      <c r="R32" s="161"/>
      <c r="T32" s="162"/>
      <c r="U32" s="154"/>
      <c r="V32" s="154"/>
      <c r="X32" s="154"/>
      <c r="Y32" s="154"/>
      <c r="Z32" s="154"/>
      <c r="AF32" s="154"/>
    </row>
    <row r="33" spans="2:32">
      <c r="B33" s="136">
        <f t="shared" si="0"/>
        <v>2039</v>
      </c>
      <c r="C33" s="137"/>
      <c r="D33" s="129">
        <f t="shared" si="6"/>
        <v>75.95</v>
      </c>
      <c r="E33" s="129">
        <f t="shared" si="4"/>
        <v>39.03</v>
      </c>
      <c r="F33" s="129">
        <f t="shared" si="6"/>
        <v>0</v>
      </c>
      <c r="G33" s="131">
        <f t="shared" si="7"/>
        <v>43.606547429420964</v>
      </c>
      <c r="H33" s="129">
        <f t="shared" si="2"/>
        <v>0</v>
      </c>
      <c r="I33" s="131">
        <f t="shared" si="8"/>
        <v>43.606547429420964</v>
      </c>
      <c r="J33" s="131">
        <f t="shared" ref="J33:J37" si="10">ROUND(I33*$C$63*8.76,2)</f>
        <v>114.98</v>
      </c>
      <c r="K33" s="129">
        <f t="shared" si="3"/>
        <v>114.98</v>
      </c>
      <c r="L33" s="120"/>
      <c r="N33" s="118"/>
      <c r="R33" s="161"/>
      <c r="T33" s="162"/>
      <c r="U33" s="154"/>
      <c r="V33" s="154"/>
      <c r="X33" s="154"/>
      <c r="Y33" s="154"/>
      <c r="Z33" s="154"/>
      <c r="AF33" s="154"/>
    </row>
    <row r="34" spans="2:32">
      <c r="B34" s="136">
        <f t="shared" si="0"/>
        <v>2040</v>
      </c>
      <c r="C34" s="137"/>
      <c r="D34" s="129">
        <f t="shared" si="6"/>
        <v>77.53</v>
      </c>
      <c r="E34" s="129">
        <f t="shared" si="4"/>
        <v>39.840000000000003</v>
      </c>
      <c r="F34" s="129">
        <f t="shared" si="6"/>
        <v>0</v>
      </c>
      <c r="G34" s="131">
        <f t="shared" si="7"/>
        <v>44.512962878684455</v>
      </c>
      <c r="H34" s="129">
        <f t="shared" si="2"/>
        <v>0</v>
      </c>
      <c r="I34" s="131">
        <f t="shared" si="8"/>
        <v>44.512962878684455</v>
      </c>
      <c r="J34" s="131">
        <f t="shared" si="10"/>
        <v>117.37</v>
      </c>
      <c r="K34" s="129">
        <f t="shared" si="3"/>
        <v>117.37</v>
      </c>
      <c r="L34" s="120"/>
      <c r="N34" s="118"/>
      <c r="R34" s="161"/>
      <c r="T34" s="162"/>
      <c r="U34" s="154"/>
      <c r="V34" s="154"/>
      <c r="X34" s="154"/>
      <c r="Y34" s="154"/>
      <c r="Z34" s="154"/>
      <c r="AF34" s="154"/>
    </row>
    <row r="35" spans="2:32">
      <c r="B35" s="136">
        <f t="shared" si="0"/>
        <v>2041</v>
      </c>
      <c r="C35" s="137"/>
      <c r="D35" s="129">
        <f t="shared" si="6"/>
        <v>79.150000000000006</v>
      </c>
      <c r="E35" s="129">
        <f t="shared" si="4"/>
        <v>40.67</v>
      </c>
      <c r="F35" s="129">
        <f t="shared" si="6"/>
        <v>0</v>
      </c>
      <c r="G35" s="131">
        <f t="shared" si="7"/>
        <v>45.442133527511047</v>
      </c>
      <c r="H35" s="129">
        <f t="shared" si="2"/>
        <v>0</v>
      </c>
      <c r="I35" s="131">
        <f t="shared" si="8"/>
        <v>45.442133527511047</v>
      </c>
      <c r="J35" s="131">
        <f t="shared" si="10"/>
        <v>119.82</v>
      </c>
      <c r="K35" s="129">
        <f t="shared" si="3"/>
        <v>119.82000000000001</v>
      </c>
      <c r="L35" s="120"/>
      <c r="N35" s="118"/>
      <c r="R35" s="161"/>
      <c r="T35" s="162"/>
      <c r="U35" s="154"/>
      <c r="V35" s="154"/>
      <c r="X35" s="154"/>
      <c r="Y35" s="154"/>
      <c r="Z35" s="154"/>
      <c r="AF35" s="154"/>
    </row>
    <row r="36" spans="2:32">
      <c r="B36" s="136">
        <f t="shared" si="0"/>
        <v>2042</v>
      </c>
      <c r="C36" s="137"/>
      <c r="D36" s="129">
        <f t="shared" si="6"/>
        <v>80.819999999999993</v>
      </c>
      <c r="E36" s="129">
        <f t="shared" si="4"/>
        <v>41.53</v>
      </c>
      <c r="F36" s="129">
        <f t="shared" si="6"/>
        <v>0</v>
      </c>
      <c r="G36" s="131">
        <f t="shared" si="7"/>
        <v>46.401644442421762</v>
      </c>
      <c r="H36" s="129">
        <f t="shared" si="2"/>
        <v>0</v>
      </c>
      <c r="I36" s="131">
        <f t="shared" si="8"/>
        <v>46.401644442421762</v>
      </c>
      <c r="J36" s="131">
        <f t="shared" si="10"/>
        <v>122.35</v>
      </c>
      <c r="K36" s="129">
        <f t="shared" si="3"/>
        <v>122.35</v>
      </c>
      <c r="L36" s="120"/>
      <c r="N36" s="118"/>
      <c r="R36" s="161"/>
      <c r="T36" s="162"/>
      <c r="U36" s="154"/>
      <c r="V36" s="154"/>
      <c r="X36" s="154"/>
      <c r="Y36" s="154"/>
      <c r="Z36" s="154"/>
      <c r="AF36" s="154"/>
    </row>
    <row r="37" spans="2:32">
      <c r="B37" s="136">
        <f t="shared" si="0"/>
        <v>2043</v>
      </c>
      <c r="C37" s="137"/>
      <c r="D37" s="129">
        <f t="shared" si="6"/>
        <v>82.53</v>
      </c>
      <c r="E37" s="129">
        <f t="shared" si="4"/>
        <v>42.41</v>
      </c>
      <c r="F37" s="129">
        <f t="shared" si="6"/>
        <v>0</v>
      </c>
      <c r="G37" s="131">
        <f t="shared" si="7"/>
        <v>47.383910556895586</v>
      </c>
      <c r="H37" s="129">
        <f t="shared" si="2"/>
        <v>0</v>
      </c>
      <c r="I37" s="131">
        <f t="shared" si="8"/>
        <v>47.383910556895586</v>
      </c>
      <c r="J37" s="131">
        <f t="shared" si="10"/>
        <v>124.94</v>
      </c>
      <c r="K37" s="129">
        <f t="shared" si="3"/>
        <v>124.94</v>
      </c>
      <c r="L37" s="120"/>
      <c r="N37" s="118"/>
      <c r="R37" s="161"/>
      <c r="T37" s="162"/>
      <c r="U37" s="154"/>
      <c r="V37" s="154"/>
      <c r="X37" s="154"/>
      <c r="Y37" s="154"/>
      <c r="Z37" s="154"/>
      <c r="AF37" s="154"/>
    </row>
    <row r="38" spans="2:32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  <c r="N38" s="118"/>
      <c r="R38" s="161"/>
      <c r="T38" s="162"/>
      <c r="U38" s="154"/>
      <c r="V38" s="154"/>
      <c r="X38" s="154"/>
      <c r="Y38" s="154"/>
      <c r="Z38" s="154"/>
      <c r="AF38" s="154"/>
    </row>
    <row r="39" spans="2:32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</row>
    <row r="40" spans="2:32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</row>
    <row r="41" spans="2:32">
      <c r="R41" s="120"/>
    </row>
    <row r="42" spans="2:32" ht="14.25">
      <c r="B42" s="139" t="s">
        <v>27</v>
      </c>
      <c r="C42" s="140"/>
      <c r="D42" s="140"/>
      <c r="E42" s="140"/>
      <c r="F42" s="140"/>
      <c r="G42" s="140"/>
      <c r="H42" s="140"/>
      <c r="R42" s="120"/>
    </row>
    <row r="44" spans="2:32">
      <c r="B44" s="118" t="s">
        <v>65</v>
      </c>
      <c r="C44" s="141" t="s">
        <v>66</v>
      </c>
      <c r="D44" s="142" t="s">
        <v>105</v>
      </c>
    </row>
    <row r="45" spans="2:32">
      <c r="C45" s="141" t="str">
        <f>C7</f>
        <v>(a)</v>
      </c>
      <c r="D45" s="118" t="s">
        <v>67</v>
      </c>
    </row>
    <row r="46" spans="2:32">
      <c r="C46" s="141" t="str">
        <f>D7</f>
        <v>(b)</v>
      </c>
      <c r="D46" s="131" t="str">
        <f>"= "&amp;C7&amp;" x "&amp;C62</f>
        <v>= (a) x 0.05085</v>
      </c>
    </row>
    <row r="47" spans="2:32">
      <c r="C47" s="141" t="str">
        <f>G7</f>
        <v>(e)</v>
      </c>
      <c r="D47" s="131" t="str">
        <f>"= ("&amp;$D$7&amp;" + "&amp;$E$7&amp;") /  (8.76 x "&amp;TEXT(C63,"0.0%")&amp;")"</f>
        <v>= ((b) + (c)) /  (8.76 x 30.1%)</v>
      </c>
    </row>
    <row r="48" spans="2:32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106</v>
      </c>
      <c r="Q54" s="118">
        <v>2029</v>
      </c>
    </row>
    <row r="55" spans="2:25">
      <c r="B55" s="85" t="s">
        <v>104</v>
      </c>
      <c r="C55" s="393">
        <v>1608.8221683005897</v>
      </c>
      <c r="D55" s="118" t="s">
        <v>67</v>
      </c>
      <c r="O55" s="278">
        <v>359.4</v>
      </c>
      <c r="P55" s="118" t="s">
        <v>34</v>
      </c>
      <c r="Q55" s="118" t="s">
        <v>174</v>
      </c>
      <c r="R55" s="118" t="s">
        <v>112</v>
      </c>
      <c r="T55" s="118" t="str">
        <f>$Q$55&amp;"Proposed Station Capital Costs"</f>
        <v>L_.JBB_PVSProposed Station Capital Costs</v>
      </c>
    </row>
    <row r="56" spans="2:25">
      <c r="B56" s="85" t="s">
        <v>104</v>
      </c>
      <c r="C56" s="149">
        <v>24.570618817436728</v>
      </c>
      <c r="D56" s="118" t="s">
        <v>70</v>
      </c>
      <c r="R56" s="120"/>
      <c r="T56" s="118" t="str">
        <f>$Q$55&amp;"Proposed Station Fixed Costs"</f>
        <v>L_.JBB_PVSProposed Station Fixed Costs</v>
      </c>
    </row>
    <row r="57" spans="2:25" ht="24" customHeight="1">
      <c r="B57" s="85"/>
      <c r="C57" s="154"/>
      <c r="D57" s="118" t="s">
        <v>109</v>
      </c>
      <c r="Q57" s="337" t="str">
        <f>Q55&amp;Q54</f>
        <v>L_.JBB_PVS2029</v>
      </c>
      <c r="T57" s="118" t="str">
        <f>$Q$55&amp;"Proposed Station Variable O&amp;M Costs"</f>
        <v>L_.JBB_PVSProposed Station Variable O&amp;M Costs</v>
      </c>
    </row>
    <row r="58" spans="2:25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 t="s">
        <v>260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58" t="str">
        <f>LEFT(RIGHT(INDEX('Table 3 TransCost'!$39:$39,1,MATCH(F60,'Table 3 TransCost'!$4:$4,0)),6),5)</f>
        <v>2029$</v>
      </c>
      <c r="C60" s="154">
        <f>INDEX('Table 3 TransCost'!$39:$39,1,MATCH(F60,'Table 3 TransCost'!$4:$4,0)+2)</f>
        <v>0</v>
      </c>
      <c r="D60" s="118" t="s">
        <v>222</v>
      </c>
      <c r="F60" s="118" t="s">
        <v>223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5">
      <c r="C62" s="395">
        <v>5.0849999999999999E-2</v>
      </c>
      <c r="D62" s="118" t="s">
        <v>38</v>
      </c>
      <c r="E62" s="118" t="s">
        <v>113</v>
      </c>
      <c r="K62" s="288"/>
      <c r="L62" s="157"/>
      <c r="M62" s="157"/>
      <c r="O62" s="158"/>
    </row>
    <row r="63" spans="2:25">
      <c r="C63" s="396">
        <v>0.30099999999999999</v>
      </c>
      <c r="D63" s="118" t="s">
        <v>39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11">C66+1</f>
        <v>2018</v>
      </c>
      <c r="D67" s="41">
        <v>2.3994563767884003E-2</v>
      </c>
      <c r="E67" s="85"/>
      <c r="F67" s="87">
        <f t="shared" ref="F67:F74" si="12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11"/>
        <v>2019</v>
      </c>
      <c r="D68" s="41">
        <v>1.9651346350279875E-2</v>
      </c>
      <c r="E68" s="85"/>
      <c r="F68" s="87">
        <f t="shared" si="12"/>
        <v>2028</v>
      </c>
      <c r="G68" s="41">
        <v>2.2447976887115972E-2</v>
      </c>
      <c r="H68" s="41"/>
      <c r="I68" s="87">
        <f t="shared" ref="I68:I74" si="13">I67+1</f>
        <v>2037</v>
      </c>
      <c r="J68" s="41">
        <v>2.0854082421584375E-2</v>
      </c>
    </row>
    <row r="69" spans="3:14">
      <c r="C69" s="87">
        <f t="shared" si="11"/>
        <v>2020</v>
      </c>
      <c r="D69" s="41">
        <v>2.6147280919121885E-2</v>
      </c>
      <c r="E69" s="85"/>
      <c r="F69" s="87">
        <f t="shared" si="12"/>
        <v>2029</v>
      </c>
      <c r="G69" s="41">
        <v>2.2764957830614385E-2</v>
      </c>
      <c r="H69" s="41"/>
      <c r="I69" s="87">
        <f t="shared" si="13"/>
        <v>2038</v>
      </c>
      <c r="J69" s="41">
        <v>2.0886076981620372E-2</v>
      </c>
    </row>
    <row r="70" spans="3:14">
      <c r="C70" s="87">
        <f t="shared" si="11"/>
        <v>2021</v>
      </c>
      <c r="D70" s="41">
        <v>2.5435997430165225E-2</v>
      </c>
      <c r="E70" s="85"/>
      <c r="F70" s="87">
        <f t="shared" si="12"/>
        <v>2030</v>
      </c>
      <c r="G70" s="41">
        <v>2.2409251338579406E-2</v>
      </c>
      <c r="H70" s="41"/>
      <c r="I70" s="87">
        <f t="shared" si="13"/>
        <v>2039</v>
      </c>
      <c r="J70" s="41">
        <v>2.0755199547329406E-2</v>
      </c>
    </row>
    <row r="71" spans="3:14">
      <c r="C71" s="87">
        <f t="shared" si="11"/>
        <v>2022</v>
      </c>
      <c r="D71" s="41">
        <v>2.5246661572301266E-2</v>
      </c>
      <c r="E71" s="85"/>
      <c r="F71" s="87">
        <f t="shared" si="12"/>
        <v>2031</v>
      </c>
      <c r="G71" s="41">
        <v>2.1876862460861402E-2</v>
      </c>
      <c r="H71" s="41"/>
      <c r="I71" s="87">
        <f t="shared" si="13"/>
        <v>2040</v>
      </c>
      <c r="J71" s="41">
        <v>2.0747934127706591E-2</v>
      </c>
    </row>
    <row r="72" spans="3:14" s="120" customFormat="1">
      <c r="C72" s="87">
        <f t="shared" si="11"/>
        <v>2023</v>
      </c>
      <c r="D72" s="41">
        <v>2.4577195966118071E-2</v>
      </c>
      <c r="E72" s="86"/>
      <c r="F72" s="87">
        <f t="shared" si="12"/>
        <v>2032</v>
      </c>
      <c r="G72" s="41">
        <v>2.1570874084378078E-2</v>
      </c>
      <c r="H72" s="41"/>
      <c r="I72" s="87">
        <f t="shared" si="13"/>
        <v>2041</v>
      </c>
      <c r="J72" s="41">
        <v>2.0871781890604124E-2</v>
      </c>
      <c r="N72" s="165"/>
    </row>
    <row r="73" spans="3:14" s="120" customFormat="1">
      <c r="C73" s="87">
        <f t="shared" si="11"/>
        <v>2024</v>
      </c>
      <c r="D73" s="41">
        <v>2.3256370085936506E-2</v>
      </c>
      <c r="E73" s="86"/>
      <c r="F73" s="87">
        <f t="shared" si="12"/>
        <v>2033</v>
      </c>
      <c r="G73" s="41">
        <v>2.144511122277093E-2</v>
      </c>
      <c r="H73" s="41"/>
      <c r="I73" s="87">
        <f t="shared" si="13"/>
        <v>2042</v>
      </c>
      <c r="J73" s="41">
        <v>2.1078469389761434E-2</v>
      </c>
      <c r="N73" s="165"/>
    </row>
    <row r="74" spans="3:14" s="120" customFormat="1">
      <c r="C74" s="87">
        <f t="shared" si="11"/>
        <v>2025</v>
      </c>
      <c r="D74" s="41">
        <v>2.2304783799234951E-2</v>
      </c>
      <c r="E74" s="86"/>
      <c r="F74" s="87">
        <f t="shared" si="12"/>
        <v>2034</v>
      </c>
      <c r="G74" s="41">
        <v>2.1010014778543251E-2</v>
      </c>
      <c r="H74" s="41"/>
      <c r="I74" s="87">
        <f t="shared" si="13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view="pageBreakPreview" zoomScale="60" zoomScaleNormal="100" workbookViewId="0">
      <selection activeCell="D15" sqref="D15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1.832031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11.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4" width="9.33203125" style="118"/>
    <col min="25" max="25" width="12" style="118" bestFit="1" customWidth="1"/>
    <col min="26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2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32" ht="15.75">
      <c r="B2" s="116" t="s">
        <v>153</v>
      </c>
      <c r="C2" s="117"/>
      <c r="D2" s="117"/>
      <c r="E2" s="117"/>
      <c r="F2" s="117"/>
      <c r="G2" s="117"/>
      <c r="H2" s="117"/>
      <c r="I2" s="117"/>
      <c r="J2" s="117"/>
    </row>
    <row r="3" spans="2:32" ht="15.75">
      <c r="B3" s="116" t="str">
        <f>TEXT($C$63,"0%")&amp;"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R3" s="120"/>
    </row>
    <row r="4" spans="2:32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</row>
    <row r="5" spans="2:32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  <c r="Z5" s="215"/>
    </row>
    <row r="6" spans="2:32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32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  <c r="R7" s="120"/>
    </row>
    <row r="8" spans="2:32" ht="6" customHeight="1">
      <c r="K8" s="120"/>
      <c r="R8" s="120"/>
    </row>
    <row r="9" spans="2:32" ht="15.75">
      <c r="B9" s="43" t="str">
        <f>C52</f>
        <v>2019 IRP Southen Oregon Solar with Storage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32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32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32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W12" s="154"/>
      <c r="Y12" s="154"/>
      <c r="Z12" s="154"/>
      <c r="AF12" s="154"/>
    </row>
    <row r="13" spans="2:32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25.05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25.05</v>
      </c>
      <c r="L13" s="120"/>
      <c r="N13" s="118"/>
      <c r="R13" s="120"/>
      <c r="V13" s="154"/>
      <c r="W13" s="154"/>
      <c r="Y13" s="154"/>
      <c r="Z13" s="154"/>
      <c r="AF13" s="154"/>
    </row>
    <row r="14" spans="2:32">
      <c r="B14" s="136">
        <f t="shared" si="0"/>
        <v>2020</v>
      </c>
      <c r="C14" s="137"/>
      <c r="D14" s="129"/>
      <c r="E14" s="129">
        <f t="shared" si="1"/>
        <v>25.7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25.7</v>
      </c>
      <c r="L14" s="120"/>
      <c r="N14" s="118"/>
      <c r="O14" s="133"/>
      <c r="P14" s="397"/>
      <c r="Q14" s="398"/>
      <c r="R14" s="120"/>
      <c r="V14" s="154"/>
      <c r="W14" s="154"/>
      <c r="Y14" s="154"/>
      <c r="Z14" s="154"/>
      <c r="AF14" s="154"/>
    </row>
    <row r="15" spans="2:32">
      <c r="B15" s="136">
        <f t="shared" si="0"/>
        <v>2021</v>
      </c>
      <c r="C15" s="137"/>
      <c r="D15" s="129"/>
      <c r="E15" s="129">
        <f t="shared" si="1"/>
        <v>26.35</v>
      </c>
      <c r="F15" s="129"/>
      <c r="G15" s="131"/>
      <c r="H15" s="129">
        <f t="shared" si="2"/>
        <v>0</v>
      </c>
      <c r="I15" s="131"/>
      <c r="J15" s="131"/>
      <c r="K15" s="129">
        <f t="shared" si="3"/>
        <v>26.35</v>
      </c>
      <c r="L15" s="120"/>
      <c r="N15" s="118"/>
      <c r="O15" s="399"/>
      <c r="P15" s="397"/>
      <c r="Q15" s="398"/>
      <c r="R15" s="120"/>
      <c r="V15" s="154"/>
      <c r="W15" s="154"/>
      <c r="Y15" s="154"/>
      <c r="Z15" s="154"/>
      <c r="AF15" s="154"/>
    </row>
    <row r="16" spans="2:32">
      <c r="B16" s="136">
        <f t="shared" si="0"/>
        <v>2022</v>
      </c>
      <c r="C16" s="137"/>
      <c r="D16" s="129"/>
      <c r="E16" s="129">
        <f t="shared" si="1"/>
        <v>27.02</v>
      </c>
      <c r="F16" s="129"/>
      <c r="G16" s="131"/>
      <c r="H16" s="129">
        <f t="shared" si="2"/>
        <v>0</v>
      </c>
      <c r="I16" s="131"/>
      <c r="J16" s="131"/>
      <c r="K16" s="129">
        <f t="shared" si="3"/>
        <v>27.02</v>
      </c>
      <c r="L16" s="120"/>
      <c r="N16" s="118"/>
      <c r="O16" s="338"/>
      <c r="R16" s="120"/>
      <c r="V16" s="154"/>
      <c r="W16" s="154"/>
      <c r="Y16" s="154"/>
      <c r="Z16" s="154"/>
      <c r="AF16" s="154"/>
    </row>
    <row r="17" spans="2:32">
      <c r="B17" s="136">
        <f t="shared" si="0"/>
        <v>2023</v>
      </c>
      <c r="C17" s="137"/>
      <c r="D17" s="129"/>
      <c r="E17" s="129">
        <f t="shared" si="1"/>
        <v>27.68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27.68</v>
      </c>
      <c r="L17" s="120"/>
      <c r="N17" s="118"/>
      <c r="O17" s="200"/>
      <c r="R17" s="120"/>
      <c r="V17" s="154"/>
      <c r="W17" s="154"/>
      <c r="Y17" s="154"/>
      <c r="Z17" s="154"/>
      <c r="AF17" s="154"/>
    </row>
    <row r="18" spans="2:32">
      <c r="B18" s="136">
        <f t="shared" si="0"/>
        <v>2024</v>
      </c>
      <c r="C18" s="137">
        <v>1296.5513342379013</v>
      </c>
      <c r="D18" s="129">
        <f>C18*$C$62</f>
        <v>65.929635345997283</v>
      </c>
      <c r="E18" s="129">
        <f t="shared" si="1"/>
        <v>28.32</v>
      </c>
      <c r="F18" s="201">
        <f>C60</f>
        <v>0</v>
      </c>
      <c r="G18" s="131">
        <f>(D18+E18+F18)/(8.76*$C$63)</f>
        <v>36.225894925663525</v>
      </c>
      <c r="H18" s="129">
        <f t="shared" si="2"/>
        <v>0</v>
      </c>
      <c r="I18" s="131">
        <f>(G18+H18)</f>
        <v>36.225894925663525</v>
      </c>
      <c r="J18" s="131">
        <f t="shared" ref="J18:J32" si="4">ROUND(I18*$C$63*8.76,2)</f>
        <v>94.25</v>
      </c>
      <c r="K18" s="129">
        <f t="shared" si="3"/>
        <v>94.249635345997291</v>
      </c>
      <c r="L18" s="120"/>
      <c r="N18" s="118"/>
      <c r="O18" s="339"/>
      <c r="Q18" s="154"/>
      <c r="R18" s="120"/>
      <c r="T18" s="162"/>
      <c r="U18" s="154"/>
      <c r="V18" s="154"/>
      <c r="W18" s="154"/>
      <c r="X18" s="154"/>
      <c r="Y18" s="154"/>
      <c r="Z18" s="154"/>
      <c r="AA18" s="280"/>
      <c r="AB18" s="279"/>
      <c r="AF18" s="154"/>
    </row>
    <row r="19" spans="2:32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67.400000000000006</v>
      </c>
      <c r="E19" s="129">
        <f t="shared" si="1"/>
        <v>28.95</v>
      </c>
      <c r="F19" s="129">
        <f t="shared" si="5"/>
        <v>0</v>
      </c>
      <c r="G19" s="131">
        <f t="shared" ref="G19:G37" si="6">(D19+E19+F19)/(8.76*$C$63)</f>
        <v>37.033193425887497</v>
      </c>
      <c r="H19" s="129">
        <f t="shared" si="2"/>
        <v>0</v>
      </c>
      <c r="I19" s="131">
        <f t="shared" ref="I19:I37" si="7">(G19+H19)</f>
        <v>37.033193425887497</v>
      </c>
      <c r="J19" s="131">
        <f t="shared" si="4"/>
        <v>96.35</v>
      </c>
      <c r="K19" s="129">
        <f t="shared" si="3"/>
        <v>96.350000000000009</v>
      </c>
      <c r="L19" s="120"/>
      <c r="N19" s="118"/>
      <c r="R19" s="120"/>
      <c r="T19" s="162"/>
      <c r="U19" s="154"/>
      <c r="V19" s="154"/>
      <c r="W19" s="154"/>
      <c r="X19" s="154"/>
      <c r="Y19" s="154"/>
      <c r="Z19" s="154"/>
      <c r="AF19" s="154"/>
    </row>
    <row r="20" spans="2:32">
      <c r="B20" s="136">
        <f t="shared" si="0"/>
        <v>2026</v>
      </c>
      <c r="C20" s="137"/>
      <c r="D20" s="129">
        <f t="shared" si="5"/>
        <v>68.89</v>
      </c>
      <c r="E20" s="129">
        <f t="shared" si="1"/>
        <v>29.59</v>
      </c>
      <c r="F20" s="129">
        <f t="shared" si="5"/>
        <v>0</v>
      </c>
      <c r="G20" s="131">
        <f t="shared" si="6"/>
        <v>37.85188260074105</v>
      </c>
      <c r="H20" s="129">
        <f t="shared" si="2"/>
        <v>0</v>
      </c>
      <c r="I20" s="131">
        <f t="shared" si="7"/>
        <v>37.85188260074105</v>
      </c>
      <c r="J20" s="131">
        <f t="shared" si="4"/>
        <v>98.48</v>
      </c>
      <c r="K20" s="129">
        <f t="shared" si="3"/>
        <v>98.48</v>
      </c>
      <c r="L20" s="120"/>
      <c r="N20" s="118"/>
      <c r="R20" s="161"/>
      <c r="T20" s="162"/>
      <c r="U20" s="154"/>
      <c r="V20" s="154"/>
      <c r="W20" s="154"/>
      <c r="X20" s="154"/>
      <c r="Y20" s="154"/>
      <c r="Z20" s="154"/>
      <c r="AF20" s="154"/>
    </row>
    <row r="21" spans="2:32">
      <c r="B21" s="136">
        <f t="shared" si="0"/>
        <v>2027</v>
      </c>
      <c r="C21" s="137"/>
      <c r="D21" s="129">
        <f t="shared" si="5"/>
        <v>70.42</v>
      </c>
      <c r="E21" s="129">
        <f t="shared" si="1"/>
        <v>30.25</v>
      </c>
      <c r="F21" s="129">
        <f t="shared" si="5"/>
        <v>0</v>
      </c>
      <c r="G21" s="131">
        <f t="shared" si="6"/>
        <v>38.693633442491894</v>
      </c>
      <c r="H21" s="129">
        <f t="shared" si="2"/>
        <v>0</v>
      </c>
      <c r="I21" s="131">
        <f t="shared" si="7"/>
        <v>38.693633442491894</v>
      </c>
      <c r="J21" s="131">
        <f t="shared" si="4"/>
        <v>100.67</v>
      </c>
      <c r="K21" s="129">
        <f t="shared" si="3"/>
        <v>100.67</v>
      </c>
      <c r="L21" s="120"/>
      <c r="N21" s="118"/>
      <c r="R21" s="161"/>
      <c r="T21" s="162"/>
      <c r="U21" s="154"/>
      <c r="V21" s="154"/>
      <c r="W21" s="154"/>
      <c r="X21" s="154"/>
      <c r="Y21" s="154"/>
      <c r="Z21" s="154"/>
      <c r="AF21" s="154"/>
    </row>
    <row r="22" spans="2:32">
      <c r="B22" s="136">
        <f t="shared" si="0"/>
        <v>2028</v>
      </c>
      <c r="C22" s="137"/>
      <c r="D22" s="129">
        <f t="shared" si="5"/>
        <v>72</v>
      </c>
      <c r="E22" s="129">
        <f t="shared" si="1"/>
        <v>30.93</v>
      </c>
      <c r="F22" s="129">
        <f t="shared" si="5"/>
        <v>0</v>
      </c>
      <c r="G22" s="131">
        <f t="shared" si="6"/>
        <v>39.562289562289571</v>
      </c>
      <c r="H22" s="129">
        <f t="shared" si="2"/>
        <v>0</v>
      </c>
      <c r="I22" s="131">
        <f t="shared" si="7"/>
        <v>39.562289562289571</v>
      </c>
      <c r="J22" s="131">
        <f t="shared" si="4"/>
        <v>102.93</v>
      </c>
      <c r="K22" s="129">
        <f t="shared" si="3"/>
        <v>102.93</v>
      </c>
      <c r="L22" s="120"/>
      <c r="N22" s="118"/>
      <c r="R22" s="161"/>
      <c r="T22" s="162"/>
      <c r="U22" s="154"/>
      <c r="V22" s="154"/>
      <c r="W22" s="154"/>
      <c r="X22" s="154"/>
      <c r="Y22" s="154"/>
      <c r="Z22" s="154"/>
      <c r="AF22" s="154"/>
    </row>
    <row r="23" spans="2:32">
      <c r="B23" s="136">
        <f t="shared" si="0"/>
        <v>2029</v>
      </c>
      <c r="C23" s="137"/>
      <c r="D23" s="129">
        <f t="shared" si="5"/>
        <v>73.64</v>
      </c>
      <c r="E23" s="129">
        <f t="shared" si="1"/>
        <v>31.63</v>
      </c>
      <c r="F23" s="129">
        <f t="shared" si="5"/>
        <v>0</v>
      </c>
      <c r="G23" s="131">
        <f t="shared" si="6"/>
        <v>40.461694571283616</v>
      </c>
      <c r="H23" s="129">
        <f t="shared" si="2"/>
        <v>0</v>
      </c>
      <c r="I23" s="131">
        <f t="shared" si="7"/>
        <v>40.461694571283616</v>
      </c>
      <c r="J23" s="131">
        <f t="shared" si="4"/>
        <v>105.27</v>
      </c>
      <c r="K23" s="129">
        <f t="shared" si="3"/>
        <v>105.27</v>
      </c>
      <c r="L23" s="120"/>
      <c r="N23" s="118"/>
      <c r="R23" s="161"/>
      <c r="T23" s="162"/>
      <c r="U23" s="154"/>
      <c r="V23" s="154"/>
      <c r="W23" s="154"/>
      <c r="X23" s="154"/>
      <c r="Y23" s="154"/>
      <c r="Z23" s="154"/>
      <c r="AF23" s="154"/>
    </row>
    <row r="24" spans="2:32">
      <c r="B24" s="136">
        <f t="shared" si="0"/>
        <v>2030</v>
      </c>
      <c r="C24" s="137"/>
      <c r="D24" s="129">
        <f t="shared" si="5"/>
        <v>75.290000000000006</v>
      </c>
      <c r="E24" s="129">
        <f t="shared" si="1"/>
        <v>32.340000000000003</v>
      </c>
      <c r="F24" s="129">
        <f t="shared" si="5"/>
        <v>0</v>
      </c>
      <c r="G24" s="131">
        <f t="shared" si="6"/>
        <v>41.368786802576764</v>
      </c>
      <c r="H24" s="129">
        <f t="shared" si="2"/>
        <v>0</v>
      </c>
      <c r="I24" s="131">
        <f t="shared" si="7"/>
        <v>41.368786802576764</v>
      </c>
      <c r="J24" s="131">
        <f t="shared" si="4"/>
        <v>107.63</v>
      </c>
      <c r="K24" s="129">
        <f t="shared" si="3"/>
        <v>107.63000000000001</v>
      </c>
      <c r="L24" s="120"/>
      <c r="N24" s="118"/>
      <c r="R24" s="161"/>
      <c r="T24" s="162"/>
      <c r="U24" s="154"/>
      <c r="V24" s="154"/>
      <c r="W24" s="154"/>
      <c r="X24" s="154"/>
      <c r="Y24" s="154"/>
      <c r="Z24" s="154"/>
      <c r="AF24" s="154"/>
    </row>
    <row r="25" spans="2:32">
      <c r="B25" s="136">
        <f t="shared" si="0"/>
        <v>2031</v>
      </c>
      <c r="C25" s="137"/>
      <c r="D25" s="129">
        <f t="shared" si="5"/>
        <v>76.94</v>
      </c>
      <c r="E25" s="129">
        <f t="shared" si="1"/>
        <v>33.049999999999997</v>
      </c>
      <c r="F25" s="129">
        <f t="shared" si="5"/>
        <v>0</v>
      </c>
      <c r="G25" s="131">
        <f t="shared" si="6"/>
        <v>42.275879033869906</v>
      </c>
      <c r="H25" s="129">
        <f t="shared" si="2"/>
        <v>0</v>
      </c>
      <c r="I25" s="131">
        <f t="shared" si="7"/>
        <v>42.275879033869906</v>
      </c>
      <c r="J25" s="131">
        <f t="shared" si="4"/>
        <v>109.99</v>
      </c>
      <c r="K25" s="129">
        <f t="shared" si="3"/>
        <v>109.99</v>
      </c>
      <c r="L25" s="120"/>
      <c r="N25" s="118"/>
      <c r="R25" s="161"/>
      <c r="T25" s="162"/>
      <c r="U25" s="154"/>
      <c r="V25" s="154"/>
      <c r="W25" s="154"/>
      <c r="X25" s="154"/>
      <c r="Y25" s="154"/>
      <c r="Z25" s="154"/>
      <c r="AF25" s="154"/>
    </row>
    <row r="26" spans="2:32">
      <c r="B26" s="136">
        <f t="shared" si="0"/>
        <v>2032</v>
      </c>
      <c r="C26" s="137"/>
      <c r="D26" s="129">
        <f t="shared" si="5"/>
        <v>78.599999999999994</v>
      </c>
      <c r="E26" s="129">
        <f t="shared" si="1"/>
        <v>33.76</v>
      </c>
      <c r="F26" s="129">
        <f t="shared" si="5"/>
        <v>0</v>
      </c>
      <c r="G26" s="131">
        <f t="shared" si="6"/>
        <v>43.186814876312589</v>
      </c>
      <c r="H26" s="129">
        <f t="shared" si="2"/>
        <v>0</v>
      </c>
      <c r="I26" s="131">
        <f t="shared" si="7"/>
        <v>43.186814876312589</v>
      </c>
      <c r="J26" s="131">
        <f t="shared" si="4"/>
        <v>112.36</v>
      </c>
      <c r="K26" s="129">
        <f t="shared" si="3"/>
        <v>112.35999999999999</v>
      </c>
      <c r="L26" s="120"/>
      <c r="N26" s="118"/>
      <c r="R26" s="161"/>
      <c r="T26" s="162"/>
      <c r="U26" s="154"/>
      <c r="V26" s="154"/>
      <c r="W26" s="154"/>
      <c r="X26" s="154"/>
      <c r="Y26" s="154"/>
      <c r="Z26" s="154"/>
      <c r="AF26" s="154"/>
    </row>
    <row r="27" spans="2:32">
      <c r="B27" s="136">
        <f t="shared" si="0"/>
        <v>2033</v>
      </c>
      <c r="C27" s="137"/>
      <c r="D27" s="129">
        <f t="shared" si="5"/>
        <v>80.290000000000006</v>
      </c>
      <c r="E27" s="129">
        <f t="shared" si="1"/>
        <v>34.479999999999997</v>
      </c>
      <c r="F27" s="129">
        <f t="shared" si="5"/>
        <v>0</v>
      </c>
      <c r="G27" s="131">
        <f t="shared" si="6"/>
        <v>44.11312516335348</v>
      </c>
      <c r="H27" s="129">
        <f t="shared" si="2"/>
        <v>0</v>
      </c>
      <c r="I27" s="131">
        <f t="shared" si="7"/>
        <v>44.11312516335348</v>
      </c>
      <c r="J27" s="131">
        <f t="shared" si="4"/>
        <v>114.77</v>
      </c>
      <c r="K27" s="129">
        <f t="shared" si="3"/>
        <v>114.77000000000001</v>
      </c>
      <c r="L27" s="120"/>
      <c r="N27" s="118"/>
      <c r="R27" s="161"/>
      <c r="T27" s="162"/>
      <c r="U27" s="154"/>
      <c r="V27" s="154"/>
      <c r="W27" s="154"/>
      <c r="X27" s="154"/>
      <c r="Y27" s="154"/>
      <c r="Z27" s="154"/>
      <c r="AF27" s="154"/>
    </row>
    <row r="28" spans="2:32">
      <c r="B28" s="136">
        <f t="shared" si="0"/>
        <v>2034</v>
      </c>
      <c r="C28" s="137"/>
      <c r="D28" s="129">
        <f t="shared" si="5"/>
        <v>81.98</v>
      </c>
      <c r="E28" s="129">
        <f t="shared" si="1"/>
        <v>35.200000000000003</v>
      </c>
      <c r="F28" s="129">
        <f t="shared" si="5"/>
        <v>0</v>
      </c>
      <c r="G28" s="131">
        <f t="shared" si="6"/>
        <v>45.039435450394357</v>
      </c>
      <c r="H28" s="129">
        <f t="shared" si="2"/>
        <v>0</v>
      </c>
      <c r="I28" s="131">
        <f t="shared" si="7"/>
        <v>45.039435450394357</v>
      </c>
      <c r="J28" s="131">
        <f t="shared" si="4"/>
        <v>117.18</v>
      </c>
      <c r="K28" s="129">
        <f t="shared" si="3"/>
        <v>117.18</v>
      </c>
      <c r="L28" s="120"/>
      <c r="N28" s="118"/>
      <c r="R28" s="161"/>
      <c r="T28" s="162"/>
      <c r="U28" s="154"/>
      <c r="V28" s="154"/>
      <c r="W28" s="154"/>
      <c r="X28" s="154"/>
      <c r="Y28" s="154"/>
      <c r="Z28" s="154"/>
      <c r="AF28" s="154"/>
    </row>
    <row r="29" spans="2:32">
      <c r="B29" s="136">
        <f t="shared" si="0"/>
        <v>2035</v>
      </c>
      <c r="C29" s="137"/>
      <c r="D29" s="129">
        <f t="shared" si="5"/>
        <v>83.7</v>
      </c>
      <c r="E29" s="129">
        <f t="shared" si="1"/>
        <v>35.94</v>
      </c>
      <c r="F29" s="129">
        <f t="shared" si="5"/>
        <v>0</v>
      </c>
      <c r="G29" s="131">
        <f t="shared" si="6"/>
        <v>45.984963793182978</v>
      </c>
      <c r="H29" s="129">
        <f t="shared" si="2"/>
        <v>0</v>
      </c>
      <c r="I29" s="131">
        <f t="shared" si="7"/>
        <v>45.984963793182978</v>
      </c>
      <c r="J29" s="131">
        <f t="shared" si="4"/>
        <v>119.64</v>
      </c>
      <c r="K29" s="129">
        <f t="shared" si="3"/>
        <v>119.64</v>
      </c>
      <c r="L29" s="120"/>
      <c r="N29" s="118"/>
      <c r="R29" s="161"/>
      <c r="T29" s="162"/>
      <c r="U29" s="154"/>
      <c r="V29" s="154"/>
      <c r="W29" s="154"/>
      <c r="X29" s="154"/>
      <c r="Y29" s="154"/>
      <c r="Z29" s="154"/>
      <c r="AF29" s="154"/>
    </row>
    <row r="30" spans="2:32">
      <c r="B30" s="136">
        <f t="shared" si="0"/>
        <v>2036</v>
      </c>
      <c r="C30" s="137"/>
      <c r="D30" s="129">
        <f t="shared" si="5"/>
        <v>85.44</v>
      </c>
      <c r="E30" s="129">
        <f t="shared" si="1"/>
        <v>36.69</v>
      </c>
      <c r="F30" s="129">
        <f t="shared" si="5"/>
        <v>0</v>
      </c>
      <c r="G30" s="131">
        <f t="shared" si="6"/>
        <v>46.942022969420229</v>
      </c>
      <c r="H30" s="129">
        <f t="shared" si="2"/>
        <v>0</v>
      </c>
      <c r="I30" s="131">
        <f t="shared" si="7"/>
        <v>46.942022969420229</v>
      </c>
      <c r="J30" s="131">
        <f t="shared" si="4"/>
        <v>122.13</v>
      </c>
      <c r="K30" s="129">
        <f t="shared" si="3"/>
        <v>122.13</v>
      </c>
      <c r="L30" s="120"/>
      <c r="N30" s="118"/>
      <c r="R30" s="161"/>
      <c r="T30" s="162"/>
      <c r="U30" s="154"/>
      <c r="V30" s="154"/>
      <c r="W30" s="154"/>
      <c r="X30" s="154"/>
      <c r="Y30" s="154"/>
      <c r="Z30" s="154"/>
      <c r="AF30" s="154"/>
    </row>
    <row r="31" spans="2:32">
      <c r="B31" s="136">
        <f t="shared" si="0"/>
        <v>2037</v>
      </c>
      <c r="C31" s="137"/>
      <c r="D31" s="129">
        <f t="shared" si="5"/>
        <v>87.22</v>
      </c>
      <c r="E31" s="129">
        <f t="shared" si="1"/>
        <v>37.46</v>
      </c>
      <c r="F31" s="129">
        <f t="shared" si="5"/>
        <v>0</v>
      </c>
      <c r="G31" s="131">
        <f t="shared" si="6"/>
        <v>47.922143812554779</v>
      </c>
      <c r="H31" s="129">
        <f t="shared" si="2"/>
        <v>0</v>
      </c>
      <c r="I31" s="131">
        <f t="shared" si="7"/>
        <v>47.922143812554779</v>
      </c>
      <c r="J31" s="131">
        <f t="shared" si="4"/>
        <v>124.68</v>
      </c>
      <c r="K31" s="129">
        <f t="shared" si="3"/>
        <v>124.68</v>
      </c>
      <c r="L31" s="120"/>
      <c r="N31" s="118"/>
      <c r="R31" s="161"/>
      <c r="T31" s="162"/>
      <c r="U31" s="154"/>
      <c r="V31" s="154"/>
      <c r="W31" s="154"/>
      <c r="X31" s="154"/>
      <c r="Y31" s="154"/>
      <c r="Z31" s="154"/>
      <c r="AF31" s="154"/>
    </row>
    <row r="32" spans="2:32">
      <c r="B32" s="136">
        <f t="shared" si="0"/>
        <v>2038</v>
      </c>
      <c r="C32" s="137"/>
      <c r="D32" s="129">
        <f t="shared" si="5"/>
        <v>89.04</v>
      </c>
      <c r="E32" s="129">
        <f t="shared" si="1"/>
        <v>38.24</v>
      </c>
      <c r="F32" s="129">
        <f t="shared" si="5"/>
        <v>0</v>
      </c>
      <c r="G32" s="131">
        <f t="shared" si="6"/>
        <v>48.921482711437051</v>
      </c>
      <c r="H32" s="129">
        <f t="shared" si="2"/>
        <v>0</v>
      </c>
      <c r="I32" s="131">
        <f t="shared" si="7"/>
        <v>48.921482711437051</v>
      </c>
      <c r="J32" s="131">
        <f t="shared" si="4"/>
        <v>127.28</v>
      </c>
      <c r="K32" s="129">
        <f t="shared" si="3"/>
        <v>127.28</v>
      </c>
      <c r="L32" s="120"/>
      <c r="N32" s="118"/>
      <c r="R32" s="161"/>
      <c r="T32" s="162"/>
      <c r="U32" s="154"/>
      <c r="V32" s="154"/>
      <c r="W32" s="154"/>
      <c r="X32" s="154"/>
      <c r="Y32" s="154"/>
      <c r="Z32" s="154"/>
      <c r="AF32" s="154"/>
    </row>
    <row r="33" spans="2:32">
      <c r="B33" s="136">
        <f t="shared" si="0"/>
        <v>2039</v>
      </c>
      <c r="C33" s="137"/>
      <c r="D33" s="129">
        <f t="shared" si="5"/>
        <v>90.89</v>
      </c>
      <c r="E33" s="129">
        <f t="shared" si="1"/>
        <v>39.03</v>
      </c>
      <c r="F33" s="129">
        <f t="shared" si="5"/>
        <v>0</v>
      </c>
      <c r="G33" s="131">
        <f t="shared" si="6"/>
        <v>49.936196054917524</v>
      </c>
      <c r="H33" s="129">
        <f t="shared" si="2"/>
        <v>0</v>
      </c>
      <c r="I33" s="131">
        <f t="shared" si="7"/>
        <v>49.936196054917524</v>
      </c>
      <c r="J33" s="131">
        <f t="shared" ref="J33:J37" si="8">ROUND(I33*$C$63*8.76,2)</f>
        <v>129.91999999999999</v>
      </c>
      <c r="K33" s="129">
        <f t="shared" si="3"/>
        <v>129.92000000000002</v>
      </c>
      <c r="L33" s="120"/>
      <c r="N33" s="118"/>
      <c r="R33" s="161"/>
      <c r="T33" s="162"/>
      <c r="U33" s="154"/>
      <c r="V33" s="154"/>
      <c r="W33" s="154"/>
      <c r="X33" s="154"/>
      <c r="Y33" s="154"/>
      <c r="Z33" s="154"/>
      <c r="AF33" s="154"/>
    </row>
    <row r="34" spans="2:32">
      <c r="B34" s="136">
        <f t="shared" si="0"/>
        <v>2040</v>
      </c>
      <c r="C34" s="137"/>
      <c r="D34" s="129">
        <f t="shared" si="5"/>
        <v>92.78</v>
      </c>
      <c r="E34" s="129">
        <f t="shared" si="1"/>
        <v>39.840000000000003</v>
      </c>
      <c r="F34" s="129">
        <f t="shared" si="5"/>
        <v>0</v>
      </c>
      <c r="G34" s="131">
        <f t="shared" si="6"/>
        <v>50.973971065295274</v>
      </c>
      <c r="H34" s="129">
        <f t="shared" si="2"/>
        <v>0</v>
      </c>
      <c r="I34" s="131">
        <f t="shared" si="7"/>
        <v>50.973971065295274</v>
      </c>
      <c r="J34" s="131">
        <f t="shared" si="8"/>
        <v>132.62</v>
      </c>
      <c r="K34" s="129">
        <f t="shared" si="3"/>
        <v>132.62</v>
      </c>
      <c r="L34" s="120"/>
      <c r="N34" s="118"/>
      <c r="R34" s="161"/>
      <c r="T34" s="162"/>
      <c r="U34" s="154"/>
      <c r="V34" s="154"/>
      <c r="W34" s="154"/>
      <c r="X34" s="154"/>
      <c r="Y34" s="154"/>
      <c r="Z34" s="154"/>
      <c r="AF34" s="154"/>
    </row>
    <row r="35" spans="2:32">
      <c r="B35" s="136">
        <f t="shared" si="0"/>
        <v>2041</v>
      </c>
      <c r="C35" s="137"/>
      <c r="D35" s="129">
        <f t="shared" si="5"/>
        <v>94.72</v>
      </c>
      <c r="E35" s="129">
        <f t="shared" si="1"/>
        <v>40.67</v>
      </c>
      <c r="F35" s="129">
        <f t="shared" si="5"/>
        <v>0</v>
      </c>
      <c r="G35" s="131">
        <f t="shared" si="6"/>
        <v>52.038651353719843</v>
      </c>
      <c r="H35" s="129">
        <f t="shared" si="2"/>
        <v>0</v>
      </c>
      <c r="I35" s="131">
        <f t="shared" si="7"/>
        <v>52.038651353719843</v>
      </c>
      <c r="J35" s="131">
        <f t="shared" si="8"/>
        <v>135.38999999999999</v>
      </c>
      <c r="K35" s="129">
        <f t="shared" si="3"/>
        <v>135.38999999999999</v>
      </c>
      <c r="L35" s="120"/>
      <c r="N35" s="118"/>
      <c r="R35" s="161"/>
      <c r="T35" s="162"/>
      <c r="U35" s="154"/>
      <c r="V35" s="154"/>
      <c r="W35" s="154"/>
      <c r="X35" s="154"/>
      <c r="Y35" s="154"/>
      <c r="Z35" s="154"/>
      <c r="AF35" s="154"/>
    </row>
    <row r="36" spans="2:32">
      <c r="B36" s="136">
        <f t="shared" si="0"/>
        <v>2042</v>
      </c>
      <c r="C36" s="137"/>
      <c r="D36" s="129">
        <f t="shared" si="5"/>
        <v>96.72</v>
      </c>
      <c r="E36" s="129">
        <f t="shared" si="1"/>
        <v>41.53</v>
      </c>
      <c r="F36" s="129">
        <f t="shared" si="5"/>
        <v>0</v>
      </c>
      <c r="G36" s="131">
        <f t="shared" si="6"/>
        <v>53.137924142490355</v>
      </c>
      <c r="H36" s="129">
        <f t="shared" si="2"/>
        <v>0</v>
      </c>
      <c r="I36" s="131">
        <f t="shared" si="7"/>
        <v>53.137924142490355</v>
      </c>
      <c r="J36" s="131">
        <f t="shared" si="8"/>
        <v>138.25</v>
      </c>
      <c r="K36" s="129">
        <f t="shared" si="3"/>
        <v>138.25</v>
      </c>
      <c r="L36" s="120"/>
      <c r="N36" s="118"/>
      <c r="R36" s="161"/>
      <c r="T36" s="162"/>
      <c r="U36" s="154"/>
      <c r="V36" s="154"/>
      <c r="W36" s="154"/>
      <c r="X36" s="154"/>
      <c r="Y36" s="154"/>
      <c r="Z36" s="154"/>
      <c r="AF36" s="154"/>
    </row>
    <row r="37" spans="2:32">
      <c r="B37" s="136">
        <f t="shared" si="0"/>
        <v>2043</v>
      </c>
      <c r="C37" s="137"/>
      <c r="D37" s="129">
        <f t="shared" si="5"/>
        <v>98.77</v>
      </c>
      <c r="E37" s="129">
        <f t="shared" si="1"/>
        <v>42.41</v>
      </c>
      <c r="F37" s="129">
        <f t="shared" si="5"/>
        <v>0</v>
      </c>
      <c r="G37" s="131">
        <f t="shared" si="6"/>
        <v>54.264102209307694</v>
      </c>
      <c r="H37" s="129">
        <f t="shared" si="2"/>
        <v>0</v>
      </c>
      <c r="I37" s="131">
        <f t="shared" si="7"/>
        <v>54.264102209307694</v>
      </c>
      <c r="J37" s="131">
        <f t="shared" si="8"/>
        <v>141.18</v>
      </c>
      <c r="K37" s="129">
        <f t="shared" si="3"/>
        <v>141.18</v>
      </c>
      <c r="L37" s="120"/>
      <c r="N37" s="118"/>
      <c r="R37" s="161"/>
      <c r="T37" s="162"/>
      <c r="U37" s="154"/>
      <c r="V37" s="154"/>
      <c r="W37" s="154"/>
      <c r="X37" s="154"/>
      <c r="Y37" s="154"/>
      <c r="Z37" s="154"/>
      <c r="AF37" s="154"/>
    </row>
    <row r="38" spans="2:32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  <c r="N38" s="118"/>
      <c r="R38" s="161"/>
      <c r="T38" s="162"/>
      <c r="U38" s="154"/>
      <c r="V38" s="154"/>
      <c r="W38" s="154"/>
      <c r="X38" s="154"/>
      <c r="Y38" s="154"/>
      <c r="Z38" s="154"/>
      <c r="AF38" s="154"/>
    </row>
    <row r="39" spans="2:32">
      <c r="B39" s="136"/>
      <c r="C39" s="137"/>
      <c r="D39" s="129"/>
      <c r="E39" s="129"/>
      <c r="F39" s="131"/>
      <c r="G39" s="129"/>
      <c r="H39" s="129"/>
      <c r="I39" s="131"/>
      <c r="J39" s="131"/>
      <c r="K39" s="129"/>
      <c r="L39" s="120"/>
      <c r="N39" s="118"/>
      <c r="R39" s="161"/>
      <c r="T39" s="162"/>
      <c r="U39" s="154"/>
      <c r="V39" s="154"/>
      <c r="W39" s="154"/>
      <c r="X39" s="154"/>
      <c r="Y39" s="154"/>
      <c r="Z39" s="154"/>
      <c r="AF39" s="154"/>
    </row>
    <row r="40" spans="2:32">
      <c r="B40" s="136"/>
      <c r="C40" s="137"/>
      <c r="D40" s="129"/>
      <c r="E40" s="129"/>
      <c r="F40" s="131"/>
      <c r="G40" s="129"/>
      <c r="H40" s="129"/>
      <c r="I40" s="131"/>
      <c r="J40" s="131"/>
      <c r="K40" s="129"/>
      <c r="L40" s="120"/>
      <c r="N40" s="118"/>
      <c r="R40" s="161"/>
      <c r="T40" s="162"/>
      <c r="U40" s="154"/>
      <c r="V40" s="154"/>
      <c r="W40" s="154"/>
      <c r="X40" s="154"/>
      <c r="Y40" s="154"/>
      <c r="Z40" s="154"/>
      <c r="AF40" s="154"/>
    </row>
    <row r="41" spans="2:32">
      <c r="R41" s="120"/>
    </row>
    <row r="42" spans="2:32" ht="14.25">
      <c r="B42" s="139" t="s">
        <v>27</v>
      </c>
      <c r="C42" s="140"/>
      <c r="D42" s="140"/>
      <c r="E42" s="140"/>
      <c r="F42" s="140"/>
      <c r="G42" s="140"/>
      <c r="H42" s="140"/>
      <c r="R42" s="120"/>
    </row>
    <row r="44" spans="2:32">
      <c r="B44" s="118" t="s">
        <v>65</v>
      </c>
      <c r="C44" s="141" t="s">
        <v>66</v>
      </c>
      <c r="D44" s="142" t="s">
        <v>105</v>
      </c>
    </row>
    <row r="45" spans="2:32">
      <c r="C45" s="141" t="str">
        <f>C7</f>
        <v>(a)</v>
      </c>
      <c r="D45" s="118" t="s">
        <v>67</v>
      </c>
    </row>
    <row r="46" spans="2:32">
      <c r="C46" s="141" t="str">
        <f>D7</f>
        <v>(b)</v>
      </c>
      <c r="D46" s="131" t="str">
        <f>"= "&amp;C7&amp;" x "&amp;C62</f>
        <v>= (a) x 0.05085</v>
      </c>
    </row>
    <row r="47" spans="2:32">
      <c r="C47" s="141" t="str">
        <f>G7</f>
        <v>(e)</v>
      </c>
      <c r="D47" s="131" t="str">
        <f>"= ("&amp;$D$7&amp;" + "&amp;$E$7&amp;") /  (8.76 x "&amp;TEXT(C63,"0.0%")&amp;")"</f>
        <v>= ((b) + (c)) /  (8.76 x 29.7%)</v>
      </c>
    </row>
    <row r="48" spans="2:32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106</v>
      </c>
      <c r="Q54" s="118">
        <v>2024</v>
      </c>
    </row>
    <row r="55" spans="2:25">
      <c r="B55" s="85" t="s">
        <v>104</v>
      </c>
      <c r="C55" s="393">
        <v>1698.6767295711138</v>
      </c>
      <c r="D55" s="118" t="s">
        <v>67</v>
      </c>
      <c r="O55" s="402">
        <v>442.2</v>
      </c>
      <c r="P55" s="118" t="s">
        <v>34</v>
      </c>
      <c r="Q55" s="118" t="s">
        <v>149</v>
      </c>
      <c r="R55" s="118" t="s">
        <v>112</v>
      </c>
      <c r="T55" s="118" t="str">
        <f>$Q$55&amp;"Proposed Station Capital Costs"</f>
        <v>H1.SO1_PVSProposed Station Capital Costs</v>
      </c>
    </row>
    <row r="56" spans="2:25">
      <c r="B56" s="85" t="s">
        <v>104</v>
      </c>
      <c r="C56" s="149">
        <v>24.570618817436728</v>
      </c>
      <c r="D56" s="118" t="s">
        <v>70</v>
      </c>
      <c r="O56" s="402">
        <v>57.8</v>
      </c>
      <c r="P56" s="118" t="s">
        <v>34</v>
      </c>
      <c r="Q56" s="118" t="s">
        <v>150</v>
      </c>
      <c r="R56" s="120"/>
      <c r="T56" s="118" t="str">
        <f>$Q$55&amp;"Proposed Station Fixed Costs"</f>
        <v>H1.SO1_PVSProposed Station Fixed Costs</v>
      </c>
    </row>
    <row r="57" spans="2:25" ht="24" customHeight="1">
      <c r="B57" s="85"/>
      <c r="C57" s="154"/>
      <c r="D57" s="118" t="s">
        <v>109</v>
      </c>
      <c r="Q57" s="337" t="str">
        <f>Q55&amp;Q54</f>
        <v>H1.SO1_PVS2024</v>
      </c>
      <c r="T57" s="118" t="str">
        <f>$Q$55&amp;"Proposed Station Variable O&amp;M Costs"</f>
        <v>H1.SO1_PVSProposed Station Variable O&amp;M Costs</v>
      </c>
    </row>
    <row r="58" spans="2:25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 t="s">
        <v>260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58" t="str">
        <f>IFERROR(LEFT(RIGHT(INDEX('Table 3 TransCost'!$39:$39,1,MATCH(F60,'Table 3 TransCost'!$4:$4,0)),6),5),"-")</f>
        <v>-</v>
      </c>
      <c r="C60" s="154">
        <f>IFERROR(INDEX('Table 3 TransCost'!$39:$39,1,MATCH(F60,'Table 3 TransCost'!$4:$4,0)+2),0)</f>
        <v>0</v>
      </c>
      <c r="D60" s="118" t="s">
        <v>222</v>
      </c>
      <c r="F60" s="118" t="s">
        <v>227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5">
      <c r="C62" s="395">
        <v>5.0849999999999999E-2</v>
      </c>
      <c r="D62" s="118" t="s">
        <v>38</v>
      </c>
      <c r="E62" s="118" t="s">
        <v>113</v>
      </c>
      <c r="K62" s="288"/>
      <c r="L62" s="157"/>
      <c r="M62" s="157"/>
      <c r="O62" s="158"/>
    </row>
    <row r="63" spans="2:25">
      <c r="C63" s="396">
        <v>0.29699999999999999</v>
      </c>
      <c r="D63" s="118" t="s">
        <v>39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9">C66+1</f>
        <v>2018</v>
      </c>
      <c r="D67" s="41">
        <v>2.3994563767884003E-2</v>
      </c>
      <c r="E67" s="85"/>
      <c r="F67" s="87">
        <f t="shared" ref="F67:F74" si="10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9"/>
        <v>2019</v>
      </c>
      <c r="D68" s="41">
        <v>1.9651346350279875E-2</v>
      </c>
      <c r="E68" s="85"/>
      <c r="F68" s="87">
        <f t="shared" si="10"/>
        <v>2028</v>
      </c>
      <c r="G68" s="41">
        <v>2.2447976887115972E-2</v>
      </c>
      <c r="H68" s="41"/>
      <c r="I68" s="87">
        <f t="shared" ref="I68:I74" si="11">I67+1</f>
        <v>2037</v>
      </c>
      <c r="J68" s="41">
        <v>2.0854082421584375E-2</v>
      </c>
    </row>
    <row r="69" spans="3:14">
      <c r="C69" s="87">
        <f t="shared" si="9"/>
        <v>2020</v>
      </c>
      <c r="D69" s="41">
        <v>2.6147280919121885E-2</v>
      </c>
      <c r="E69" s="85"/>
      <c r="F69" s="87">
        <f t="shared" si="10"/>
        <v>2029</v>
      </c>
      <c r="G69" s="41">
        <v>2.2764957830614385E-2</v>
      </c>
      <c r="H69" s="41"/>
      <c r="I69" s="87">
        <f t="shared" si="11"/>
        <v>2038</v>
      </c>
      <c r="J69" s="41">
        <v>2.0886076981620372E-2</v>
      </c>
    </row>
    <row r="70" spans="3:14">
      <c r="C70" s="87">
        <f t="shared" si="9"/>
        <v>2021</v>
      </c>
      <c r="D70" s="41">
        <v>2.5435997430165225E-2</v>
      </c>
      <c r="E70" s="85"/>
      <c r="F70" s="87">
        <f t="shared" si="10"/>
        <v>2030</v>
      </c>
      <c r="G70" s="41">
        <v>2.2409251338579406E-2</v>
      </c>
      <c r="H70" s="41"/>
      <c r="I70" s="87">
        <f t="shared" si="11"/>
        <v>2039</v>
      </c>
      <c r="J70" s="41">
        <v>2.0755199547329406E-2</v>
      </c>
    </row>
    <row r="71" spans="3:14">
      <c r="C71" s="87">
        <f t="shared" si="9"/>
        <v>2022</v>
      </c>
      <c r="D71" s="41">
        <v>2.5246661572301266E-2</v>
      </c>
      <c r="E71" s="85"/>
      <c r="F71" s="87">
        <f t="shared" si="10"/>
        <v>2031</v>
      </c>
      <c r="G71" s="41">
        <v>2.1876862460861402E-2</v>
      </c>
      <c r="H71" s="41"/>
      <c r="I71" s="87">
        <f t="shared" si="11"/>
        <v>2040</v>
      </c>
      <c r="J71" s="41">
        <v>2.0747934127706591E-2</v>
      </c>
    </row>
    <row r="72" spans="3:14" s="120" customFormat="1">
      <c r="C72" s="87">
        <f t="shared" si="9"/>
        <v>2023</v>
      </c>
      <c r="D72" s="41">
        <v>2.4577195966118071E-2</v>
      </c>
      <c r="E72" s="86"/>
      <c r="F72" s="87">
        <f t="shared" si="10"/>
        <v>2032</v>
      </c>
      <c r="G72" s="41">
        <v>2.1570874084378078E-2</v>
      </c>
      <c r="H72" s="41"/>
      <c r="I72" s="87">
        <f t="shared" si="11"/>
        <v>2041</v>
      </c>
      <c r="J72" s="41">
        <v>2.0871781890604124E-2</v>
      </c>
      <c r="N72" s="165"/>
    </row>
    <row r="73" spans="3:14" s="120" customFormat="1">
      <c r="C73" s="87">
        <f t="shared" si="9"/>
        <v>2024</v>
      </c>
      <c r="D73" s="41">
        <v>2.3256370085936506E-2</v>
      </c>
      <c r="E73" s="86"/>
      <c r="F73" s="87">
        <f t="shared" si="10"/>
        <v>2033</v>
      </c>
      <c r="G73" s="41">
        <v>2.144511122277093E-2</v>
      </c>
      <c r="H73" s="41"/>
      <c r="I73" s="87">
        <f t="shared" si="11"/>
        <v>2042</v>
      </c>
      <c r="J73" s="41">
        <v>2.1078469389761434E-2</v>
      </c>
      <c r="N73" s="165"/>
    </row>
    <row r="74" spans="3:14" s="120" customFormat="1">
      <c r="C74" s="87">
        <f t="shared" si="9"/>
        <v>2025</v>
      </c>
      <c r="D74" s="41">
        <v>2.2304783799234951E-2</v>
      </c>
      <c r="E74" s="86"/>
      <c r="F74" s="87">
        <f t="shared" si="10"/>
        <v>2034</v>
      </c>
      <c r="G74" s="41">
        <v>2.1010014778543251E-2</v>
      </c>
      <c r="H74" s="41"/>
      <c r="I74" s="87">
        <f t="shared" si="11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view="pageBreakPreview" zoomScale="60" zoomScaleNormal="80" workbookViewId="0">
      <selection activeCell="J44" sqref="J44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1.1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10.8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4" width="9.33203125" style="118"/>
    <col min="25" max="25" width="12" style="118" bestFit="1" customWidth="1"/>
    <col min="26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2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32" ht="15.75">
      <c r="B2" s="116" t="s">
        <v>231</v>
      </c>
      <c r="C2" s="117"/>
      <c r="D2" s="117"/>
      <c r="E2" s="117"/>
      <c r="F2" s="117"/>
      <c r="G2" s="117"/>
      <c r="H2" s="117"/>
      <c r="I2" s="117"/>
      <c r="J2" s="117"/>
    </row>
    <row r="3" spans="2:32" ht="15.75">
      <c r="B3" s="116" t="str">
        <f>TEXT($C$63,"0%")&amp;" Capacity Factor"</f>
        <v>26% Capacity Factor</v>
      </c>
      <c r="C3" s="117"/>
      <c r="D3" s="117"/>
      <c r="E3" s="117"/>
      <c r="F3" s="117"/>
      <c r="G3" s="117"/>
      <c r="H3" s="117"/>
      <c r="I3" s="117"/>
      <c r="J3" s="117"/>
      <c r="R3" s="120"/>
    </row>
    <row r="4" spans="2:32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</row>
    <row r="5" spans="2:32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  <c r="Z5" s="215"/>
    </row>
    <row r="6" spans="2:32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32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  <c r="R7" s="120"/>
    </row>
    <row r="8" spans="2:32" ht="6" customHeight="1">
      <c r="K8" s="120"/>
      <c r="R8" s="120"/>
    </row>
    <row r="9" spans="2:32" ht="15.75">
      <c r="B9" s="43" t="str">
        <f>C52</f>
        <v>2019 IRP Yakima Solar with Storage - 26%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32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32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32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W12" s="154"/>
      <c r="Y12" s="154"/>
      <c r="Z12" s="154"/>
      <c r="AF12" s="154"/>
    </row>
    <row r="13" spans="2:32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25.05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25.05</v>
      </c>
      <c r="L13" s="120"/>
      <c r="N13" s="118"/>
      <c r="R13" s="120"/>
      <c r="V13" s="154"/>
      <c r="W13" s="154"/>
      <c r="Y13" s="154"/>
      <c r="Z13" s="154"/>
      <c r="AF13" s="154"/>
    </row>
    <row r="14" spans="2:32">
      <c r="B14" s="136">
        <f t="shared" si="0"/>
        <v>2020</v>
      </c>
      <c r="C14" s="137"/>
      <c r="D14" s="129"/>
      <c r="E14" s="129">
        <f t="shared" si="1"/>
        <v>25.7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25.7</v>
      </c>
      <c r="L14" s="120"/>
      <c r="N14" s="118"/>
      <c r="O14" s="133"/>
      <c r="P14" s="397"/>
      <c r="Q14" s="398"/>
      <c r="R14" s="120"/>
      <c r="V14" s="154"/>
      <c r="W14" s="154"/>
      <c r="Y14" s="154"/>
      <c r="Z14" s="154"/>
      <c r="AF14" s="154"/>
    </row>
    <row r="15" spans="2:32">
      <c r="B15" s="136">
        <f t="shared" si="0"/>
        <v>2021</v>
      </c>
      <c r="C15" s="137"/>
      <c r="D15" s="129"/>
      <c r="E15" s="129">
        <f t="shared" si="1"/>
        <v>26.35</v>
      </c>
      <c r="F15" s="129"/>
      <c r="G15" s="131"/>
      <c r="H15" s="129">
        <f t="shared" si="2"/>
        <v>0</v>
      </c>
      <c r="I15" s="131"/>
      <c r="J15" s="131"/>
      <c r="K15" s="129">
        <f t="shared" si="3"/>
        <v>26.35</v>
      </c>
      <c r="L15" s="120"/>
      <c r="N15" s="118"/>
      <c r="O15" s="399"/>
      <c r="P15" s="397"/>
      <c r="Q15" s="398"/>
      <c r="R15" s="120"/>
      <c r="V15" s="154"/>
      <c r="W15" s="154"/>
      <c r="Y15" s="154"/>
      <c r="Z15" s="154"/>
      <c r="AF15" s="154"/>
    </row>
    <row r="16" spans="2:32">
      <c r="B16" s="136">
        <f t="shared" si="0"/>
        <v>2022</v>
      </c>
      <c r="C16" s="137"/>
      <c r="D16" s="129"/>
      <c r="E16" s="129">
        <f t="shared" si="1"/>
        <v>27.02</v>
      </c>
      <c r="F16" s="129"/>
      <c r="G16" s="131"/>
      <c r="H16" s="129">
        <f t="shared" si="2"/>
        <v>0</v>
      </c>
      <c r="I16" s="131"/>
      <c r="J16" s="131"/>
      <c r="K16" s="129">
        <f t="shared" si="3"/>
        <v>27.02</v>
      </c>
      <c r="L16" s="120"/>
      <c r="N16" s="118"/>
      <c r="O16" s="338"/>
      <c r="R16" s="120"/>
      <c r="V16" s="154"/>
      <c r="W16" s="154"/>
      <c r="Y16" s="154"/>
      <c r="Z16" s="154"/>
      <c r="AF16" s="154"/>
    </row>
    <row r="17" spans="2:32">
      <c r="B17" s="136">
        <f t="shared" si="0"/>
        <v>2023</v>
      </c>
      <c r="C17" s="137"/>
      <c r="D17" s="129"/>
      <c r="E17" s="129">
        <f t="shared" si="1"/>
        <v>27.68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27.68</v>
      </c>
      <c r="L17" s="120"/>
      <c r="N17" s="118"/>
      <c r="O17" s="200"/>
      <c r="R17" s="120"/>
      <c r="V17" s="154"/>
      <c r="W17" s="154"/>
      <c r="Y17" s="154"/>
      <c r="Z17" s="154"/>
      <c r="AF17" s="154"/>
    </row>
    <row r="18" spans="2:32">
      <c r="B18" s="136">
        <f t="shared" si="0"/>
        <v>2024</v>
      </c>
      <c r="C18" s="137">
        <v>1295.0860323886641</v>
      </c>
      <c r="D18" s="129">
        <f>C18*$C$62</f>
        <v>65.855124746963568</v>
      </c>
      <c r="E18" s="129">
        <f t="shared" si="1"/>
        <v>28.32</v>
      </c>
      <c r="F18" s="129">
        <f>C60</f>
        <v>0.39132049215213044</v>
      </c>
      <c r="G18" s="131">
        <f>(D18+E18+F18)/(8.76*$C$63)</f>
        <v>41.520216560904331</v>
      </c>
      <c r="H18" s="129">
        <f t="shared" si="2"/>
        <v>0</v>
      </c>
      <c r="I18" s="131">
        <f>(G18+H18)</f>
        <v>41.520216560904331</v>
      </c>
      <c r="J18" s="131">
        <f t="shared" ref="J18:J32" si="4">ROUND(I18*$C$63*8.76,2)</f>
        <v>94.57</v>
      </c>
      <c r="K18" s="129">
        <f t="shared" si="3"/>
        <v>94.566445239115708</v>
      </c>
      <c r="L18" s="120"/>
      <c r="N18" s="118"/>
      <c r="O18" s="339"/>
      <c r="Q18" s="154"/>
      <c r="R18" s="120"/>
      <c r="T18" s="162"/>
      <c r="U18" s="154"/>
      <c r="V18" s="154"/>
      <c r="W18" s="154"/>
      <c r="X18" s="154"/>
      <c r="Y18" s="154"/>
      <c r="Z18" s="154"/>
      <c r="AA18" s="280"/>
      <c r="AB18" s="279"/>
      <c r="AF18" s="154"/>
    </row>
    <row r="19" spans="2:32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67.319999999999993</v>
      </c>
      <c r="E19" s="129">
        <f t="shared" si="1"/>
        <v>28.95</v>
      </c>
      <c r="F19" s="129">
        <f t="shared" si="5"/>
        <v>0.4</v>
      </c>
      <c r="G19" s="131">
        <f t="shared" ref="G19:G37" si="6">(D19+E19+F19)/(8.76*$C$63)</f>
        <v>42.443800491745698</v>
      </c>
      <c r="H19" s="129">
        <f t="shared" si="2"/>
        <v>0</v>
      </c>
      <c r="I19" s="131">
        <f t="shared" ref="I19:I37" si="7">(G19+H19)</f>
        <v>42.443800491745698</v>
      </c>
      <c r="J19" s="131">
        <f t="shared" si="4"/>
        <v>96.67</v>
      </c>
      <c r="K19" s="129">
        <f t="shared" si="3"/>
        <v>96.67</v>
      </c>
      <c r="L19" s="120"/>
      <c r="N19" s="118"/>
      <c r="R19" s="120"/>
      <c r="T19" s="162"/>
      <c r="U19" s="154"/>
      <c r="V19" s="154"/>
      <c r="W19" s="154"/>
      <c r="X19" s="154"/>
      <c r="Y19" s="154"/>
      <c r="Z19" s="154"/>
      <c r="AF19" s="154"/>
    </row>
    <row r="20" spans="2:32">
      <c r="B20" s="136">
        <f t="shared" si="0"/>
        <v>2026</v>
      </c>
      <c r="C20" s="137"/>
      <c r="D20" s="129">
        <f t="shared" si="5"/>
        <v>68.8</v>
      </c>
      <c r="E20" s="129">
        <f t="shared" si="1"/>
        <v>29.59</v>
      </c>
      <c r="F20" s="129">
        <f t="shared" si="5"/>
        <v>0.41</v>
      </c>
      <c r="G20" s="131">
        <f t="shared" si="6"/>
        <v>43.378995433789953</v>
      </c>
      <c r="H20" s="129">
        <f t="shared" si="2"/>
        <v>0</v>
      </c>
      <c r="I20" s="131">
        <f t="shared" si="7"/>
        <v>43.378995433789953</v>
      </c>
      <c r="J20" s="131">
        <f t="shared" si="4"/>
        <v>98.8</v>
      </c>
      <c r="K20" s="129">
        <f t="shared" si="3"/>
        <v>98.8</v>
      </c>
      <c r="L20" s="120"/>
      <c r="N20" s="118"/>
      <c r="R20" s="161"/>
      <c r="T20" s="162"/>
      <c r="U20" s="154"/>
      <c r="V20" s="154"/>
      <c r="W20" s="154"/>
      <c r="X20" s="154"/>
      <c r="Y20" s="154"/>
      <c r="Z20" s="154"/>
      <c r="AF20" s="154"/>
    </row>
    <row r="21" spans="2:32">
      <c r="B21" s="136">
        <f t="shared" si="0"/>
        <v>2027</v>
      </c>
      <c r="C21" s="137"/>
      <c r="D21" s="129">
        <f t="shared" si="5"/>
        <v>70.33</v>
      </c>
      <c r="E21" s="129">
        <f t="shared" si="1"/>
        <v>30.25</v>
      </c>
      <c r="F21" s="129">
        <f t="shared" si="5"/>
        <v>0.42</v>
      </c>
      <c r="G21" s="131">
        <f t="shared" si="6"/>
        <v>44.34492448191078</v>
      </c>
      <c r="H21" s="129">
        <f t="shared" si="2"/>
        <v>0</v>
      </c>
      <c r="I21" s="131">
        <f t="shared" si="7"/>
        <v>44.34492448191078</v>
      </c>
      <c r="J21" s="131">
        <f t="shared" si="4"/>
        <v>101</v>
      </c>
      <c r="K21" s="129">
        <f t="shared" si="3"/>
        <v>101</v>
      </c>
      <c r="L21" s="120"/>
      <c r="N21" s="118"/>
      <c r="R21" s="161"/>
      <c r="T21" s="162"/>
      <c r="U21" s="154"/>
      <c r="V21" s="154"/>
      <c r="W21" s="154"/>
      <c r="X21" s="154"/>
      <c r="Y21" s="154"/>
      <c r="Z21" s="154"/>
      <c r="AF21" s="154"/>
    </row>
    <row r="22" spans="2:32">
      <c r="B22" s="136">
        <f t="shared" si="0"/>
        <v>2028</v>
      </c>
      <c r="C22" s="137"/>
      <c r="D22" s="129">
        <f t="shared" si="5"/>
        <v>71.91</v>
      </c>
      <c r="E22" s="129">
        <f t="shared" si="1"/>
        <v>30.93</v>
      </c>
      <c r="F22" s="129">
        <f t="shared" si="5"/>
        <v>0.43</v>
      </c>
      <c r="G22" s="131">
        <f t="shared" si="6"/>
        <v>45.341587636108187</v>
      </c>
      <c r="H22" s="129">
        <f t="shared" si="2"/>
        <v>0</v>
      </c>
      <c r="I22" s="131">
        <f t="shared" si="7"/>
        <v>45.341587636108187</v>
      </c>
      <c r="J22" s="131">
        <f t="shared" si="4"/>
        <v>103.27</v>
      </c>
      <c r="K22" s="129">
        <f t="shared" si="3"/>
        <v>103.27000000000001</v>
      </c>
      <c r="L22" s="120"/>
      <c r="N22" s="118"/>
      <c r="R22" s="161"/>
      <c r="T22" s="162"/>
      <c r="U22" s="154"/>
      <c r="V22" s="154"/>
      <c r="W22" s="154"/>
      <c r="X22" s="154"/>
      <c r="Y22" s="154"/>
      <c r="Z22" s="154"/>
      <c r="AF22" s="154"/>
    </row>
    <row r="23" spans="2:32">
      <c r="B23" s="136">
        <f t="shared" si="0"/>
        <v>2029</v>
      </c>
      <c r="C23" s="137"/>
      <c r="D23" s="129">
        <f t="shared" si="5"/>
        <v>73.55</v>
      </c>
      <c r="E23" s="129">
        <f t="shared" si="1"/>
        <v>31.63</v>
      </c>
      <c r="F23" s="129">
        <f t="shared" si="5"/>
        <v>0.44</v>
      </c>
      <c r="G23" s="131">
        <f t="shared" si="6"/>
        <v>46.373375482964519</v>
      </c>
      <c r="H23" s="129">
        <f t="shared" si="2"/>
        <v>0</v>
      </c>
      <c r="I23" s="131">
        <f t="shared" si="7"/>
        <v>46.373375482964519</v>
      </c>
      <c r="J23" s="131">
        <f t="shared" si="4"/>
        <v>105.62</v>
      </c>
      <c r="K23" s="129">
        <f t="shared" si="3"/>
        <v>105.61999999999999</v>
      </c>
      <c r="L23" s="120"/>
      <c r="N23" s="118"/>
      <c r="R23" s="161"/>
      <c r="T23" s="162"/>
      <c r="U23" s="154"/>
      <c r="V23" s="154"/>
      <c r="W23" s="154"/>
      <c r="X23" s="154"/>
      <c r="Y23" s="154"/>
      <c r="Z23" s="154"/>
      <c r="AF23" s="154"/>
    </row>
    <row r="24" spans="2:32">
      <c r="B24" s="136">
        <f t="shared" si="0"/>
        <v>2030</v>
      </c>
      <c r="C24" s="137"/>
      <c r="D24" s="129">
        <f t="shared" si="5"/>
        <v>75.2</v>
      </c>
      <c r="E24" s="129">
        <f t="shared" si="1"/>
        <v>32.340000000000003</v>
      </c>
      <c r="F24" s="129">
        <f t="shared" si="5"/>
        <v>0.45</v>
      </c>
      <c r="G24" s="131">
        <f t="shared" si="6"/>
        <v>47.413944502985601</v>
      </c>
      <c r="H24" s="129">
        <f t="shared" si="2"/>
        <v>0</v>
      </c>
      <c r="I24" s="131">
        <f t="shared" si="7"/>
        <v>47.413944502985601</v>
      </c>
      <c r="J24" s="131">
        <f t="shared" si="4"/>
        <v>107.99</v>
      </c>
      <c r="K24" s="129">
        <f t="shared" si="3"/>
        <v>107.99000000000001</v>
      </c>
      <c r="L24" s="120"/>
      <c r="N24" s="118"/>
      <c r="R24" s="161"/>
      <c r="T24" s="162"/>
      <c r="U24" s="154"/>
      <c r="V24" s="154"/>
      <c r="W24" s="154"/>
      <c r="X24" s="154"/>
      <c r="Y24" s="154"/>
      <c r="Z24" s="154"/>
      <c r="AF24" s="154"/>
    </row>
    <row r="25" spans="2:32">
      <c r="B25" s="136">
        <f t="shared" si="0"/>
        <v>2031</v>
      </c>
      <c r="C25" s="137"/>
      <c r="D25" s="129">
        <f t="shared" si="5"/>
        <v>76.849999999999994</v>
      </c>
      <c r="E25" s="129">
        <f t="shared" si="1"/>
        <v>33.049999999999997</v>
      </c>
      <c r="F25" s="129">
        <f t="shared" si="5"/>
        <v>0.46</v>
      </c>
      <c r="G25" s="131">
        <f t="shared" si="6"/>
        <v>48.454513523006668</v>
      </c>
      <c r="H25" s="129">
        <f t="shared" si="2"/>
        <v>0</v>
      </c>
      <c r="I25" s="131">
        <f t="shared" si="7"/>
        <v>48.454513523006668</v>
      </c>
      <c r="J25" s="131">
        <f t="shared" si="4"/>
        <v>110.36</v>
      </c>
      <c r="K25" s="129">
        <f t="shared" si="3"/>
        <v>110.35999999999999</v>
      </c>
      <c r="L25" s="120"/>
      <c r="N25" s="118"/>
      <c r="R25" s="161"/>
      <c r="T25" s="162"/>
      <c r="U25" s="154"/>
      <c r="V25" s="154"/>
      <c r="W25" s="154"/>
      <c r="X25" s="154"/>
      <c r="Y25" s="154"/>
      <c r="Z25" s="154"/>
      <c r="AF25" s="154"/>
    </row>
    <row r="26" spans="2:32">
      <c r="B26" s="136">
        <f t="shared" si="0"/>
        <v>2032</v>
      </c>
      <c r="C26" s="137"/>
      <c r="D26" s="129">
        <f t="shared" si="5"/>
        <v>78.510000000000005</v>
      </c>
      <c r="E26" s="129">
        <f t="shared" si="1"/>
        <v>33.76</v>
      </c>
      <c r="F26" s="129">
        <f t="shared" si="5"/>
        <v>0.47</v>
      </c>
      <c r="G26" s="131">
        <f t="shared" si="6"/>
        <v>49.499473129610116</v>
      </c>
      <c r="H26" s="129">
        <f t="shared" si="2"/>
        <v>0</v>
      </c>
      <c r="I26" s="131">
        <f t="shared" si="7"/>
        <v>49.499473129610116</v>
      </c>
      <c r="J26" s="131">
        <f t="shared" si="4"/>
        <v>112.74</v>
      </c>
      <c r="K26" s="129">
        <f t="shared" si="3"/>
        <v>112.74000000000001</v>
      </c>
      <c r="L26" s="120"/>
      <c r="N26" s="118"/>
      <c r="R26" s="161"/>
      <c r="T26" s="162"/>
      <c r="U26" s="154"/>
      <c r="V26" s="154"/>
      <c r="W26" s="154"/>
      <c r="X26" s="154"/>
      <c r="Y26" s="154"/>
      <c r="Z26" s="154"/>
      <c r="AF26" s="154"/>
    </row>
    <row r="27" spans="2:32">
      <c r="B27" s="136">
        <f t="shared" si="0"/>
        <v>2033</v>
      </c>
      <c r="C27" s="137"/>
      <c r="D27" s="129">
        <f t="shared" si="5"/>
        <v>80.19</v>
      </c>
      <c r="E27" s="129">
        <f t="shared" si="1"/>
        <v>34.479999999999997</v>
      </c>
      <c r="F27" s="129">
        <f t="shared" si="5"/>
        <v>0.48</v>
      </c>
      <c r="G27" s="131">
        <f t="shared" si="6"/>
        <v>50.557604495960653</v>
      </c>
      <c r="H27" s="129">
        <f t="shared" si="2"/>
        <v>0</v>
      </c>
      <c r="I27" s="131">
        <f t="shared" si="7"/>
        <v>50.557604495960653</v>
      </c>
      <c r="J27" s="131">
        <f t="shared" si="4"/>
        <v>115.15</v>
      </c>
      <c r="K27" s="129">
        <f t="shared" si="3"/>
        <v>115.14999999999999</v>
      </c>
      <c r="L27" s="120"/>
      <c r="N27" s="118"/>
      <c r="R27" s="161"/>
      <c r="T27" s="162"/>
      <c r="U27" s="154"/>
      <c r="V27" s="154"/>
      <c r="W27" s="154"/>
      <c r="X27" s="154"/>
      <c r="Y27" s="154"/>
      <c r="Z27" s="154"/>
      <c r="AF27" s="154"/>
    </row>
    <row r="28" spans="2:32">
      <c r="B28" s="136">
        <f t="shared" si="0"/>
        <v>2034</v>
      </c>
      <c r="C28" s="137"/>
      <c r="D28" s="129">
        <f t="shared" si="5"/>
        <v>81.87</v>
      </c>
      <c r="E28" s="129">
        <f t="shared" si="1"/>
        <v>35.200000000000003</v>
      </c>
      <c r="F28" s="129">
        <f t="shared" si="5"/>
        <v>0.49</v>
      </c>
      <c r="G28" s="131">
        <f t="shared" si="6"/>
        <v>51.615735862311205</v>
      </c>
      <c r="H28" s="129">
        <f t="shared" si="2"/>
        <v>0</v>
      </c>
      <c r="I28" s="131">
        <f t="shared" si="7"/>
        <v>51.615735862311205</v>
      </c>
      <c r="J28" s="131">
        <f t="shared" si="4"/>
        <v>117.56</v>
      </c>
      <c r="K28" s="129">
        <f t="shared" si="3"/>
        <v>117.56</v>
      </c>
      <c r="L28" s="120"/>
      <c r="N28" s="118"/>
      <c r="R28" s="161"/>
      <c r="T28" s="162"/>
      <c r="U28" s="154"/>
      <c r="V28" s="154"/>
      <c r="W28" s="154"/>
      <c r="X28" s="154"/>
      <c r="Y28" s="154"/>
      <c r="Z28" s="154"/>
      <c r="AF28" s="154"/>
    </row>
    <row r="29" spans="2:32">
      <c r="B29" s="136">
        <f t="shared" si="0"/>
        <v>2035</v>
      </c>
      <c r="C29" s="137"/>
      <c r="D29" s="129">
        <f t="shared" si="5"/>
        <v>83.59</v>
      </c>
      <c r="E29" s="129">
        <f t="shared" si="1"/>
        <v>35.94</v>
      </c>
      <c r="F29" s="129">
        <f t="shared" si="5"/>
        <v>0.5</v>
      </c>
      <c r="G29" s="131">
        <f t="shared" si="6"/>
        <v>52.700210748155953</v>
      </c>
      <c r="H29" s="129">
        <f t="shared" si="2"/>
        <v>0</v>
      </c>
      <c r="I29" s="131">
        <f t="shared" si="7"/>
        <v>52.700210748155953</v>
      </c>
      <c r="J29" s="131">
        <f t="shared" si="4"/>
        <v>120.03</v>
      </c>
      <c r="K29" s="129">
        <f t="shared" si="3"/>
        <v>120.03</v>
      </c>
      <c r="L29" s="120"/>
      <c r="N29" s="118"/>
      <c r="R29" s="161"/>
      <c r="T29" s="162"/>
      <c r="U29" s="154"/>
      <c r="V29" s="154"/>
      <c r="W29" s="154"/>
      <c r="X29" s="154"/>
      <c r="Y29" s="154"/>
      <c r="Z29" s="154"/>
      <c r="AF29" s="154"/>
    </row>
    <row r="30" spans="2:32">
      <c r="B30" s="136">
        <f t="shared" si="0"/>
        <v>2036</v>
      </c>
      <c r="C30" s="137"/>
      <c r="D30" s="129">
        <f t="shared" si="5"/>
        <v>85.33</v>
      </c>
      <c r="E30" s="129">
        <f t="shared" si="1"/>
        <v>36.69</v>
      </c>
      <c r="F30" s="129">
        <f t="shared" si="5"/>
        <v>0.51</v>
      </c>
      <c r="G30" s="131">
        <f t="shared" si="6"/>
        <v>53.797857393747805</v>
      </c>
      <c r="H30" s="129">
        <f t="shared" si="2"/>
        <v>0</v>
      </c>
      <c r="I30" s="131">
        <f t="shared" si="7"/>
        <v>53.797857393747805</v>
      </c>
      <c r="J30" s="131">
        <f t="shared" si="4"/>
        <v>122.53</v>
      </c>
      <c r="K30" s="129">
        <f t="shared" si="3"/>
        <v>122.53</v>
      </c>
      <c r="L30" s="120"/>
      <c r="N30" s="118"/>
      <c r="R30" s="161"/>
      <c r="T30" s="162"/>
      <c r="U30" s="154"/>
      <c r="V30" s="154"/>
      <c r="W30" s="154"/>
      <c r="X30" s="154"/>
      <c r="Y30" s="154"/>
      <c r="Z30" s="154"/>
      <c r="AF30" s="154"/>
    </row>
    <row r="31" spans="2:32">
      <c r="B31" s="136">
        <f t="shared" si="0"/>
        <v>2037</v>
      </c>
      <c r="C31" s="137"/>
      <c r="D31" s="129">
        <f t="shared" si="5"/>
        <v>87.11</v>
      </c>
      <c r="E31" s="129">
        <f t="shared" si="1"/>
        <v>37.46</v>
      </c>
      <c r="F31" s="129">
        <f t="shared" si="5"/>
        <v>0.52</v>
      </c>
      <c r="G31" s="131">
        <f t="shared" si="6"/>
        <v>54.921847558833853</v>
      </c>
      <c r="H31" s="129">
        <f t="shared" si="2"/>
        <v>0</v>
      </c>
      <c r="I31" s="131">
        <f t="shared" si="7"/>
        <v>54.921847558833853</v>
      </c>
      <c r="J31" s="131">
        <f t="shared" si="4"/>
        <v>125.09</v>
      </c>
      <c r="K31" s="129">
        <f t="shared" si="3"/>
        <v>125.08999999999999</v>
      </c>
      <c r="L31" s="120"/>
      <c r="N31" s="118"/>
      <c r="R31" s="161"/>
      <c r="T31" s="162"/>
      <c r="U31" s="154"/>
      <c r="V31" s="154"/>
      <c r="W31" s="154"/>
      <c r="X31" s="154"/>
      <c r="Y31" s="154"/>
      <c r="Z31" s="154"/>
      <c r="AF31" s="154"/>
    </row>
    <row r="32" spans="2:32">
      <c r="B32" s="136">
        <f t="shared" si="0"/>
        <v>2038</v>
      </c>
      <c r="C32" s="137"/>
      <c r="D32" s="129">
        <f t="shared" si="5"/>
        <v>88.93</v>
      </c>
      <c r="E32" s="129">
        <f t="shared" si="1"/>
        <v>38.24</v>
      </c>
      <c r="F32" s="129">
        <f t="shared" si="5"/>
        <v>0.53</v>
      </c>
      <c r="G32" s="131">
        <f t="shared" si="6"/>
        <v>56.067790656831761</v>
      </c>
      <c r="H32" s="129">
        <f t="shared" si="2"/>
        <v>0</v>
      </c>
      <c r="I32" s="131">
        <f t="shared" si="7"/>
        <v>56.067790656831761</v>
      </c>
      <c r="J32" s="131">
        <f t="shared" si="4"/>
        <v>127.7</v>
      </c>
      <c r="K32" s="129">
        <f t="shared" si="3"/>
        <v>127.70000000000002</v>
      </c>
      <c r="L32" s="120"/>
      <c r="N32" s="118"/>
      <c r="R32" s="161"/>
      <c r="T32" s="162"/>
      <c r="U32" s="154"/>
      <c r="V32" s="154"/>
      <c r="W32" s="154"/>
      <c r="X32" s="154"/>
      <c r="Y32" s="154"/>
      <c r="Z32" s="154"/>
      <c r="AF32" s="154"/>
    </row>
    <row r="33" spans="2:32">
      <c r="B33" s="136">
        <f t="shared" si="0"/>
        <v>2039</v>
      </c>
      <c r="C33" s="137"/>
      <c r="D33" s="129">
        <f t="shared" si="5"/>
        <v>90.78</v>
      </c>
      <c r="E33" s="129">
        <f t="shared" si="1"/>
        <v>39.03</v>
      </c>
      <c r="F33" s="129">
        <f t="shared" si="5"/>
        <v>0.54</v>
      </c>
      <c r="G33" s="131">
        <f t="shared" si="6"/>
        <v>57.23129610115911</v>
      </c>
      <c r="H33" s="129">
        <f t="shared" si="2"/>
        <v>0</v>
      </c>
      <c r="I33" s="131">
        <f t="shared" si="7"/>
        <v>57.23129610115911</v>
      </c>
      <c r="J33" s="131">
        <f t="shared" ref="J33:J37" si="8">ROUND(I33*$C$63*8.76,2)</f>
        <v>130.35</v>
      </c>
      <c r="K33" s="129">
        <f t="shared" si="3"/>
        <v>130.35</v>
      </c>
      <c r="L33" s="120"/>
      <c r="N33" s="118"/>
      <c r="R33" s="161"/>
      <c r="T33" s="162"/>
      <c r="U33" s="154"/>
      <c r="V33" s="154"/>
      <c r="W33" s="154"/>
      <c r="X33" s="154"/>
      <c r="Y33" s="154"/>
      <c r="Z33" s="154"/>
      <c r="AF33" s="154"/>
    </row>
    <row r="34" spans="2:32">
      <c r="B34" s="136">
        <f t="shared" si="0"/>
        <v>2040</v>
      </c>
      <c r="C34" s="137"/>
      <c r="D34" s="129">
        <f t="shared" si="5"/>
        <v>92.66</v>
      </c>
      <c r="E34" s="129">
        <f t="shared" si="1"/>
        <v>39.840000000000003</v>
      </c>
      <c r="F34" s="129">
        <f t="shared" si="5"/>
        <v>0.55000000000000004</v>
      </c>
      <c r="G34" s="131">
        <f t="shared" si="6"/>
        <v>58.416754478398317</v>
      </c>
      <c r="H34" s="129">
        <f t="shared" si="2"/>
        <v>0</v>
      </c>
      <c r="I34" s="131">
        <f t="shared" si="7"/>
        <v>58.416754478398317</v>
      </c>
      <c r="J34" s="131">
        <f t="shared" si="8"/>
        <v>133.05000000000001</v>
      </c>
      <c r="K34" s="129">
        <f t="shared" si="3"/>
        <v>133.05000000000001</v>
      </c>
      <c r="L34" s="120"/>
      <c r="N34" s="118"/>
      <c r="R34" s="161"/>
      <c r="T34" s="162"/>
      <c r="U34" s="154"/>
      <c r="V34" s="154"/>
      <c r="W34" s="154"/>
      <c r="X34" s="154"/>
      <c r="Y34" s="154"/>
      <c r="Z34" s="154"/>
      <c r="AF34" s="154"/>
    </row>
    <row r="35" spans="2:32">
      <c r="B35" s="136">
        <f t="shared" si="0"/>
        <v>2041</v>
      </c>
      <c r="C35" s="137"/>
      <c r="D35" s="129">
        <f t="shared" si="5"/>
        <v>94.59</v>
      </c>
      <c r="E35" s="129">
        <f t="shared" si="1"/>
        <v>40.67</v>
      </c>
      <c r="F35" s="129">
        <f t="shared" si="5"/>
        <v>0.56000000000000005</v>
      </c>
      <c r="G35" s="131">
        <f t="shared" si="6"/>
        <v>59.632946961714083</v>
      </c>
      <c r="H35" s="129">
        <f t="shared" si="2"/>
        <v>0</v>
      </c>
      <c r="I35" s="131">
        <f t="shared" si="7"/>
        <v>59.632946961714083</v>
      </c>
      <c r="J35" s="131">
        <f t="shared" si="8"/>
        <v>135.82</v>
      </c>
      <c r="K35" s="129">
        <f t="shared" si="3"/>
        <v>135.82</v>
      </c>
      <c r="L35" s="120"/>
      <c r="N35" s="118"/>
      <c r="R35" s="161"/>
      <c r="T35" s="162"/>
      <c r="U35" s="154"/>
      <c r="V35" s="154"/>
      <c r="W35" s="154"/>
      <c r="X35" s="154"/>
      <c r="Y35" s="154"/>
      <c r="Z35" s="154"/>
      <c r="AF35" s="154"/>
    </row>
    <row r="36" spans="2:32">
      <c r="B36" s="136">
        <f t="shared" si="0"/>
        <v>2042</v>
      </c>
      <c r="C36" s="137"/>
      <c r="D36" s="129">
        <f t="shared" si="5"/>
        <v>96.58</v>
      </c>
      <c r="E36" s="129">
        <f t="shared" si="1"/>
        <v>41.53</v>
      </c>
      <c r="F36" s="129">
        <f t="shared" si="5"/>
        <v>0.56999999999999995</v>
      </c>
      <c r="G36" s="131">
        <f t="shared" si="6"/>
        <v>60.888654724271163</v>
      </c>
      <c r="H36" s="129">
        <f t="shared" si="2"/>
        <v>0</v>
      </c>
      <c r="I36" s="131">
        <f t="shared" si="7"/>
        <v>60.888654724271163</v>
      </c>
      <c r="J36" s="131">
        <f t="shared" si="8"/>
        <v>138.68</v>
      </c>
      <c r="K36" s="129">
        <f t="shared" si="3"/>
        <v>138.68</v>
      </c>
      <c r="L36" s="120"/>
      <c r="N36" s="118"/>
      <c r="R36" s="161"/>
      <c r="T36" s="162"/>
      <c r="U36" s="154"/>
      <c r="V36" s="154"/>
      <c r="W36" s="154"/>
      <c r="X36" s="154"/>
      <c r="Y36" s="154"/>
      <c r="Z36" s="154"/>
      <c r="AF36" s="154"/>
    </row>
    <row r="37" spans="2:32">
      <c r="B37" s="136">
        <f t="shared" si="0"/>
        <v>2043</v>
      </c>
      <c r="C37" s="137"/>
      <c r="D37" s="129">
        <f t="shared" si="5"/>
        <v>98.63</v>
      </c>
      <c r="E37" s="129">
        <f t="shared" si="1"/>
        <v>42.41</v>
      </c>
      <c r="F37" s="129">
        <f t="shared" si="5"/>
        <v>0.57999999999999996</v>
      </c>
      <c r="G37" s="131">
        <f t="shared" si="6"/>
        <v>62.179487179487182</v>
      </c>
      <c r="H37" s="129">
        <f t="shared" si="2"/>
        <v>0</v>
      </c>
      <c r="I37" s="131">
        <f t="shared" si="7"/>
        <v>62.179487179487182</v>
      </c>
      <c r="J37" s="131">
        <f t="shared" si="8"/>
        <v>141.62</v>
      </c>
      <c r="K37" s="129">
        <f t="shared" si="3"/>
        <v>141.62</v>
      </c>
      <c r="L37" s="120"/>
      <c r="N37" s="118"/>
      <c r="R37" s="161"/>
      <c r="T37" s="162"/>
      <c r="U37" s="154"/>
      <c r="V37" s="154"/>
      <c r="W37" s="154"/>
      <c r="X37" s="154"/>
      <c r="Y37" s="154"/>
      <c r="Z37" s="154"/>
      <c r="AF37" s="154"/>
    </row>
    <row r="38" spans="2:32">
      <c r="B38" s="136"/>
      <c r="C38" s="137"/>
      <c r="D38" s="129"/>
      <c r="E38" s="129"/>
      <c r="F38" s="129"/>
      <c r="G38" s="131"/>
      <c r="H38" s="129"/>
      <c r="I38" s="131"/>
      <c r="J38" s="131"/>
      <c r="K38" s="129"/>
      <c r="L38" s="120"/>
      <c r="N38" s="118"/>
      <c r="R38" s="161"/>
      <c r="T38" s="162"/>
      <c r="U38" s="154"/>
      <c r="V38" s="154"/>
      <c r="W38" s="154"/>
      <c r="X38" s="154"/>
      <c r="Y38" s="154"/>
      <c r="Z38" s="154"/>
      <c r="AF38" s="154"/>
    </row>
    <row r="39" spans="2:32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</row>
    <row r="40" spans="2:32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</row>
    <row r="41" spans="2:32">
      <c r="R41" s="120"/>
    </row>
    <row r="42" spans="2:32" ht="14.25">
      <c r="B42" s="139" t="s">
        <v>27</v>
      </c>
      <c r="C42" s="140"/>
      <c r="D42" s="140"/>
      <c r="E42" s="140"/>
      <c r="F42" s="140"/>
      <c r="G42" s="140"/>
      <c r="H42" s="140"/>
      <c r="R42" s="120"/>
    </row>
    <row r="44" spans="2:32">
      <c r="B44" s="118" t="s">
        <v>65</v>
      </c>
      <c r="C44" s="141" t="s">
        <v>66</v>
      </c>
      <c r="D44" s="142" t="s">
        <v>105</v>
      </c>
    </row>
    <row r="45" spans="2:32">
      <c r="C45" s="141" t="str">
        <f>C7</f>
        <v>(a)</v>
      </c>
      <c r="D45" s="118" t="s">
        <v>67</v>
      </c>
    </row>
    <row r="46" spans="2:32">
      <c r="C46" s="141" t="str">
        <f>D7</f>
        <v>(b)</v>
      </c>
      <c r="D46" s="131" t="str">
        <f>"= "&amp;C7&amp;" x "&amp;C62</f>
        <v>= (a) x 0.05085</v>
      </c>
    </row>
    <row r="47" spans="2:32">
      <c r="C47" s="141" t="str">
        <f>G7</f>
        <v>(e)</v>
      </c>
      <c r="D47" s="131" t="str">
        <f>"= ("&amp;$D$7&amp;" + "&amp;$E$7&amp;") /  (8.76 x "&amp;TEXT(C63,"0.0%")&amp;")"</f>
        <v>= ((b) + (c)) /  (8.76 x 26.0%)</v>
      </c>
    </row>
    <row r="48" spans="2:32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Yakima Solar with Storage - 26%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106</v>
      </c>
      <c r="Q54" s="118">
        <v>2024</v>
      </c>
    </row>
    <row r="55" spans="2:25">
      <c r="B55" s="85" t="s">
        <v>104</v>
      </c>
      <c r="C55" s="393">
        <v>1696.7441589156169</v>
      </c>
      <c r="D55" s="118" t="s">
        <v>67</v>
      </c>
      <c r="O55" s="402">
        <v>395.2</v>
      </c>
      <c r="P55" s="118" t="s">
        <v>34</v>
      </c>
      <c r="Q55" s="118" t="s">
        <v>154</v>
      </c>
      <c r="R55" s="118" t="s">
        <v>112</v>
      </c>
      <c r="T55" s="118" t="str">
        <f>$Q$55&amp;"Proposed Station Capital Costs"</f>
        <v>L1.YK1_PVSProposed Station Capital Costs</v>
      </c>
    </row>
    <row r="56" spans="2:25">
      <c r="B56" s="85" t="s">
        <v>104</v>
      </c>
      <c r="C56" s="149">
        <v>24.570618817436728</v>
      </c>
      <c r="D56" s="118" t="s">
        <v>70</v>
      </c>
      <c r="O56" s="402"/>
      <c r="P56" s="118" t="s">
        <v>34</v>
      </c>
      <c r="R56" s="120"/>
      <c r="T56" s="118" t="str">
        <f>$Q$55&amp;"Proposed Station Fixed Costs"</f>
        <v>L1.YK1_PVSProposed Station Fixed Costs</v>
      </c>
    </row>
    <row r="57" spans="2:25" ht="24" customHeight="1">
      <c r="B57" s="85"/>
      <c r="C57" s="154"/>
      <c r="D57" s="118" t="s">
        <v>109</v>
      </c>
      <c r="Q57" s="337" t="str">
        <f>Q55&amp;Q54</f>
        <v>L1.YK1_PVS2024</v>
      </c>
      <c r="T57" s="118" t="str">
        <f>$Q$55&amp;"Proposed Station Variable O&amp;M Costs"</f>
        <v>L1.YK1_PVSProposed Station Variable O&amp;M Costs</v>
      </c>
    </row>
    <row r="58" spans="2:25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 t="s">
        <v>260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58" t="str">
        <f>LEFT(RIGHT(INDEX('Table 3 TransCost'!$39:$39,1,MATCH(F60,'Table 3 TransCost'!$4:$4,0)),6),5)</f>
        <v>2024$</v>
      </c>
      <c r="C60" s="154">
        <f>INDEX('Table 3 TransCost'!$39:$39,1,MATCH(F60,'Table 3 TransCost'!$4:$4,0)+2)</f>
        <v>0.39132049215213044</v>
      </c>
      <c r="D60" s="118" t="s">
        <v>222</v>
      </c>
      <c r="F60" s="118" t="s">
        <v>187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5">
      <c r="C62" s="395">
        <v>5.0849999999999999E-2</v>
      </c>
      <c r="D62" s="118" t="s">
        <v>38</v>
      </c>
      <c r="E62" s="118" t="s">
        <v>113</v>
      </c>
      <c r="K62" s="288"/>
      <c r="L62" s="157"/>
      <c r="M62" s="157"/>
      <c r="O62" s="158"/>
    </row>
    <row r="63" spans="2:25">
      <c r="C63" s="396">
        <v>0.26</v>
      </c>
      <c r="D63" s="118" t="s">
        <v>39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9">C66+1</f>
        <v>2018</v>
      </c>
      <c r="D67" s="41">
        <v>2.3994563767884003E-2</v>
      </c>
      <c r="E67" s="85"/>
      <c r="F67" s="87">
        <f t="shared" ref="F67:F74" si="10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9"/>
        <v>2019</v>
      </c>
      <c r="D68" s="41">
        <v>1.9651346350279875E-2</v>
      </c>
      <c r="E68" s="85"/>
      <c r="F68" s="87">
        <f t="shared" si="10"/>
        <v>2028</v>
      </c>
      <c r="G68" s="41">
        <v>2.2447976887115972E-2</v>
      </c>
      <c r="H68" s="41"/>
      <c r="I68" s="87">
        <f t="shared" ref="I68:I74" si="11">I67+1</f>
        <v>2037</v>
      </c>
      <c r="J68" s="41">
        <v>2.0854082421584375E-2</v>
      </c>
    </row>
    <row r="69" spans="3:14">
      <c r="C69" s="87">
        <f t="shared" si="9"/>
        <v>2020</v>
      </c>
      <c r="D69" s="41">
        <v>2.6147280919121885E-2</v>
      </c>
      <c r="E69" s="85"/>
      <c r="F69" s="87">
        <f t="shared" si="10"/>
        <v>2029</v>
      </c>
      <c r="G69" s="41">
        <v>2.2764957830614385E-2</v>
      </c>
      <c r="H69" s="41"/>
      <c r="I69" s="87">
        <f t="shared" si="11"/>
        <v>2038</v>
      </c>
      <c r="J69" s="41">
        <v>2.0886076981620372E-2</v>
      </c>
    </row>
    <row r="70" spans="3:14">
      <c r="C70" s="87">
        <f t="shared" si="9"/>
        <v>2021</v>
      </c>
      <c r="D70" s="41">
        <v>2.5435997430165225E-2</v>
      </c>
      <c r="E70" s="85"/>
      <c r="F70" s="87">
        <f t="shared" si="10"/>
        <v>2030</v>
      </c>
      <c r="G70" s="41">
        <v>2.2409251338579406E-2</v>
      </c>
      <c r="H70" s="41"/>
      <c r="I70" s="87">
        <f t="shared" si="11"/>
        <v>2039</v>
      </c>
      <c r="J70" s="41">
        <v>2.0755199547329406E-2</v>
      </c>
    </row>
    <row r="71" spans="3:14">
      <c r="C71" s="87">
        <f t="shared" si="9"/>
        <v>2022</v>
      </c>
      <c r="D71" s="41">
        <v>2.5246661572301266E-2</v>
      </c>
      <c r="E71" s="85"/>
      <c r="F71" s="87">
        <f t="shared" si="10"/>
        <v>2031</v>
      </c>
      <c r="G71" s="41">
        <v>2.1876862460861402E-2</v>
      </c>
      <c r="H71" s="41"/>
      <c r="I71" s="87">
        <f t="shared" si="11"/>
        <v>2040</v>
      </c>
      <c r="J71" s="41">
        <v>2.0747934127706591E-2</v>
      </c>
    </row>
    <row r="72" spans="3:14" s="120" customFormat="1">
      <c r="C72" s="87">
        <f t="shared" si="9"/>
        <v>2023</v>
      </c>
      <c r="D72" s="41">
        <v>2.4577195966118071E-2</v>
      </c>
      <c r="E72" s="86"/>
      <c r="F72" s="87">
        <f t="shared" si="10"/>
        <v>2032</v>
      </c>
      <c r="G72" s="41">
        <v>2.1570874084378078E-2</v>
      </c>
      <c r="H72" s="41"/>
      <c r="I72" s="87">
        <f t="shared" si="11"/>
        <v>2041</v>
      </c>
      <c r="J72" s="41">
        <v>2.0871781890604124E-2</v>
      </c>
      <c r="N72" s="165"/>
    </row>
    <row r="73" spans="3:14" s="120" customFormat="1">
      <c r="C73" s="87">
        <f t="shared" si="9"/>
        <v>2024</v>
      </c>
      <c r="D73" s="41">
        <v>2.3256370085936506E-2</v>
      </c>
      <c r="E73" s="86"/>
      <c r="F73" s="87">
        <f t="shared" si="10"/>
        <v>2033</v>
      </c>
      <c r="G73" s="41">
        <v>2.144511122277093E-2</v>
      </c>
      <c r="H73" s="41"/>
      <c r="I73" s="87">
        <f t="shared" si="11"/>
        <v>2042</v>
      </c>
      <c r="J73" s="41">
        <v>2.1078469389761434E-2</v>
      </c>
      <c r="N73" s="165"/>
    </row>
    <row r="74" spans="3:14" s="120" customFormat="1">
      <c r="C74" s="87">
        <f t="shared" si="9"/>
        <v>2025</v>
      </c>
      <c r="D74" s="41">
        <v>2.2304783799234951E-2</v>
      </c>
      <c r="E74" s="86"/>
      <c r="F74" s="87">
        <f t="shared" si="10"/>
        <v>2034</v>
      </c>
      <c r="G74" s="41">
        <v>2.1010014778543251E-2</v>
      </c>
      <c r="H74" s="41"/>
      <c r="I74" s="87">
        <f t="shared" si="11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C93"/>
  <sheetViews>
    <sheetView view="pageBreakPreview" topLeftCell="A2" zoomScale="60" zoomScaleNormal="100" workbookViewId="0">
      <selection activeCell="A9" sqref="A9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8"/>
    <col min="30" max="16384" width="9.33203125" style="85"/>
  </cols>
  <sheetData>
    <row r="1" spans="2:27" ht="15.75" hidden="1">
      <c r="B1" s="1" t="s">
        <v>37</v>
      </c>
      <c r="C1" s="282"/>
      <c r="D1" s="282"/>
      <c r="E1" s="282"/>
      <c r="F1" s="282"/>
      <c r="G1" s="282"/>
      <c r="H1" s="282"/>
      <c r="I1" s="282"/>
      <c r="J1" s="282"/>
      <c r="K1" s="282"/>
    </row>
    <row r="2" spans="2:27" ht="15.75">
      <c r="B2" s="1"/>
      <c r="C2" s="282"/>
      <c r="D2" s="282"/>
      <c r="E2" s="282"/>
      <c r="F2" s="282"/>
      <c r="G2" s="282"/>
      <c r="H2" s="282"/>
      <c r="I2" s="282"/>
      <c r="J2" s="282"/>
      <c r="K2" s="282"/>
    </row>
    <row r="3" spans="2:27" ht="15.75">
      <c r="B3" s="1" t="s">
        <v>58</v>
      </c>
      <c r="C3" s="282"/>
      <c r="D3" s="282"/>
      <c r="E3" s="282"/>
      <c r="F3" s="282"/>
      <c r="G3" s="282"/>
      <c r="H3" s="282"/>
      <c r="I3" s="282"/>
      <c r="J3" s="282"/>
      <c r="K3" s="282"/>
      <c r="U3" s="118"/>
      <c r="V3" s="118"/>
      <c r="W3" s="118"/>
      <c r="X3" s="118"/>
      <c r="Y3" s="118"/>
      <c r="Z3" s="118"/>
      <c r="AA3" s="118"/>
    </row>
    <row r="4" spans="2:27" ht="15.75">
      <c r="B4" s="1" t="s">
        <v>142</v>
      </c>
      <c r="C4" s="282"/>
      <c r="D4" s="282"/>
      <c r="E4" s="282"/>
      <c r="F4" s="282"/>
      <c r="G4" s="282"/>
      <c r="H4" s="282"/>
      <c r="I4" s="282"/>
      <c r="J4" s="282"/>
      <c r="K4" s="282"/>
      <c r="U4" s="118"/>
      <c r="V4" s="118"/>
      <c r="W4" s="118"/>
      <c r="X4" s="118"/>
      <c r="Y4" s="118"/>
      <c r="Z4" s="118"/>
      <c r="AA4" s="118"/>
    </row>
    <row r="5" spans="2:27" ht="15.75">
      <c r="B5" s="1" t="str">
        <f>C52</f>
        <v>Naughton - 185 MW - SCCT Frame "F" x1 - East Side Resource (6,050')</v>
      </c>
      <c r="C5" s="282"/>
      <c r="D5" s="282"/>
      <c r="E5" s="282"/>
      <c r="F5" s="282"/>
      <c r="G5" s="282"/>
      <c r="H5" s="282"/>
      <c r="I5" s="282"/>
      <c r="J5" s="282"/>
      <c r="K5" s="282"/>
    </row>
    <row r="6" spans="2:27" ht="15.75">
      <c r="B6" s="1"/>
      <c r="C6" s="282"/>
      <c r="D6" s="282"/>
      <c r="E6" s="282"/>
      <c r="F6" s="282"/>
      <c r="G6" s="282"/>
      <c r="H6" s="282"/>
      <c r="I6" s="282"/>
      <c r="K6" s="283"/>
    </row>
    <row r="7" spans="2:27">
      <c r="B7" s="284"/>
      <c r="C7" s="284"/>
      <c r="D7" s="284"/>
      <c r="E7" s="284"/>
      <c r="F7" s="284"/>
      <c r="G7" s="284"/>
      <c r="H7" s="284"/>
      <c r="I7" s="282"/>
      <c r="J7" s="86"/>
      <c r="K7" s="86"/>
      <c r="L7" s="86"/>
      <c r="M7" s="86"/>
      <c r="N7" s="86"/>
      <c r="U7" s="118"/>
      <c r="V7" s="118"/>
      <c r="W7" s="118"/>
      <c r="X7" s="118"/>
      <c r="Y7" s="118"/>
      <c r="Z7" s="118"/>
      <c r="AA7" s="118"/>
    </row>
    <row r="8" spans="2:27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117</v>
      </c>
      <c r="H8" s="17" t="s">
        <v>118</v>
      </c>
      <c r="I8" s="285" t="s">
        <v>23</v>
      </c>
      <c r="J8" s="285" t="s">
        <v>119</v>
      </c>
      <c r="K8" s="17" t="s">
        <v>54</v>
      </c>
      <c r="L8" s="122" t="s">
        <v>228</v>
      </c>
      <c r="U8" s="120"/>
      <c r="V8" s="120"/>
      <c r="W8" s="120"/>
      <c r="X8" s="120"/>
      <c r="Y8" s="120"/>
      <c r="Z8" s="118"/>
      <c r="AA8" s="118"/>
    </row>
    <row r="9" spans="2:27" ht="48" customHeight="1">
      <c r="B9" s="286"/>
      <c r="C9" s="18" t="s">
        <v>8</v>
      </c>
      <c r="D9" s="19" t="s">
        <v>9</v>
      </c>
      <c r="E9" s="19" t="s">
        <v>9</v>
      </c>
      <c r="F9" s="18" t="s">
        <v>33</v>
      </c>
      <c r="G9" s="19" t="s">
        <v>9</v>
      </c>
      <c r="H9" s="19" t="s">
        <v>9</v>
      </c>
      <c r="I9" s="19" t="s">
        <v>120</v>
      </c>
      <c r="J9" s="18" t="s">
        <v>33</v>
      </c>
      <c r="K9" s="18" t="s">
        <v>33</v>
      </c>
      <c r="L9" s="125" t="s">
        <v>9</v>
      </c>
      <c r="U9" s="120"/>
      <c r="V9" s="120"/>
      <c r="W9" s="120"/>
      <c r="X9" s="120"/>
      <c r="Y9" s="120"/>
      <c r="Z9" s="215"/>
      <c r="AA9" s="215"/>
    </row>
    <row r="10" spans="2:27">
      <c r="C10" s="287" t="s">
        <v>1</v>
      </c>
      <c r="D10" s="287" t="s">
        <v>2</v>
      </c>
      <c r="E10" s="287" t="s">
        <v>3</v>
      </c>
      <c r="F10" s="287" t="s">
        <v>4</v>
      </c>
      <c r="G10" s="287" t="s">
        <v>5</v>
      </c>
      <c r="H10" s="287" t="s">
        <v>7</v>
      </c>
      <c r="I10" s="287" t="s">
        <v>24</v>
      </c>
      <c r="J10" s="287" t="s">
        <v>25</v>
      </c>
      <c r="K10" s="287" t="s">
        <v>26</v>
      </c>
      <c r="L10" s="126" t="s">
        <v>26</v>
      </c>
      <c r="U10" s="120"/>
      <c r="V10" s="120"/>
      <c r="W10" s="120"/>
      <c r="X10" s="120"/>
      <c r="Y10" s="120"/>
      <c r="Z10" s="118"/>
      <c r="AA10" s="118"/>
    </row>
    <row r="11" spans="2:27" ht="6" customHeight="1">
      <c r="L11" s="120"/>
      <c r="U11" s="120"/>
      <c r="V11" s="120"/>
      <c r="W11" s="120"/>
      <c r="X11" s="120"/>
      <c r="Y11" s="120"/>
      <c r="Z11" s="118"/>
      <c r="AA11" s="118"/>
    </row>
    <row r="12" spans="2:27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4"/>
      <c r="J12" s="284"/>
      <c r="K12" s="284"/>
      <c r="L12" s="120"/>
      <c r="U12" s="120"/>
      <c r="V12" s="120"/>
      <c r="W12" s="120"/>
      <c r="X12" s="120"/>
      <c r="Y12" s="120"/>
      <c r="Z12" s="118"/>
      <c r="AA12" s="118"/>
    </row>
    <row r="13" spans="2:27" ht="18.75" customHeight="1">
      <c r="B13" s="288"/>
      <c r="C13" s="289"/>
      <c r="D13" s="290"/>
      <c r="E13" s="291"/>
      <c r="F13" s="291"/>
      <c r="G13" s="292"/>
      <c r="H13" s="292"/>
      <c r="I13" s="292"/>
      <c r="J13" s="292"/>
      <c r="K13" s="292"/>
      <c r="L13" s="129"/>
      <c r="U13" s="162"/>
      <c r="V13" s="154"/>
      <c r="W13" s="154"/>
      <c r="X13" s="154"/>
      <c r="Y13" s="118"/>
      <c r="Z13" s="154"/>
      <c r="AA13" s="154"/>
    </row>
    <row r="14" spans="2:27">
      <c r="B14" s="288">
        <v>2016</v>
      </c>
      <c r="C14" s="289"/>
      <c r="D14" s="290"/>
      <c r="E14" s="291"/>
      <c r="F14" s="291"/>
      <c r="G14" s="292"/>
      <c r="H14" s="292"/>
      <c r="I14" s="292"/>
      <c r="J14" s="292"/>
      <c r="K14" s="292"/>
      <c r="L14" s="129"/>
      <c r="U14" s="118"/>
      <c r="V14" s="118"/>
      <c r="W14" s="154"/>
      <c r="X14" s="154"/>
      <c r="Y14" s="118"/>
      <c r="Z14" s="154"/>
      <c r="AA14" s="154"/>
    </row>
    <row r="15" spans="2:27">
      <c r="B15" s="288">
        <f t="shared" ref="B15:B40" si="0">B14+1</f>
        <v>2017</v>
      </c>
      <c r="C15" s="293"/>
      <c r="D15" s="290"/>
      <c r="E15" s="290"/>
      <c r="F15" s="290"/>
      <c r="G15" s="294"/>
      <c r="H15" s="294"/>
      <c r="I15" s="292"/>
      <c r="J15" s="292"/>
      <c r="K15" s="292"/>
      <c r="L15" s="129"/>
      <c r="M15" s="41"/>
      <c r="U15" s="118"/>
      <c r="V15" s="118"/>
      <c r="W15" s="154"/>
      <c r="X15" s="154"/>
      <c r="Y15" s="118"/>
      <c r="Z15" s="154"/>
      <c r="AA15" s="154"/>
    </row>
    <row r="16" spans="2:27">
      <c r="B16" s="288">
        <f t="shared" si="0"/>
        <v>2018</v>
      </c>
      <c r="C16" s="289"/>
      <c r="D16" s="290"/>
      <c r="E16" s="129"/>
      <c r="F16" s="291">
        <f>$J$63</f>
        <v>7.76</v>
      </c>
      <c r="G16" s="292"/>
      <c r="H16" s="292"/>
      <c r="I16" s="292"/>
      <c r="J16" s="292"/>
      <c r="K16" s="292"/>
      <c r="L16" s="129"/>
      <c r="M16" s="41"/>
      <c r="U16" s="162"/>
      <c r="V16" s="154"/>
      <c r="W16" s="154"/>
      <c r="X16" s="278"/>
      <c r="Y16" s="118"/>
      <c r="Z16" s="154"/>
      <c r="AA16" s="154"/>
    </row>
    <row r="17" spans="2:29">
      <c r="B17" s="288">
        <f t="shared" si="0"/>
        <v>2019</v>
      </c>
      <c r="C17" s="293"/>
      <c r="D17" s="129"/>
      <c r="E17" s="129"/>
      <c r="F17" s="129">
        <f t="shared" ref="F17:F36" si="1">ROUND(F16*(1+(IFERROR(INDEX($D$81:$D$89,MATCH($B17,$C$81:$C$89,0),1),0)+IFERROR(INDEX($G$81:$G$89,MATCH($B17,$F$81:$F$89,0),1),0)+IFERROR(INDEX($J$81:$J$89,MATCH($B17,$I$81:$I$89,0),1),0))),2)</f>
        <v>7.91</v>
      </c>
      <c r="G17" s="292"/>
      <c r="H17" s="292"/>
      <c r="I17" s="292"/>
      <c r="J17" s="292"/>
      <c r="K17" s="292"/>
      <c r="L17" s="129"/>
      <c r="M17" s="41"/>
      <c r="U17" s="162"/>
      <c r="V17" s="118"/>
      <c r="W17" s="154"/>
      <c r="X17" s="278"/>
      <c r="Y17" s="118"/>
      <c r="Z17" s="154"/>
      <c r="AA17" s="154"/>
    </row>
    <row r="18" spans="2:29">
      <c r="B18" s="288">
        <f t="shared" si="0"/>
        <v>2020</v>
      </c>
      <c r="C18" s="293"/>
      <c r="D18" s="129"/>
      <c r="E18" s="129"/>
      <c r="F18" s="129">
        <f t="shared" si="1"/>
        <v>8.1199999999999992</v>
      </c>
      <c r="G18" s="292"/>
      <c r="H18" s="292"/>
      <c r="I18" s="292"/>
      <c r="J18" s="292"/>
      <c r="K18" s="292"/>
      <c r="L18" s="129"/>
      <c r="M18" s="41"/>
      <c r="U18" s="162"/>
      <c r="V18" s="118"/>
      <c r="W18" s="154"/>
      <c r="X18" s="278"/>
      <c r="Y18" s="118"/>
      <c r="Z18" s="154"/>
      <c r="AA18" s="154"/>
    </row>
    <row r="19" spans="2:29">
      <c r="B19" s="288">
        <f t="shared" si="0"/>
        <v>2021</v>
      </c>
      <c r="C19" s="293"/>
      <c r="D19" s="129"/>
      <c r="E19" s="129"/>
      <c r="F19" s="129">
        <f t="shared" si="1"/>
        <v>8.33</v>
      </c>
      <c r="G19" s="292"/>
      <c r="H19" s="292"/>
      <c r="I19" s="292"/>
      <c r="J19" s="292"/>
      <c r="K19" s="292"/>
      <c r="L19" s="129"/>
      <c r="M19" s="41"/>
      <c r="U19" s="162"/>
      <c r="V19" s="154"/>
      <c r="W19" s="154"/>
      <c r="X19" s="278"/>
      <c r="Y19" s="154"/>
      <c r="Z19" s="154"/>
      <c r="AA19" s="154"/>
    </row>
    <row r="20" spans="2:29">
      <c r="B20" s="288">
        <f t="shared" si="0"/>
        <v>2022</v>
      </c>
      <c r="C20" s="293"/>
      <c r="D20" s="129"/>
      <c r="E20" s="129"/>
      <c r="F20" s="129">
        <f t="shared" si="1"/>
        <v>8.5399999999999991</v>
      </c>
      <c r="G20" s="292"/>
      <c r="H20" s="292"/>
      <c r="I20" s="292"/>
      <c r="J20" s="292"/>
      <c r="K20" s="292"/>
      <c r="L20" s="129"/>
      <c r="M20" s="41"/>
      <c r="U20" s="162"/>
      <c r="V20" s="154"/>
      <c r="W20" s="154"/>
      <c r="X20" s="278"/>
      <c r="Y20" s="154"/>
      <c r="Z20" s="154"/>
      <c r="AA20" s="154"/>
    </row>
    <row r="21" spans="2:29">
      <c r="B21" s="288">
        <f t="shared" si="0"/>
        <v>2023</v>
      </c>
      <c r="C21" s="293"/>
      <c r="D21" s="129"/>
      <c r="E21" s="129"/>
      <c r="F21" s="129">
        <f t="shared" si="1"/>
        <v>8.75</v>
      </c>
      <c r="G21" s="292"/>
      <c r="H21" s="292"/>
      <c r="I21" s="292"/>
      <c r="J21" s="292"/>
      <c r="K21" s="292"/>
      <c r="L21" s="129"/>
      <c r="M21" s="41"/>
      <c r="U21" s="162"/>
      <c r="V21" s="154"/>
      <c r="W21" s="154"/>
      <c r="X21" s="278"/>
      <c r="Y21" s="154"/>
      <c r="Z21" s="154"/>
      <c r="AA21" s="154"/>
    </row>
    <row r="22" spans="2:29">
      <c r="B22" s="288">
        <f t="shared" si="0"/>
        <v>2024</v>
      </c>
      <c r="C22" s="293"/>
      <c r="D22" s="129"/>
      <c r="E22" s="129"/>
      <c r="F22" s="129">
        <f t="shared" si="1"/>
        <v>8.9499999999999993</v>
      </c>
      <c r="G22" s="292"/>
      <c r="H22" s="292"/>
      <c r="I22" s="292"/>
      <c r="J22" s="292"/>
      <c r="K22" s="292"/>
      <c r="L22" s="129"/>
      <c r="M22" s="41"/>
      <c r="U22" s="162"/>
      <c r="V22" s="154"/>
      <c r="W22" s="154"/>
      <c r="X22" s="278"/>
      <c r="Y22" s="154"/>
      <c r="Z22" s="154"/>
      <c r="AA22" s="154"/>
    </row>
    <row r="23" spans="2:29">
      <c r="B23" s="288">
        <f t="shared" si="0"/>
        <v>2025</v>
      </c>
      <c r="C23" s="293"/>
      <c r="D23" s="129"/>
      <c r="E23" s="129"/>
      <c r="F23" s="129">
        <f t="shared" si="1"/>
        <v>9.15</v>
      </c>
      <c r="G23" s="292"/>
      <c r="H23" s="292"/>
      <c r="I23" s="292"/>
      <c r="J23" s="292"/>
      <c r="K23" s="292"/>
      <c r="L23" s="129"/>
      <c r="M23" s="41"/>
      <c r="U23" s="162"/>
      <c r="V23" s="154"/>
      <c r="W23" s="154"/>
      <c r="X23" s="278"/>
      <c r="Y23" s="154"/>
      <c r="Z23" s="154"/>
      <c r="AA23" s="154"/>
    </row>
    <row r="24" spans="2:29">
      <c r="B24" s="288">
        <f t="shared" si="0"/>
        <v>2026</v>
      </c>
      <c r="C24" s="137">
        <v>718.66414277988076</v>
      </c>
      <c r="D24" s="290">
        <f>ROUND(C24*$C$74,2)</f>
        <v>50.01</v>
      </c>
      <c r="E24" s="149">
        <v>38.05330989724176</v>
      </c>
      <c r="F24" s="129">
        <f t="shared" si="1"/>
        <v>9.35</v>
      </c>
      <c r="G24" s="292">
        <f t="shared" ref="G24:G36" si="2">ROUND(F24*(8.76*$G$63)+E24,2)</f>
        <v>65.08</v>
      </c>
      <c r="H24" s="292">
        <f t="shared" ref="H24:H36" si="3">ROUND(D24+G24,2)</f>
        <v>115.09</v>
      </c>
      <c r="I24" s="292">
        <f>VLOOKUP(B24,'Table 4'!$B$13:$D$43,3,FALSE)</f>
        <v>3.17</v>
      </c>
      <c r="J24" s="292">
        <f t="shared" ref="J24:J36" si="4">ROUND($K$63*I24/1000,2)</f>
        <v>31.02</v>
      </c>
      <c r="K24" s="292">
        <f t="shared" ref="K24:K36" si="5">ROUND(H24*1000/8760/$G$63+J24,2)</f>
        <v>70.83</v>
      </c>
      <c r="L24" s="129">
        <f t="shared" ref="L24:L40" si="6">(E24+F24+G24)</f>
        <v>112.48330989724175</v>
      </c>
      <c r="M24" s="41"/>
      <c r="U24" s="162"/>
      <c r="V24" s="154"/>
      <c r="W24" s="154"/>
      <c r="X24" s="154"/>
      <c r="Y24" s="154"/>
      <c r="Z24" s="154"/>
      <c r="AA24" s="154"/>
    </row>
    <row r="25" spans="2:29">
      <c r="B25" s="288">
        <f t="shared" si="0"/>
        <v>2027</v>
      </c>
      <c r="C25" s="293"/>
      <c r="D25" s="129">
        <f t="shared" ref="D25:D36" si="7">ROUND(D24*(1+(IFERROR(INDEX($D$81:$D$89,MATCH($B25,$C$81:$C$89,0),1),0)+IFERROR(INDEX($G$81:$G$89,MATCH($B25,$F$81:$F$89,0),1),0)+IFERROR(INDEX($J$81:$J$89,MATCH($B25,$I$81:$I$89,0),1),0))),2)</f>
        <v>51.12</v>
      </c>
      <c r="E25" s="129">
        <f t="shared" ref="E25:E36" si="8">ROUND(E24*(1+(IFERROR(INDEX($D$81:$D$89,MATCH($B25,$C$81:$C$89,0),1),0)+IFERROR(INDEX($G$81:$G$89,MATCH($B25,$F$81:$F$89,0),1),0)+IFERROR(INDEX($J$81:$J$89,MATCH($B25,$I$81:$I$89,0),1),0))),2)</f>
        <v>38.9</v>
      </c>
      <c r="F25" s="129">
        <f t="shared" si="1"/>
        <v>9.56</v>
      </c>
      <c r="G25" s="292">
        <f t="shared" si="2"/>
        <v>66.540000000000006</v>
      </c>
      <c r="H25" s="292">
        <f t="shared" si="3"/>
        <v>117.66</v>
      </c>
      <c r="I25" s="292">
        <f>VLOOKUP(B25,'Table 4'!$B$13:$D$43,3,FALSE)</f>
        <v>3.38</v>
      </c>
      <c r="J25" s="292">
        <f t="shared" si="4"/>
        <v>33.08</v>
      </c>
      <c r="K25" s="292">
        <f t="shared" si="5"/>
        <v>73.78</v>
      </c>
      <c r="L25" s="129">
        <f t="shared" si="6"/>
        <v>115</v>
      </c>
      <c r="M25" s="41"/>
      <c r="P25" s="340"/>
      <c r="U25" s="160"/>
      <c r="V25" s="154"/>
      <c r="W25" s="154"/>
      <c r="X25" s="154"/>
      <c r="Y25" s="154"/>
      <c r="Z25" s="154"/>
      <c r="AA25" s="154"/>
    </row>
    <row r="26" spans="2:29">
      <c r="B26" s="288">
        <f t="shared" si="0"/>
        <v>2028</v>
      </c>
      <c r="C26" s="293"/>
      <c r="D26" s="129">
        <f t="shared" si="7"/>
        <v>52.27</v>
      </c>
      <c r="E26" s="129">
        <f t="shared" si="8"/>
        <v>39.770000000000003</v>
      </c>
      <c r="F26" s="129">
        <f t="shared" si="1"/>
        <v>9.77</v>
      </c>
      <c r="G26" s="292">
        <f t="shared" si="2"/>
        <v>68.010000000000005</v>
      </c>
      <c r="H26" s="292">
        <f t="shared" si="3"/>
        <v>120.28</v>
      </c>
      <c r="I26" s="292">
        <f>VLOOKUP(B26,'Table 4'!$B$13:$D$43,3,FALSE)</f>
        <v>3.71</v>
      </c>
      <c r="J26" s="292">
        <f t="shared" si="4"/>
        <v>36.31</v>
      </c>
      <c r="K26" s="292">
        <f t="shared" si="5"/>
        <v>77.92</v>
      </c>
      <c r="L26" s="129">
        <f t="shared" si="6"/>
        <v>117.55000000000001</v>
      </c>
      <c r="M26" s="41"/>
      <c r="U26" s="162"/>
      <c r="V26" s="154"/>
      <c r="W26" s="154"/>
      <c r="X26" s="154"/>
      <c r="Y26" s="154"/>
      <c r="Z26" s="154"/>
      <c r="AA26" s="154"/>
    </row>
    <row r="27" spans="2:29">
      <c r="B27" s="288">
        <f t="shared" si="0"/>
        <v>2029</v>
      </c>
      <c r="C27" s="293"/>
      <c r="D27" s="129">
        <f t="shared" si="7"/>
        <v>53.46</v>
      </c>
      <c r="E27" s="129">
        <f t="shared" si="8"/>
        <v>40.68</v>
      </c>
      <c r="F27" s="129">
        <f t="shared" si="1"/>
        <v>9.99</v>
      </c>
      <c r="G27" s="292">
        <f t="shared" si="2"/>
        <v>69.56</v>
      </c>
      <c r="H27" s="292">
        <f t="shared" si="3"/>
        <v>123.02</v>
      </c>
      <c r="I27" s="292">
        <f>VLOOKUP(B27,'Table 4'!$B$13:$D$43,3,FALSE)</f>
        <v>4.05</v>
      </c>
      <c r="J27" s="292">
        <f t="shared" si="4"/>
        <v>39.630000000000003</v>
      </c>
      <c r="K27" s="292">
        <f t="shared" si="5"/>
        <v>82.19</v>
      </c>
      <c r="L27" s="129">
        <f t="shared" si="6"/>
        <v>120.23</v>
      </c>
      <c r="M27" s="41"/>
      <c r="U27" s="162"/>
      <c r="V27" s="154"/>
      <c r="W27" s="154"/>
      <c r="X27" s="154"/>
      <c r="Y27" s="154"/>
      <c r="Z27" s="154"/>
      <c r="AA27" s="154"/>
    </row>
    <row r="28" spans="2:29" s="297" customFormat="1">
      <c r="B28" s="295">
        <f t="shared" si="0"/>
        <v>2030</v>
      </c>
      <c r="C28" s="296"/>
      <c r="D28" s="129">
        <f t="shared" si="7"/>
        <v>54.66</v>
      </c>
      <c r="E28" s="129">
        <f t="shared" si="8"/>
        <v>41.59</v>
      </c>
      <c r="F28" s="129">
        <f t="shared" si="1"/>
        <v>10.210000000000001</v>
      </c>
      <c r="G28" s="292">
        <f t="shared" si="2"/>
        <v>71.11</v>
      </c>
      <c r="H28" s="292">
        <f t="shared" si="3"/>
        <v>125.77</v>
      </c>
      <c r="I28" s="292">
        <f>VLOOKUP(B28,'Table 4'!$B$13:$D$43,3,FALSE)</f>
        <v>4.32</v>
      </c>
      <c r="J28" s="292">
        <f t="shared" si="4"/>
        <v>42.28</v>
      </c>
      <c r="K28" s="292">
        <f t="shared" si="5"/>
        <v>85.79</v>
      </c>
      <c r="L28" s="129">
        <f t="shared" si="6"/>
        <v>122.91</v>
      </c>
      <c r="M28" s="50"/>
      <c r="N28" s="85"/>
      <c r="O28" s="85"/>
      <c r="U28" s="162"/>
      <c r="V28" s="154"/>
      <c r="W28" s="154"/>
      <c r="X28" s="154"/>
      <c r="Y28" s="154"/>
      <c r="Z28" s="154"/>
      <c r="AA28" s="154"/>
      <c r="AB28" s="118"/>
      <c r="AC28" s="118"/>
    </row>
    <row r="29" spans="2:29" s="297" customFormat="1">
      <c r="B29" s="295">
        <f t="shared" si="0"/>
        <v>2031</v>
      </c>
      <c r="C29" s="296"/>
      <c r="D29" s="129">
        <f t="shared" si="7"/>
        <v>55.86</v>
      </c>
      <c r="E29" s="129">
        <f t="shared" si="8"/>
        <v>42.5</v>
      </c>
      <c r="F29" s="129">
        <f t="shared" si="1"/>
        <v>10.43</v>
      </c>
      <c r="G29" s="292">
        <f t="shared" si="2"/>
        <v>72.650000000000006</v>
      </c>
      <c r="H29" s="292">
        <f t="shared" si="3"/>
        <v>128.51</v>
      </c>
      <c r="I29" s="292">
        <f>VLOOKUP(B29,'Table 4'!$B$13:$D$43,3,FALSE)</f>
        <v>4.6399999999999997</v>
      </c>
      <c r="J29" s="292">
        <f t="shared" si="4"/>
        <v>45.41</v>
      </c>
      <c r="K29" s="292">
        <f t="shared" si="5"/>
        <v>89.86</v>
      </c>
      <c r="L29" s="129">
        <f t="shared" si="6"/>
        <v>125.58000000000001</v>
      </c>
      <c r="M29" s="50"/>
      <c r="N29" s="85"/>
      <c r="O29" s="85"/>
      <c r="U29" s="162"/>
      <c r="V29" s="154"/>
      <c r="W29" s="154"/>
      <c r="X29" s="154"/>
      <c r="Y29" s="154"/>
      <c r="Z29" s="154"/>
      <c r="AA29" s="154"/>
      <c r="AB29" s="118"/>
      <c r="AC29" s="118"/>
    </row>
    <row r="30" spans="2:29" s="297" customFormat="1">
      <c r="B30" s="295">
        <f t="shared" si="0"/>
        <v>2032</v>
      </c>
      <c r="C30" s="296"/>
      <c r="D30" s="129">
        <f t="shared" si="7"/>
        <v>57.06</v>
      </c>
      <c r="E30" s="129">
        <f t="shared" si="8"/>
        <v>43.42</v>
      </c>
      <c r="F30" s="129">
        <f t="shared" si="1"/>
        <v>10.65</v>
      </c>
      <c r="G30" s="292">
        <f t="shared" si="2"/>
        <v>74.209999999999994</v>
      </c>
      <c r="H30" s="292">
        <f t="shared" si="3"/>
        <v>131.27000000000001</v>
      </c>
      <c r="I30" s="292">
        <f>VLOOKUP(B30,'Table 4'!$B$13:$D$43,3,FALSE)</f>
        <v>4.92</v>
      </c>
      <c r="J30" s="292">
        <f t="shared" si="4"/>
        <v>48.15</v>
      </c>
      <c r="K30" s="292">
        <f t="shared" si="5"/>
        <v>93.56</v>
      </c>
      <c r="L30" s="129">
        <f t="shared" si="6"/>
        <v>128.28</v>
      </c>
      <c r="M30" s="50"/>
      <c r="N30" s="85"/>
      <c r="O30" s="85"/>
      <c r="U30" s="162"/>
      <c r="V30" s="154"/>
      <c r="W30" s="154"/>
      <c r="X30" s="154"/>
      <c r="Y30" s="154"/>
      <c r="Z30" s="154"/>
      <c r="AA30" s="154"/>
      <c r="AB30" s="118"/>
      <c r="AC30" s="118"/>
    </row>
    <row r="31" spans="2:29" s="297" customFormat="1">
      <c r="B31" s="295">
        <f t="shared" si="0"/>
        <v>2033</v>
      </c>
      <c r="C31" s="296"/>
      <c r="D31" s="129">
        <f t="shared" si="7"/>
        <v>58.28</v>
      </c>
      <c r="E31" s="129">
        <f t="shared" si="8"/>
        <v>44.35</v>
      </c>
      <c r="F31" s="129">
        <f t="shared" si="1"/>
        <v>10.88</v>
      </c>
      <c r="G31" s="292">
        <f t="shared" si="2"/>
        <v>75.8</v>
      </c>
      <c r="H31" s="292">
        <f t="shared" si="3"/>
        <v>134.08000000000001</v>
      </c>
      <c r="I31" s="292">
        <f>VLOOKUP(B31,'Table 4'!$B$13:$D$43,3,FALSE)</f>
        <v>4.99</v>
      </c>
      <c r="J31" s="292">
        <f t="shared" si="4"/>
        <v>48.83</v>
      </c>
      <c r="K31" s="292">
        <f t="shared" si="5"/>
        <v>95.21</v>
      </c>
      <c r="L31" s="129">
        <f t="shared" si="6"/>
        <v>131.03</v>
      </c>
      <c r="M31" s="50"/>
      <c r="N31" s="85"/>
      <c r="O31" s="85"/>
      <c r="U31" s="162"/>
      <c r="V31" s="154"/>
      <c r="W31" s="154"/>
      <c r="X31" s="154"/>
      <c r="Y31" s="154"/>
      <c r="Z31" s="154"/>
      <c r="AA31" s="154"/>
      <c r="AB31" s="118"/>
      <c r="AC31" s="118"/>
    </row>
    <row r="32" spans="2:29" s="297" customFormat="1">
      <c r="B32" s="295">
        <f t="shared" si="0"/>
        <v>2034</v>
      </c>
      <c r="C32" s="296"/>
      <c r="D32" s="129">
        <f t="shared" si="7"/>
        <v>59.5</v>
      </c>
      <c r="E32" s="129">
        <f t="shared" si="8"/>
        <v>45.28</v>
      </c>
      <c r="F32" s="129">
        <f t="shared" si="1"/>
        <v>11.11</v>
      </c>
      <c r="G32" s="292">
        <f t="shared" si="2"/>
        <v>77.400000000000006</v>
      </c>
      <c r="H32" s="292">
        <f t="shared" si="3"/>
        <v>136.9</v>
      </c>
      <c r="I32" s="292">
        <f>VLOOKUP(B32,'Table 4'!$B$13:$D$43,3,FALSE)</f>
        <v>5.27</v>
      </c>
      <c r="J32" s="292">
        <f t="shared" si="4"/>
        <v>51.57</v>
      </c>
      <c r="K32" s="292">
        <f t="shared" si="5"/>
        <v>98.93</v>
      </c>
      <c r="L32" s="129">
        <f t="shared" si="6"/>
        <v>133.79000000000002</v>
      </c>
      <c r="M32" s="50"/>
      <c r="N32" s="85"/>
      <c r="O32" s="85"/>
      <c r="U32" s="162"/>
      <c r="V32" s="154"/>
      <c r="W32" s="154"/>
      <c r="X32" s="154"/>
      <c r="Y32" s="154"/>
      <c r="Z32" s="154"/>
      <c r="AA32" s="154"/>
      <c r="AB32" s="118"/>
      <c r="AC32" s="118"/>
    </row>
    <row r="33" spans="2:27">
      <c r="B33" s="288">
        <f t="shared" si="0"/>
        <v>2035</v>
      </c>
      <c r="C33" s="293"/>
      <c r="D33" s="129">
        <f t="shared" si="7"/>
        <v>60.75</v>
      </c>
      <c r="E33" s="129">
        <f t="shared" si="8"/>
        <v>46.23</v>
      </c>
      <c r="F33" s="129">
        <f t="shared" si="1"/>
        <v>11.34</v>
      </c>
      <c r="G33" s="292">
        <f t="shared" si="2"/>
        <v>79.010000000000005</v>
      </c>
      <c r="H33" s="292">
        <f t="shared" si="3"/>
        <v>139.76</v>
      </c>
      <c r="I33" s="292">
        <f>VLOOKUP(B33,'Table 4'!$B$13:$D$43,3,FALSE)</f>
        <v>5.49</v>
      </c>
      <c r="J33" s="292">
        <f t="shared" si="4"/>
        <v>53.73</v>
      </c>
      <c r="K33" s="292">
        <f t="shared" si="5"/>
        <v>102.08</v>
      </c>
      <c r="L33" s="129">
        <f t="shared" si="6"/>
        <v>136.57999999999998</v>
      </c>
      <c r="M33" s="50"/>
      <c r="U33" s="162"/>
      <c r="V33" s="154"/>
      <c r="W33" s="154"/>
      <c r="X33" s="154"/>
      <c r="Y33" s="154"/>
      <c r="Z33" s="154"/>
      <c r="AA33" s="154"/>
    </row>
    <row r="34" spans="2:27">
      <c r="B34" s="288">
        <f t="shared" si="0"/>
        <v>2036</v>
      </c>
      <c r="C34" s="293"/>
      <c r="D34" s="129">
        <f t="shared" si="7"/>
        <v>62.02</v>
      </c>
      <c r="E34" s="129">
        <f t="shared" si="8"/>
        <v>47.19</v>
      </c>
      <c r="F34" s="129">
        <f t="shared" si="1"/>
        <v>11.58</v>
      </c>
      <c r="G34" s="292">
        <f t="shared" si="2"/>
        <v>80.67</v>
      </c>
      <c r="H34" s="292">
        <f t="shared" si="3"/>
        <v>142.69</v>
      </c>
      <c r="I34" s="292">
        <f>VLOOKUP(B34,'Table 4'!$B$13:$D$43,3,FALSE)</f>
        <v>5.56</v>
      </c>
      <c r="J34" s="292">
        <f t="shared" si="4"/>
        <v>54.41</v>
      </c>
      <c r="K34" s="292">
        <f t="shared" si="5"/>
        <v>103.77</v>
      </c>
      <c r="L34" s="129">
        <f t="shared" si="6"/>
        <v>139.44</v>
      </c>
      <c r="M34" s="50"/>
    </row>
    <row r="35" spans="2:27">
      <c r="B35" s="288">
        <f t="shared" si="0"/>
        <v>2037</v>
      </c>
      <c r="C35" s="293"/>
      <c r="D35" s="129">
        <f t="shared" si="7"/>
        <v>63.31</v>
      </c>
      <c r="E35" s="129">
        <f t="shared" si="8"/>
        <v>48.17</v>
      </c>
      <c r="F35" s="129">
        <f t="shared" si="1"/>
        <v>11.82</v>
      </c>
      <c r="G35" s="292">
        <f t="shared" si="2"/>
        <v>82.34</v>
      </c>
      <c r="H35" s="292">
        <f t="shared" si="3"/>
        <v>145.65</v>
      </c>
      <c r="I35" s="292">
        <f>VLOOKUP(B35,'Table 4'!$B$13:$D$43,3,FALSE)</f>
        <v>5.96</v>
      </c>
      <c r="J35" s="292">
        <f t="shared" si="4"/>
        <v>58.32</v>
      </c>
      <c r="K35" s="292">
        <f t="shared" si="5"/>
        <v>108.7</v>
      </c>
      <c r="L35" s="129">
        <f t="shared" si="6"/>
        <v>142.33000000000001</v>
      </c>
      <c r="M35" s="50"/>
    </row>
    <row r="36" spans="2:27">
      <c r="B36" s="288">
        <f t="shared" si="0"/>
        <v>2038</v>
      </c>
      <c r="C36" s="293"/>
      <c r="D36" s="129">
        <f t="shared" si="7"/>
        <v>64.63</v>
      </c>
      <c r="E36" s="129">
        <f t="shared" si="8"/>
        <v>49.18</v>
      </c>
      <c r="F36" s="129">
        <f t="shared" si="1"/>
        <v>12.07</v>
      </c>
      <c r="G36" s="292">
        <f t="shared" si="2"/>
        <v>84.07</v>
      </c>
      <c r="H36" s="292">
        <f t="shared" si="3"/>
        <v>148.69999999999999</v>
      </c>
      <c r="I36" s="292">
        <f>VLOOKUP(B36,'Table 4'!$B$13:$D$43,3,FALSE)</f>
        <v>6.25</v>
      </c>
      <c r="J36" s="292">
        <f t="shared" si="4"/>
        <v>61.16</v>
      </c>
      <c r="K36" s="292">
        <f t="shared" si="5"/>
        <v>112.6</v>
      </c>
      <c r="L36" s="129">
        <f t="shared" si="6"/>
        <v>145.32</v>
      </c>
      <c r="M36" s="50"/>
    </row>
    <row r="37" spans="2:27">
      <c r="B37" s="288">
        <f t="shared" si="0"/>
        <v>2039</v>
      </c>
      <c r="C37" s="293"/>
      <c r="D37" s="129">
        <f t="shared" ref="D37:D40" si="9">ROUND(D36*(1+(IFERROR(INDEX($D$81:$D$89,MATCH($B37,$C$81:$C$89,0),1),0)+IFERROR(INDEX($G$81:$G$89,MATCH($B37,$F$81:$F$89,0),1),0)+IFERROR(INDEX($J$81:$J$89,MATCH($B37,$I$81:$I$89,0),1),0))),2)</f>
        <v>65.97</v>
      </c>
      <c r="E37" s="129">
        <f t="shared" ref="E37:E40" si="10">ROUND(E36*(1+(IFERROR(INDEX($D$81:$D$89,MATCH($B37,$C$81:$C$89,0),1),0)+IFERROR(INDEX($G$81:$G$89,MATCH($B37,$F$81:$F$89,0),1),0)+IFERROR(INDEX($J$81:$J$89,MATCH($B37,$I$81:$I$89,0),1),0))),2)</f>
        <v>50.2</v>
      </c>
      <c r="F37" s="129">
        <f t="shared" ref="F37:F40" si="11">ROUND(F36*(1+(IFERROR(INDEX($D$81:$D$89,MATCH($B37,$C$81:$C$89,0),1),0)+IFERROR(INDEX($G$81:$G$89,MATCH($B37,$F$81:$F$89,0),1),0)+IFERROR(INDEX($J$81:$J$89,MATCH($B37,$I$81:$I$89,0),1),0))),2)</f>
        <v>12.32</v>
      </c>
      <c r="G37" s="292">
        <f t="shared" ref="G37:G40" si="12">ROUND(F37*(8.76*$G$63)+E37,2)</f>
        <v>85.81</v>
      </c>
      <c r="H37" s="292">
        <f t="shared" ref="H37:H40" si="13">ROUND(D37+G37,2)</f>
        <v>151.78</v>
      </c>
      <c r="I37" s="292">
        <f>VLOOKUP(B37,'Table 4'!$B$13:$D$43,3,FALSE)</f>
        <v>6.38</v>
      </c>
      <c r="J37" s="292">
        <f t="shared" ref="J37:J40" si="14">ROUND($K$63*I37/1000,2)</f>
        <v>62.43</v>
      </c>
      <c r="K37" s="292">
        <f t="shared" ref="K37:K40" si="15">ROUND(H37*1000/8760/$G$63+J37,2)</f>
        <v>114.93</v>
      </c>
      <c r="L37" s="129">
        <f t="shared" si="6"/>
        <v>148.33000000000001</v>
      </c>
    </row>
    <row r="38" spans="2:27">
      <c r="B38" s="288">
        <f t="shared" si="0"/>
        <v>2040</v>
      </c>
      <c r="C38" s="293"/>
      <c r="D38" s="129">
        <f t="shared" si="9"/>
        <v>67.34</v>
      </c>
      <c r="E38" s="129">
        <f t="shared" si="10"/>
        <v>51.24</v>
      </c>
      <c r="F38" s="129">
        <f t="shared" si="11"/>
        <v>12.58</v>
      </c>
      <c r="G38" s="292">
        <f t="shared" si="12"/>
        <v>87.61</v>
      </c>
      <c r="H38" s="292">
        <f t="shared" si="13"/>
        <v>154.94999999999999</v>
      </c>
      <c r="I38" s="292">
        <f>VLOOKUP(B38,'Table 4'!$B$13:$D$43,3,FALSE)</f>
        <v>6.69</v>
      </c>
      <c r="J38" s="292">
        <f t="shared" si="14"/>
        <v>65.47</v>
      </c>
      <c r="K38" s="292">
        <f t="shared" si="15"/>
        <v>119.07</v>
      </c>
      <c r="L38" s="129">
        <f t="shared" si="6"/>
        <v>151.43</v>
      </c>
    </row>
    <row r="39" spans="2:27">
      <c r="B39" s="288">
        <f t="shared" si="0"/>
        <v>2041</v>
      </c>
      <c r="C39" s="293"/>
      <c r="D39" s="129">
        <f t="shared" si="9"/>
        <v>68.75</v>
      </c>
      <c r="E39" s="129">
        <f t="shared" si="10"/>
        <v>52.31</v>
      </c>
      <c r="F39" s="129">
        <f t="shared" si="11"/>
        <v>12.84</v>
      </c>
      <c r="G39" s="292">
        <f t="shared" si="12"/>
        <v>89.43</v>
      </c>
      <c r="H39" s="292">
        <f t="shared" si="13"/>
        <v>158.18</v>
      </c>
      <c r="I39" s="129">
        <f t="shared" ref="I39:I40" si="16">ROUND(I38*(1+(IFERROR(INDEX($D$81:$D$89,MATCH($B39,$C$81:$C$89,0),1),0)+IFERROR(INDEX($G$81:$G$89,MATCH($B39,$F$81:$F$89,0),1),0)+IFERROR(INDEX($J$81:$J$89,MATCH($B39,$I$81:$I$89,0),1),0))),2)</f>
        <v>6.83</v>
      </c>
      <c r="J39" s="292">
        <f t="shared" si="14"/>
        <v>66.84</v>
      </c>
      <c r="K39" s="292">
        <f t="shared" si="15"/>
        <v>121.56</v>
      </c>
      <c r="L39" s="129">
        <f t="shared" si="6"/>
        <v>154.58000000000001</v>
      </c>
    </row>
    <row r="40" spans="2:27">
      <c r="B40" s="288">
        <f t="shared" si="0"/>
        <v>2042</v>
      </c>
      <c r="C40" s="293"/>
      <c r="D40" s="129">
        <f t="shared" si="9"/>
        <v>70.2</v>
      </c>
      <c r="E40" s="129">
        <f t="shared" si="10"/>
        <v>53.41</v>
      </c>
      <c r="F40" s="129">
        <f t="shared" si="11"/>
        <v>13.11</v>
      </c>
      <c r="G40" s="292">
        <f t="shared" si="12"/>
        <v>91.31</v>
      </c>
      <c r="H40" s="292">
        <f t="shared" si="13"/>
        <v>161.51</v>
      </c>
      <c r="I40" s="129">
        <f t="shared" si="16"/>
        <v>6.97</v>
      </c>
      <c r="J40" s="292">
        <f t="shared" si="14"/>
        <v>68.209999999999994</v>
      </c>
      <c r="K40" s="292">
        <f t="shared" si="15"/>
        <v>124.08</v>
      </c>
      <c r="L40" s="129">
        <f t="shared" si="6"/>
        <v>157.82999999999998</v>
      </c>
    </row>
    <row r="41" spans="2:27">
      <c r="M41" s="288"/>
      <c r="O41" s="298"/>
    </row>
    <row r="42" spans="2:27" ht="14.25">
      <c r="B42" s="4" t="s">
        <v>27</v>
      </c>
      <c r="C42" s="20"/>
      <c r="D42" s="20"/>
      <c r="E42" s="20"/>
      <c r="F42" s="20"/>
      <c r="G42" s="20"/>
      <c r="H42" s="20"/>
      <c r="I42" s="20"/>
      <c r="J42" s="20"/>
      <c r="K42" s="20"/>
      <c r="M42" s="288"/>
      <c r="N42" s="298"/>
      <c r="O42" s="298"/>
    </row>
    <row r="44" spans="2:27">
      <c r="B44" s="85" t="s">
        <v>121</v>
      </c>
      <c r="D44" s="299" t="s">
        <v>143</v>
      </c>
    </row>
    <row r="45" spans="2:27">
      <c r="C45" s="300" t="str">
        <f>D10</f>
        <v>(b)</v>
      </c>
      <c r="D45" s="292" t="str">
        <f>"= "&amp;C10&amp;" x "&amp;C74</f>
        <v>= (a) x 0.0695884915153164</v>
      </c>
    </row>
    <row r="46" spans="2:27">
      <c r="C46" s="300" t="str">
        <f>G10</f>
        <v>(e)</v>
      </c>
      <c r="D46" s="292" t="str">
        <f>"= "&amp;$F$10&amp;" x  (8.76 x "&amp;TEXT(G63,"0.0%")&amp;") + "&amp;$E$10</f>
        <v>= (d) x  (8.76 x 33.0%) + (c)</v>
      </c>
    </row>
    <row r="47" spans="2:27">
      <c r="C47" s="300" t="str">
        <f>H10</f>
        <v>(f)</v>
      </c>
      <c r="D47" s="292" t="str">
        <f>"= "&amp;D10&amp;" + "&amp;G10</f>
        <v>= (b) + (e)</v>
      </c>
    </row>
    <row r="48" spans="2:27">
      <c r="C48" s="300" t="str">
        <f>I10</f>
        <v>(g)</v>
      </c>
      <c r="D48" s="301" t="str">
        <f>'Table 4'!B3&amp;" - "&amp;'Table 4'!B4</f>
        <v>Table 4 - Burnertip Natural Gas Price Forecast</v>
      </c>
    </row>
    <row r="49" spans="3:21">
      <c r="C49" s="300" t="str">
        <f>J10</f>
        <v>(h)</v>
      </c>
      <c r="D49" s="292" t="str">
        <f>"= "&amp;TEXT(K63,"?,0")&amp;" MMBtu/MWH x "&amp;I9</f>
        <v>= 9,786 MMBtu/MWH x $/MMBtu</v>
      </c>
    </row>
    <row r="50" spans="3:21">
      <c r="C50" s="300" t="str">
        <f>K10</f>
        <v>(i)</v>
      </c>
      <c r="D50" s="292" t="str">
        <f>"= "&amp;H10&amp;" / (8.76 x 'Capacity Factor' ) + "&amp;J10</f>
        <v>= (f) / (8.76 x 'Capacity Factor' ) + (h)</v>
      </c>
    </row>
    <row r="51" spans="3:21" ht="13.5" thickBot="1"/>
    <row r="52" spans="3:21" ht="13.5" thickBot="1">
      <c r="C52" s="42" t="s">
        <v>147</v>
      </c>
      <c r="D52" s="302"/>
      <c r="E52" s="302"/>
      <c r="F52" s="302"/>
      <c r="G52" s="302"/>
      <c r="H52" s="302"/>
      <c r="I52" s="302"/>
      <c r="J52" s="303"/>
      <c r="K52" s="304"/>
    </row>
    <row r="53" spans="3:21" ht="5.25" customHeight="1"/>
    <row r="54" spans="3:21" ht="5.25" customHeight="1"/>
    <row r="55" spans="3:21">
      <c r="C55" s="305" t="s">
        <v>122</v>
      </c>
      <c r="D55" s="306"/>
      <c r="E55" s="305"/>
      <c r="F55" s="307" t="s">
        <v>34</v>
      </c>
      <c r="G55" s="307" t="s">
        <v>123</v>
      </c>
      <c r="H55" s="307" t="s">
        <v>124</v>
      </c>
      <c r="I55" s="307" t="s">
        <v>35</v>
      </c>
    </row>
    <row r="56" spans="3:21">
      <c r="C56" s="297" t="s">
        <v>125</v>
      </c>
      <c r="F56" s="308">
        <f>C67</f>
        <v>185</v>
      </c>
      <c r="G56" s="41">
        <f>F56/F58</f>
        <v>1</v>
      </c>
      <c r="H56" s="309">
        <f>C68</f>
        <v>745.12812495389073</v>
      </c>
      <c r="I56" s="310">
        <f>C71</f>
        <v>31.908814304665992</v>
      </c>
      <c r="P56" s="118"/>
      <c r="Q56" s="118" t="s">
        <v>106</v>
      </c>
      <c r="R56" s="118">
        <v>2026</v>
      </c>
      <c r="S56" s="118"/>
      <c r="T56" s="118"/>
      <c r="U56" s="118"/>
    </row>
    <row r="57" spans="3:21">
      <c r="C57" s="297"/>
      <c r="F57" s="311">
        <f>D67</f>
        <v>0</v>
      </c>
      <c r="G57" s="312">
        <f>1-G56</f>
        <v>0</v>
      </c>
      <c r="H57" s="313">
        <f>D68</f>
        <v>0</v>
      </c>
      <c r="I57" s="314">
        <f>D71</f>
        <v>0</v>
      </c>
      <c r="P57" s="402">
        <v>184.90000000000006</v>
      </c>
      <c r="Q57" s="118" t="s">
        <v>34</v>
      </c>
      <c r="R57" s="118" t="s">
        <v>155</v>
      </c>
      <c r="S57" s="118"/>
      <c r="T57" s="118"/>
      <c r="U57" s="118" t="str">
        <f>$R$57&amp;"Proposed Station Capital Costs"</f>
        <v>I_NTN_SC_FRMProposed Station Capital Costs</v>
      </c>
    </row>
    <row r="58" spans="3:21">
      <c r="C58" s="297" t="s">
        <v>126</v>
      </c>
      <c r="F58" s="308">
        <f>F56+F57</f>
        <v>185</v>
      </c>
      <c r="G58" s="41">
        <f>G56+G57</f>
        <v>1</v>
      </c>
      <c r="H58" s="309">
        <f>ROUND(((F56*H56)+(F57*H57))/F58,0)</f>
        <v>745</v>
      </c>
      <c r="I58" s="310">
        <f>ROUND(((F56*I56)+(F57*I57))/F58,2)</f>
        <v>31.91</v>
      </c>
      <c r="P58" s="402"/>
      <c r="Q58" s="118" t="s">
        <v>34</v>
      </c>
      <c r="R58" s="118"/>
      <c r="S58" s="120"/>
      <c r="T58" s="118"/>
      <c r="U58" s="118" t="str">
        <f>$R$57&amp;"Proposed Station Fixed Costs"</f>
        <v>I_NTN_SC_FRMProposed Station Fixed Costs</v>
      </c>
    </row>
    <row r="59" spans="3:21">
      <c r="C59" s="297"/>
      <c r="F59" s="308"/>
      <c r="G59" s="41"/>
      <c r="H59" s="315"/>
      <c r="I59" s="316"/>
      <c r="P59" s="118"/>
      <c r="Q59" s="118"/>
      <c r="R59" s="337" t="str">
        <f>R57&amp;R56</f>
        <v>I_NTN_SC_FRM2026</v>
      </c>
      <c r="S59" s="118"/>
      <c r="T59" s="118"/>
      <c r="U59" s="118" t="str">
        <f>$R$57&amp;"Proposed Station Variable O&amp;M Costs"</f>
        <v>I_NTN_SC_FRMProposed Station Variable O&amp;M Costs</v>
      </c>
    </row>
    <row r="60" spans="3:21">
      <c r="C60" s="317" t="s">
        <v>122</v>
      </c>
      <c r="D60" s="306"/>
      <c r="E60" s="305"/>
      <c r="F60" s="307" t="s">
        <v>34</v>
      </c>
      <c r="G60" s="307" t="s">
        <v>36</v>
      </c>
      <c r="H60" s="307" t="s">
        <v>127</v>
      </c>
      <c r="I60" s="307" t="s">
        <v>123</v>
      </c>
      <c r="J60" s="307" t="s">
        <v>128</v>
      </c>
      <c r="K60" s="307" t="s">
        <v>129</v>
      </c>
    </row>
    <row r="61" spans="3:21">
      <c r="C61" s="318" t="str">
        <f>C56</f>
        <v>SCCT Dry "F" - Turbine</v>
      </c>
      <c r="D61" s="319"/>
      <c r="E61" s="319"/>
      <c r="F61" s="85">
        <f>C67</f>
        <v>185</v>
      </c>
      <c r="G61" s="41">
        <f>C75</f>
        <v>0.33</v>
      </c>
      <c r="H61" s="320">
        <f>G61*F61</f>
        <v>61.050000000000004</v>
      </c>
      <c r="I61" s="41">
        <f>H61/H63</f>
        <v>1</v>
      </c>
      <c r="J61" s="316">
        <f>C72</f>
        <v>7.7612665227267676</v>
      </c>
      <c r="K61" s="321">
        <f>C73</f>
        <v>9786.4587359536672</v>
      </c>
    </row>
    <row r="62" spans="3:21">
      <c r="C62" s="318">
        <f>C57</f>
        <v>0</v>
      </c>
      <c r="D62" s="319"/>
      <c r="E62" s="319"/>
      <c r="F62" s="322">
        <f>D67</f>
        <v>0</v>
      </c>
      <c r="G62" s="312">
        <f>D75</f>
        <v>0</v>
      </c>
      <c r="H62" s="323">
        <f>G62*F62</f>
        <v>0</v>
      </c>
      <c r="I62" s="312">
        <f>1-I61</f>
        <v>0</v>
      </c>
      <c r="J62" s="324">
        <f>D72</f>
        <v>0</v>
      </c>
      <c r="K62" s="325">
        <f>D73</f>
        <v>0</v>
      </c>
    </row>
    <row r="63" spans="3:21">
      <c r="C63" s="297" t="s">
        <v>130</v>
      </c>
      <c r="F63" s="85">
        <f>F61+F62</f>
        <v>185</v>
      </c>
      <c r="G63" s="326">
        <f>ROUND(H63/F63,3)</f>
        <v>0.33</v>
      </c>
      <c r="H63" s="320">
        <f>SUM(H61:H62)</f>
        <v>61.050000000000004</v>
      </c>
      <c r="I63" s="41">
        <f>I61+I62</f>
        <v>1</v>
      </c>
      <c r="J63" s="316">
        <f>ROUND(($I61*J61)+($I62*J62),2)</f>
        <v>7.76</v>
      </c>
      <c r="K63" s="327">
        <f>ROUND(($I61*K61)+($I62*K62),0)</f>
        <v>9786</v>
      </c>
    </row>
    <row r="64" spans="3:21">
      <c r="G64" s="326"/>
      <c r="I64" s="41"/>
      <c r="J64" s="316"/>
      <c r="K64" s="328" t="s">
        <v>131</v>
      </c>
    </row>
    <row r="66" spans="2:29">
      <c r="C66" s="307" t="s">
        <v>132</v>
      </c>
      <c r="D66" s="307" t="s">
        <v>133</v>
      </c>
      <c r="E66" s="329" t="str">
        <f>D44</f>
        <v xml:space="preserve">Plant Costs  - 2019 IRP - Table 6.1 &amp; 6.2 </v>
      </c>
      <c r="F66" s="330"/>
      <c r="G66" s="330"/>
      <c r="H66" s="330"/>
      <c r="I66" s="330"/>
      <c r="J66" s="330"/>
      <c r="K66" s="331"/>
    </row>
    <row r="67" spans="2:29">
      <c r="C67" s="85">
        <v>185</v>
      </c>
      <c r="E67" s="85" t="s">
        <v>134</v>
      </c>
      <c r="H67" s="332"/>
    </row>
    <row r="68" spans="2:29">
      <c r="B68" s="85" t="s">
        <v>104</v>
      </c>
      <c r="C68" s="315">
        <v>745.12812495389073</v>
      </c>
      <c r="D68" s="315"/>
      <c r="E68" s="85" t="s">
        <v>135</v>
      </c>
      <c r="M68" s="403"/>
    </row>
    <row r="69" spans="2:29">
      <c r="B69" s="85" t="s">
        <v>104</v>
      </c>
      <c r="C69" s="316">
        <v>17.005460468665991</v>
      </c>
      <c r="D69" s="316"/>
      <c r="E69" s="85" t="s">
        <v>136</v>
      </c>
    </row>
    <row r="70" spans="2:29">
      <c r="B70" s="85" t="s">
        <v>104</v>
      </c>
      <c r="C70" s="333">
        <v>14.903353836000001</v>
      </c>
      <c r="D70" s="333"/>
      <c r="E70" s="85" t="s">
        <v>137</v>
      </c>
    </row>
    <row r="71" spans="2:29">
      <c r="B71" s="85" t="s">
        <v>104</v>
      </c>
      <c r="C71" s="316">
        <f>C69+C70</f>
        <v>31.908814304665992</v>
      </c>
      <c r="D71" s="316"/>
      <c r="E71" s="85" t="s">
        <v>138</v>
      </c>
    </row>
    <row r="72" spans="2:29">
      <c r="B72" s="85" t="s">
        <v>104</v>
      </c>
      <c r="C72" s="316">
        <v>7.7612665227267676</v>
      </c>
      <c r="D72" s="316"/>
      <c r="E72" s="85" t="s">
        <v>139</v>
      </c>
    </row>
    <row r="73" spans="2:29">
      <c r="C73" s="327">
        <v>9786.4587359536672</v>
      </c>
      <c r="D73" s="327"/>
      <c r="E73" s="85" t="s">
        <v>140</v>
      </c>
    </row>
    <row r="74" spans="2:29">
      <c r="C74" s="334">
        <v>6.9588491515316389E-2</v>
      </c>
      <c r="D74" s="334"/>
      <c r="E74" s="85" t="s">
        <v>38</v>
      </c>
      <c r="AB74" s="120"/>
      <c r="AC74" s="120"/>
    </row>
    <row r="75" spans="2:29">
      <c r="C75" s="335">
        <v>0.33</v>
      </c>
      <c r="D75" s="335"/>
      <c r="E75" s="85" t="s">
        <v>39</v>
      </c>
      <c r="AB75" s="120"/>
      <c r="AC75" s="120"/>
    </row>
    <row r="76" spans="2:29">
      <c r="D76" s="41">
        <f>ROUND(H63/F63,3)</f>
        <v>0.33</v>
      </c>
      <c r="E76" s="85" t="s">
        <v>141</v>
      </c>
      <c r="AB76" s="120"/>
      <c r="AC76" s="120"/>
    </row>
    <row r="77" spans="2:29">
      <c r="D77" s="326"/>
      <c r="E77" s="50"/>
      <c r="AB77" s="120"/>
      <c r="AC77" s="120"/>
    </row>
    <row r="78" spans="2:29">
      <c r="B78" s="49"/>
      <c r="C78" s="49"/>
      <c r="D78" s="49"/>
      <c r="E78" s="49"/>
      <c r="F78" s="49"/>
      <c r="AB78" s="120"/>
      <c r="AC78" s="120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September 30, 2019</v>
      </c>
      <c r="D80" s="143"/>
      <c r="E80" s="143"/>
      <c r="F80" s="143"/>
      <c r="G80" s="143"/>
      <c r="H80" s="143"/>
      <c r="I80" s="143"/>
      <c r="J80" s="143"/>
      <c r="K80" s="143"/>
      <c r="L80" s="145"/>
    </row>
    <row r="81" spans="3:29">
      <c r="C81" s="87">
        <v>2017</v>
      </c>
      <c r="D81" s="41">
        <v>1.9145270054670371E-2</v>
      </c>
      <c r="F81" s="87">
        <f>C89+1</f>
        <v>2026</v>
      </c>
      <c r="G81" s="41">
        <v>2.2057111549789621E-2</v>
      </c>
      <c r="H81" s="41"/>
      <c r="I81" s="87">
        <f>F89+1</f>
        <v>2035</v>
      </c>
      <c r="J81" s="41">
        <v>2.0995109139608337E-2</v>
      </c>
      <c r="K81" s="118"/>
      <c r="L81" s="118"/>
    </row>
    <row r="82" spans="3:29">
      <c r="C82" s="87">
        <f t="shared" ref="C82:C89" si="17">C81+1</f>
        <v>2018</v>
      </c>
      <c r="D82" s="41">
        <v>2.3994563767884003E-2</v>
      </c>
      <c r="F82" s="87">
        <f t="shared" ref="F82:F89" si="18">F81+1</f>
        <v>2027</v>
      </c>
      <c r="G82" s="41">
        <v>2.2179175772425452E-2</v>
      </c>
      <c r="H82" s="41"/>
      <c r="I82" s="87">
        <f>I81+1</f>
        <v>2036</v>
      </c>
      <c r="J82" s="41">
        <v>2.0839652371155371E-2</v>
      </c>
      <c r="K82" s="118"/>
      <c r="L82" s="118"/>
    </row>
    <row r="83" spans="3:29">
      <c r="C83" s="87">
        <f t="shared" si="17"/>
        <v>2019</v>
      </c>
      <c r="D83" s="41">
        <v>1.9651346350279875E-2</v>
      </c>
      <c r="F83" s="87">
        <f t="shared" si="18"/>
        <v>2028</v>
      </c>
      <c r="G83" s="41">
        <v>2.2447976887115972E-2</v>
      </c>
      <c r="H83" s="41"/>
      <c r="I83" s="87">
        <f t="shared" ref="I83:I89" si="19">I82+1</f>
        <v>2037</v>
      </c>
      <c r="J83" s="41">
        <v>2.0854082421584375E-2</v>
      </c>
      <c r="K83" s="118"/>
      <c r="L83" s="118"/>
    </row>
    <row r="84" spans="3:29">
      <c r="C84" s="87">
        <f t="shared" si="17"/>
        <v>2020</v>
      </c>
      <c r="D84" s="41">
        <v>2.6147280919121885E-2</v>
      </c>
      <c r="F84" s="87">
        <f t="shared" si="18"/>
        <v>2029</v>
      </c>
      <c r="G84" s="41">
        <v>2.2764957830614385E-2</v>
      </c>
      <c r="H84" s="41"/>
      <c r="I84" s="87">
        <f t="shared" si="19"/>
        <v>2038</v>
      </c>
      <c r="J84" s="41">
        <v>2.0886076981620372E-2</v>
      </c>
      <c r="K84" s="118"/>
      <c r="L84" s="118"/>
    </row>
    <row r="85" spans="3:29">
      <c r="C85" s="87">
        <f t="shared" si="17"/>
        <v>2021</v>
      </c>
      <c r="D85" s="41">
        <v>2.5435997430165225E-2</v>
      </c>
      <c r="F85" s="87">
        <f t="shared" si="18"/>
        <v>2030</v>
      </c>
      <c r="G85" s="41">
        <v>2.2409251338579406E-2</v>
      </c>
      <c r="H85" s="41"/>
      <c r="I85" s="87">
        <f t="shared" si="19"/>
        <v>2039</v>
      </c>
      <c r="J85" s="41">
        <v>2.0755199547329406E-2</v>
      </c>
      <c r="K85" s="118"/>
      <c r="L85" s="118"/>
    </row>
    <row r="86" spans="3:29">
      <c r="C86" s="87">
        <f t="shared" si="17"/>
        <v>2022</v>
      </c>
      <c r="D86" s="41">
        <v>2.5246661572301266E-2</v>
      </c>
      <c r="F86" s="87">
        <f t="shared" si="18"/>
        <v>2031</v>
      </c>
      <c r="G86" s="41">
        <v>2.1876862460861402E-2</v>
      </c>
      <c r="H86" s="41"/>
      <c r="I86" s="87">
        <f t="shared" si="19"/>
        <v>2040</v>
      </c>
      <c r="J86" s="41">
        <v>2.0747934127706591E-2</v>
      </c>
      <c r="K86" s="118"/>
      <c r="L86" s="118"/>
    </row>
    <row r="87" spans="3:29" s="86" customFormat="1">
      <c r="C87" s="87">
        <f t="shared" si="17"/>
        <v>2023</v>
      </c>
      <c r="D87" s="41">
        <v>2.4577195966118071E-2</v>
      </c>
      <c r="F87" s="87">
        <f t="shared" si="18"/>
        <v>2032</v>
      </c>
      <c r="G87" s="41">
        <v>2.1570874084378078E-2</v>
      </c>
      <c r="H87" s="41"/>
      <c r="I87" s="87">
        <f t="shared" si="19"/>
        <v>2041</v>
      </c>
      <c r="J87" s="41">
        <v>2.0871781890604124E-2</v>
      </c>
      <c r="K87" s="120"/>
      <c r="L87" s="120"/>
      <c r="N87" s="85"/>
      <c r="O87" s="85"/>
      <c r="AB87" s="118"/>
      <c r="AC87" s="118"/>
    </row>
    <row r="88" spans="3:29" s="86" customFormat="1">
      <c r="C88" s="87">
        <f t="shared" si="17"/>
        <v>2024</v>
      </c>
      <c r="D88" s="41">
        <v>2.3256370085936506E-2</v>
      </c>
      <c r="F88" s="87">
        <f t="shared" si="18"/>
        <v>2033</v>
      </c>
      <c r="G88" s="41">
        <v>2.144511122277093E-2</v>
      </c>
      <c r="H88" s="41"/>
      <c r="I88" s="87">
        <f t="shared" si="19"/>
        <v>2042</v>
      </c>
      <c r="J88" s="41">
        <v>2.1078469389761434E-2</v>
      </c>
      <c r="K88" s="120"/>
      <c r="L88" s="120"/>
      <c r="N88" s="85"/>
      <c r="O88" s="85"/>
      <c r="AB88" s="118"/>
      <c r="AC88" s="118"/>
    </row>
    <row r="89" spans="3:29" s="86" customFormat="1">
      <c r="C89" s="87">
        <f t="shared" si="17"/>
        <v>2025</v>
      </c>
      <c r="D89" s="41">
        <v>2.2304783799234951E-2</v>
      </c>
      <c r="F89" s="87">
        <f t="shared" si="18"/>
        <v>2034</v>
      </c>
      <c r="G89" s="41">
        <v>2.1010014778543251E-2</v>
      </c>
      <c r="H89" s="41"/>
      <c r="I89" s="87">
        <f t="shared" si="19"/>
        <v>2043</v>
      </c>
      <c r="J89" s="41">
        <v>2.1194942793044236E-2</v>
      </c>
      <c r="K89" s="120"/>
      <c r="L89" s="120"/>
      <c r="N89" s="85"/>
      <c r="O89" s="85"/>
      <c r="AB89" s="118"/>
      <c r="AC89" s="118"/>
    </row>
    <row r="90" spans="3:29" s="86" customFormat="1">
      <c r="N90" s="85"/>
      <c r="O90" s="85"/>
      <c r="AB90" s="118"/>
      <c r="AC90" s="118"/>
    </row>
    <row r="91" spans="3:29" s="86" customFormat="1">
      <c r="N91" s="85"/>
      <c r="O91" s="85"/>
      <c r="AB91" s="118"/>
      <c r="AC91" s="118"/>
    </row>
    <row r="92" spans="3:29">
      <c r="D92" s="336"/>
    </row>
    <row r="93" spans="3:29">
      <c r="D93" s="336"/>
    </row>
  </sheetData>
  <printOptions horizontalCentered="1"/>
  <pageMargins left="0.25" right="0.25" top="0.75" bottom="0.75" header="0.3" footer="0.3"/>
  <pageSetup scale="84" fitToHeight="0" orientation="portrait" r:id="rId1"/>
  <headerFooter alignWithMargins="0"/>
  <rowBreaks count="1" manualBreakCount="1">
    <brk id="5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view="pageBreakPreview" zoomScale="60" zoomScaleNormal="100" workbookViewId="0">
      <selection activeCell="D20" sqref="D20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1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/>
    <col min="16" max="16" width="10" style="118" customWidth="1"/>
    <col min="17" max="17" width="25.1640625" style="118" customWidth="1"/>
    <col min="18" max="18" width="18.1640625" style="118" customWidth="1"/>
    <col min="19" max="19" width="9.33203125" style="118"/>
    <col min="20" max="20" width="16.6640625" style="118" customWidth="1"/>
    <col min="21" max="21" width="11.83203125" style="118" customWidth="1"/>
    <col min="22" max="22" width="9.6640625" style="118" bestFit="1" customWidth="1"/>
    <col min="23" max="16384" width="9.33203125" style="118"/>
  </cols>
  <sheetData>
    <row r="1" spans="2:25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25" ht="15.75">
      <c r="B2" s="116" t="s">
        <v>160</v>
      </c>
      <c r="C2" s="117"/>
      <c r="D2" s="117"/>
      <c r="E2" s="117"/>
      <c r="F2" s="117"/>
      <c r="G2" s="117"/>
      <c r="H2" s="117"/>
      <c r="I2" s="117"/>
      <c r="J2" s="117"/>
    </row>
    <row r="3" spans="2:25" ht="15.75">
      <c r="B3" s="116" t="str">
        <f>TEXT($C$63,"0%")&amp;" Capacity Factor"</f>
        <v>37% Capacity Factor</v>
      </c>
      <c r="C3" s="117"/>
      <c r="D3" s="117"/>
      <c r="E3" s="117"/>
      <c r="F3" s="117"/>
      <c r="G3" s="117"/>
      <c r="H3" s="117"/>
      <c r="I3" s="117"/>
      <c r="J3" s="117"/>
    </row>
    <row r="4" spans="2:25">
      <c r="B4" s="119"/>
      <c r="C4" s="119"/>
      <c r="D4" s="119"/>
      <c r="E4" s="119"/>
      <c r="F4" s="119"/>
      <c r="G4" s="119"/>
      <c r="H4" s="119"/>
      <c r="I4" s="120"/>
      <c r="J4" s="120"/>
      <c r="K4" s="120"/>
    </row>
    <row r="5" spans="2:25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</row>
    <row r="6" spans="2:25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25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</row>
    <row r="8" spans="2:25" ht="6" customHeight="1">
      <c r="K8" s="120"/>
    </row>
    <row r="9" spans="2:25" ht="15.75">
      <c r="B9" s="43" t="str">
        <f>C52</f>
        <v>2019 IRP Yakima Wind with Storage Resource - 37% Capacity Factor</v>
      </c>
      <c r="C9" s="120"/>
      <c r="E9" s="120"/>
      <c r="F9" s="120"/>
      <c r="G9" s="120"/>
      <c r="H9" s="120"/>
      <c r="I9" s="120"/>
      <c r="J9" s="120"/>
      <c r="K9" s="120"/>
      <c r="N9" s="118"/>
    </row>
    <row r="10" spans="2:25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</row>
    <row r="11" spans="2:25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</row>
    <row r="12" spans="2:25">
      <c r="B12" s="136">
        <f t="shared" si="0"/>
        <v>2018</v>
      </c>
      <c r="C12" s="137"/>
      <c r="D12" s="129"/>
      <c r="E12" s="149"/>
      <c r="F12" s="149"/>
      <c r="G12" s="131"/>
      <c r="H12" s="149">
        <f>$C$58</f>
        <v>10</v>
      </c>
      <c r="I12" s="131"/>
      <c r="J12" s="131"/>
      <c r="K12" s="129">
        <f>(D12+E12+F12)</f>
        <v>0</v>
      </c>
      <c r="L12" s="120"/>
      <c r="N12" s="118"/>
      <c r="R12" s="149"/>
      <c r="T12" s="162"/>
      <c r="U12" s="154"/>
      <c r="V12" s="154"/>
      <c r="W12" s="154"/>
      <c r="X12" s="154"/>
      <c r="Y12" s="154"/>
    </row>
    <row r="13" spans="2:25">
      <c r="B13" s="136">
        <f t="shared" si="0"/>
        <v>2019</v>
      </c>
      <c r="C13" s="137"/>
      <c r="D13" s="129"/>
      <c r="E13" s="149"/>
      <c r="F13" s="149"/>
      <c r="G13" s="131"/>
      <c r="H13" s="129">
        <f>ROUND(H12*(1+(IFERROR(INDEX($D$66:$D$74,MATCH($B13,$C$66:$C$74,0),1),0)+IFERROR(INDEX($G$66:$G$74,MATCH($B13,$F$66:$F$74,0),1),0)+IFERROR(INDEX(#REF!,MATCH($B13,$I$66:$I$74,0),1),0))),2)</f>
        <v>10.199999999999999</v>
      </c>
      <c r="I13" s="131"/>
      <c r="J13" s="131"/>
      <c r="K13" s="129">
        <f t="shared" ref="K13:K37" si="1">(D13+E13+F13)</f>
        <v>0</v>
      </c>
      <c r="L13" s="120"/>
      <c r="N13" s="118"/>
      <c r="V13" s="154"/>
      <c r="W13" s="154"/>
      <c r="X13" s="154"/>
      <c r="Y13" s="154"/>
    </row>
    <row r="14" spans="2:25">
      <c r="B14" s="136">
        <f t="shared" si="0"/>
        <v>2020</v>
      </c>
      <c r="C14" s="137"/>
      <c r="D14" s="129"/>
      <c r="E14" s="129"/>
      <c r="F14" s="129"/>
      <c r="G14" s="131"/>
      <c r="H14" s="129">
        <f>ROUND(H13*(1+(IFERROR(INDEX($D$66:$D$74,MATCH($B14,$C$66:$C$74,0),1),0)+IFERROR(INDEX($G$66:$G$74,MATCH($B14,$F$66:$F$74,0),1),0)+IFERROR(INDEX(#REF!,MATCH($B14,$I$66:$I$74,0),1),0))),2)</f>
        <v>10.47</v>
      </c>
      <c r="I14" s="131"/>
      <c r="J14" s="131"/>
      <c r="K14" s="129">
        <f t="shared" si="1"/>
        <v>0</v>
      </c>
      <c r="L14" s="120"/>
      <c r="N14" s="118"/>
      <c r="O14" s="133"/>
      <c r="P14" s="397"/>
      <c r="Q14" s="398"/>
      <c r="V14" s="154"/>
      <c r="W14" s="154"/>
      <c r="X14" s="154"/>
      <c r="Y14" s="154"/>
    </row>
    <row r="15" spans="2:25">
      <c r="B15" s="136">
        <f t="shared" si="0"/>
        <v>2021</v>
      </c>
      <c r="C15" s="137"/>
      <c r="D15" s="129"/>
      <c r="E15" s="129"/>
      <c r="F15" s="129"/>
      <c r="G15" s="131"/>
      <c r="H15" s="129">
        <f>ROUND(H14*(1+(IFERROR(INDEX($D$66:$D$74,MATCH($B15,$C$66:$C$74,0),1),0)+IFERROR(INDEX($G$66:$G$74,MATCH($B15,$F$66:$F$74,0),1),0)+IFERROR(INDEX(#REF!,MATCH($B15,$I$66:$I$74,0),1),0))),2)</f>
        <v>10.74</v>
      </c>
      <c r="I15" s="131"/>
      <c r="J15" s="131"/>
      <c r="K15" s="129">
        <f t="shared" si="1"/>
        <v>0</v>
      </c>
      <c r="L15" s="120"/>
      <c r="N15" s="118"/>
      <c r="O15" s="399"/>
      <c r="P15" s="397"/>
      <c r="Q15" s="398"/>
      <c r="V15" s="154"/>
      <c r="W15" s="154"/>
      <c r="X15" s="154"/>
      <c r="Y15" s="154"/>
    </row>
    <row r="16" spans="2:25">
      <c r="B16" s="136">
        <f t="shared" si="0"/>
        <v>2022</v>
      </c>
      <c r="C16" s="137"/>
      <c r="D16" s="129"/>
      <c r="E16" s="129"/>
      <c r="F16" s="129"/>
      <c r="G16" s="131"/>
      <c r="H16" s="129">
        <f>ROUND(H15*(1+(IFERROR(INDEX($D$66:$D$74,MATCH($B16,$C$66:$C$74,0),1),0)+IFERROR(INDEX($G$66:$G$74,MATCH($B16,$F$66:$F$74,0),1),0)+IFERROR(INDEX(#REF!,MATCH($B16,$I$66:$I$74,0),1),0))),2)</f>
        <v>11.01</v>
      </c>
      <c r="I16" s="131"/>
      <c r="J16" s="131"/>
      <c r="K16" s="129">
        <f t="shared" si="1"/>
        <v>0</v>
      </c>
      <c r="L16" s="120"/>
      <c r="N16" s="118"/>
      <c r="V16" s="154"/>
      <c r="W16" s="154"/>
      <c r="X16" s="154"/>
      <c r="Y16" s="154"/>
    </row>
    <row r="17" spans="2:25">
      <c r="B17" s="136">
        <f t="shared" si="0"/>
        <v>2023</v>
      </c>
      <c r="C17" s="137"/>
      <c r="D17" s="129"/>
      <c r="E17" s="129"/>
      <c r="F17" s="129"/>
      <c r="G17" s="131"/>
      <c r="H17" s="129">
        <f>ROUND(H16*(1+(IFERROR(INDEX($D$66:$D$74,MATCH($B17,$C$66:$C$74,0),1),0)+IFERROR(INDEX($G$66:$G$74,MATCH($B17,$F$66:$F$74,0),1),0)+IFERROR(INDEX(#REF!,MATCH($B17,$I$66:$I$74,0),1),0))),2)</f>
        <v>11.28</v>
      </c>
      <c r="I17" s="131"/>
      <c r="J17" s="131"/>
      <c r="K17" s="129">
        <f t="shared" si="1"/>
        <v>0</v>
      </c>
      <c r="L17" s="120"/>
      <c r="N17" s="118"/>
      <c r="O17" s="133"/>
      <c r="V17" s="154"/>
      <c r="W17" s="154"/>
      <c r="X17" s="154"/>
      <c r="Y17" s="154"/>
    </row>
    <row r="18" spans="2:25">
      <c r="B18" s="136">
        <f t="shared" si="0"/>
        <v>2024</v>
      </c>
      <c r="C18" s="137"/>
      <c r="D18" s="129"/>
      <c r="E18" s="149"/>
      <c r="F18" s="149"/>
      <c r="G18" s="131"/>
      <c r="H18" s="129">
        <f>ROUND(H17*(1+(IFERROR(INDEX($D$66:$D$74,MATCH($B18,$C$66:$C$74,0),1),0)+IFERROR(INDEX($G$66:$G$74,MATCH($B18,$F$66:$F$74,0),1),0)+IFERROR(INDEX(#REF!,MATCH($B18,$I$66:$I$74,0),1),0))),2)</f>
        <v>11.54</v>
      </c>
      <c r="I18" s="131"/>
      <c r="J18" s="131"/>
      <c r="K18" s="129">
        <f t="shared" si="1"/>
        <v>0</v>
      </c>
      <c r="L18" s="120"/>
      <c r="N18" s="118"/>
      <c r="T18" s="162"/>
      <c r="U18" s="154"/>
      <c r="V18" s="154"/>
      <c r="W18" s="154"/>
      <c r="X18" s="154"/>
      <c r="Y18" s="154"/>
    </row>
    <row r="19" spans="2:25">
      <c r="B19" s="136">
        <f t="shared" si="0"/>
        <v>2025</v>
      </c>
      <c r="C19" s="137"/>
      <c r="D19" s="129"/>
      <c r="E19" s="149"/>
      <c r="F19" s="149"/>
      <c r="G19" s="131"/>
      <c r="H19" s="129">
        <f>ROUND(H18*(1+(IFERROR(INDEX($D$66:$D$74,MATCH($B19,$C$66:$C$74,0),1),0)+IFERROR(INDEX($G$66:$G$74,MATCH($B19,$F$66:$F$74,0),1),0)+IFERROR(INDEX(#REF!,MATCH($B19,$I$66:$I$74,0),1),0))),2)</f>
        <v>11.8</v>
      </c>
      <c r="I19" s="131"/>
      <c r="J19" s="131"/>
      <c r="K19" s="129">
        <f t="shared" si="1"/>
        <v>0</v>
      </c>
      <c r="L19" s="120"/>
      <c r="N19" s="118"/>
      <c r="T19" s="162"/>
      <c r="U19" s="154"/>
      <c r="V19" s="154"/>
      <c r="W19" s="154"/>
      <c r="X19" s="154"/>
      <c r="Y19" s="154"/>
    </row>
    <row r="20" spans="2:25">
      <c r="B20" s="136">
        <f t="shared" si="0"/>
        <v>2026</v>
      </c>
      <c r="C20" s="137"/>
      <c r="D20" s="129"/>
      <c r="E20" s="149"/>
      <c r="F20" s="149"/>
      <c r="G20" s="131"/>
      <c r="H20" s="129">
        <f>ROUND(H19*(1+(IFERROR(INDEX($D$66:$D$74,MATCH($B20,$C$66:$C$74,0),1),0)+IFERROR(INDEX($G$66:$G$74,MATCH($B20,$F$66:$F$74,0),1),0)+IFERROR(INDEX(#REF!,MATCH($B20,$I$66:$I$74,0),1),0))),2)</f>
        <v>12.06</v>
      </c>
      <c r="I20" s="131"/>
      <c r="J20" s="131"/>
      <c r="K20" s="129">
        <f t="shared" si="1"/>
        <v>0</v>
      </c>
      <c r="L20" s="120"/>
      <c r="N20" s="118"/>
      <c r="R20" s="154"/>
      <c r="T20" s="162"/>
      <c r="U20" s="154"/>
      <c r="V20" s="154"/>
      <c r="W20" s="154"/>
      <c r="X20" s="154"/>
      <c r="Y20" s="154"/>
    </row>
    <row r="21" spans="2:25">
      <c r="B21" s="136">
        <f t="shared" si="0"/>
        <v>2027</v>
      </c>
      <c r="C21" s="137"/>
      <c r="D21" s="129"/>
      <c r="E21" s="149"/>
      <c r="F21" s="149"/>
      <c r="G21" s="131"/>
      <c r="H21" s="129">
        <f>ROUND(H20*(1+(IFERROR(INDEX($D$66:$D$74,MATCH($B21,$C$66:$C$74,0),1),0)+IFERROR(INDEX($G$66:$G$74,MATCH($B21,$F$66:$F$74,0),1),0)+IFERROR(INDEX(#REF!,MATCH($B21,$I$66:$I$74,0),1),0))),2)</f>
        <v>12.33</v>
      </c>
      <c r="I21" s="131"/>
      <c r="J21" s="131"/>
      <c r="K21" s="129">
        <f t="shared" si="1"/>
        <v>0</v>
      </c>
      <c r="L21" s="120"/>
      <c r="N21" s="118"/>
      <c r="R21" s="154"/>
      <c r="T21" s="162"/>
      <c r="U21" s="154"/>
      <c r="V21" s="154"/>
      <c r="W21" s="154"/>
      <c r="X21" s="154"/>
      <c r="Y21" s="154"/>
    </row>
    <row r="22" spans="2:25">
      <c r="B22" s="136">
        <f t="shared" si="0"/>
        <v>2028</v>
      </c>
      <c r="C22" s="137"/>
      <c r="D22" s="129"/>
      <c r="E22" s="149"/>
      <c r="F22" s="149"/>
      <c r="G22" s="131"/>
      <c r="H22" s="129">
        <f>ROUND(H21*(1+(IFERROR(INDEX($D$66:$D$74,MATCH($B22,$C$66:$C$74,0),1),0)+IFERROR(INDEX($G$66:$G$74,MATCH($B22,$F$66:$F$74,0),1),0)+IFERROR(INDEX(#REF!,MATCH($B22,$I$66:$I$74,0),1),0))),2)</f>
        <v>12.61</v>
      </c>
      <c r="I22" s="131"/>
      <c r="J22" s="131"/>
      <c r="K22" s="129">
        <f t="shared" si="1"/>
        <v>0</v>
      </c>
      <c r="L22" s="120"/>
      <c r="N22" s="118"/>
      <c r="R22" s="154"/>
      <c r="T22" s="162"/>
      <c r="U22" s="154"/>
      <c r="V22" s="154"/>
      <c r="W22" s="154"/>
      <c r="X22" s="154"/>
      <c r="Y22" s="154"/>
    </row>
    <row r="23" spans="2:25">
      <c r="B23" s="136">
        <f t="shared" si="0"/>
        <v>2029</v>
      </c>
      <c r="C23" s="137">
        <v>1709.591836734694</v>
      </c>
      <c r="D23" s="129">
        <f>C23*$C$62</f>
        <v>117.94474081632653</v>
      </c>
      <c r="E23" s="149">
        <v>25</v>
      </c>
      <c r="F23" s="129">
        <f>INDEX('Table 3 PV wS YK_2024'!$F$10:$F$38,MATCH(B23,'Table 3 PV wS YK_2024'!$B$10:$B$38,0),1)</f>
        <v>0.44</v>
      </c>
      <c r="G23" s="131">
        <f>(D23+E23+F23)/(8.76*$C$63)</f>
        <v>44.118924791790221</v>
      </c>
      <c r="H23" s="129">
        <f>ROUND(H22*(1+(IFERROR(INDEX($D$66:$D$74,MATCH($B23,$C$66:$C$74,0),1),0)+IFERROR(INDEX($G$66:$G$74,MATCH($B23,$F$66:$F$74,0),1),0)+IFERROR(INDEX(#REF!,MATCH($B23,$I$66:$I$74,0),1),0))),2)</f>
        <v>12.9</v>
      </c>
      <c r="I23" s="131">
        <f>(G23+H23)</f>
        <v>57.018924791790219</v>
      </c>
      <c r="J23" s="131">
        <f t="shared" ref="J23" si="2">ROUND(I23*$C$63*8.76,2)</f>
        <v>185.31</v>
      </c>
      <c r="K23" s="129">
        <f t="shared" si="1"/>
        <v>143.38474081632654</v>
      </c>
      <c r="L23" s="120"/>
      <c r="N23" s="118"/>
      <c r="P23" s="200"/>
      <c r="R23" s="154"/>
      <c r="T23" s="162"/>
      <c r="U23" s="154"/>
      <c r="V23" s="154"/>
      <c r="W23" s="154"/>
      <c r="X23" s="154"/>
      <c r="Y23" s="154"/>
    </row>
    <row r="24" spans="2:25">
      <c r="B24" s="136">
        <f t="shared" si="0"/>
        <v>2030</v>
      </c>
      <c r="C24" s="137"/>
      <c r="D24" s="129">
        <f t="shared" ref="D24:E37" si="3">ROUND(D23*(1+(IFERROR(INDEX($D$66:$D$74,MATCH($B24,$C$66:$C$74,0),1),0)+IFERROR(INDEX($G$66:$G$74,MATCH($B24,$F$66:$F$74,0),1),0)+IFERROR(INDEX($J$66:$J$74,MATCH($B24,$I$66:$I$74,0),1),0))),2)</f>
        <v>120.59</v>
      </c>
      <c r="E24" s="149">
        <v>25.510204081632654</v>
      </c>
      <c r="F24" s="129">
        <f>INDEX('Table 3 PV wS YK_2024'!$F$10:$F$38,MATCH(B24,'Table 3 PV wS YK_2024'!$B$10:$B$38,0),1)</f>
        <v>0.45</v>
      </c>
      <c r="G24" s="131">
        <f t="shared" ref="G24:G37" si="4">(D24+E24+F24)/(8.76*$C$63)</f>
        <v>45.092925476508221</v>
      </c>
      <c r="H24" s="129">
        <f>ROUND(H23*(1+(IFERROR(INDEX($D$66:$D$74,MATCH($B24,$C$66:$C$74,0),1),0)+IFERROR(INDEX($G$66:$G$74,MATCH($B24,$F$66:$F$74,0),1),0)+IFERROR(INDEX(#REF!,MATCH($B24,$I$66:$I$74,0),1),0))),2)</f>
        <v>13.19</v>
      </c>
      <c r="I24" s="131">
        <f t="shared" ref="I24:I37" si="5">(G24+H24)</f>
        <v>58.282925476508218</v>
      </c>
      <c r="J24" s="131">
        <f t="shared" ref="J24:J32" si="6">ROUND(I24*$C$63*8.76,2)</f>
        <v>189.42</v>
      </c>
      <c r="K24" s="129">
        <f t="shared" si="1"/>
        <v>146.55020408163264</v>
      </c>
      <c r="L24" s="120"/>
      <c r="N24" s="118"/>
      <c r="R24" s="154"/>
      <c r="T24" s="162"/>
      <c r="U24" s="154"/>
      <c r="V24" s="154"/>
      <c r="W24" s="154"/>
      <c r="X24" s="154"/>
      <c r="Y24" s="154"/>
    </row>
    <row r="25" spans="2:25">
      <c r="B25" s="136">
        <f t="shared" si="0"/>
        <v>2031</v>
      </c>
      <c r="C25" s="137"/>
      <c r="D25" s="129">
        <f t="shared" si="3"/>
        <v>123.23</v>
      </c>
      <c r="E25" s="149">
        <v>26.122448979591837</v>
      </c>
      <c r="F25" s="129">
        <f>INDEX('Table 3 PV wS YK_2024'!$F$10:$F$38,MATCH(B25,'Table 3 PV wS YK_2024'!$B$10:$B$38,0),1)</f>
        <v>0.46</v>
      </c>
      <c r="G25" s="131">
        <f t="shared" si="4"/>
        <v>46.09670549163431</v>
      </c>
      <c r="H25" s="129">
        <f>ROUND(H24*(1+(IFERROR(INDEX($D$66:$D$74,MATCH($B25,$C$66:$C$74,0),1),0)+IFERROR(INDEX($G$66:$G$74,MATCH($B25,$F$66:$F$74,0),1),0)+IFERROR(INDEX(#REF!,MATCH($B25,$I$66:$I$74,0),1),0))),2)</f>
        <v>13.48</v>
      </c>
      <c r="I25" s="131">
        <f t="shared" si="5"/>
        <v>59.576705491634314</v>
      </c>
      <c r="J25" s="131">
        <f t="shared" si="6"/>
        <v>193.62</v>
      </c>
      <c r="K25" s="129">
        <f t="shared" si="1"/>
        <v>149.81244897959184</v>
      </c>
      <c r="L25" s="120"/>
      <c r="N25" s="118"/>
      <c r="R25" s="154"/>
      <c r="T25" s="162"/>
      <c r="U25" s="154"/>
      <c r="V25" s="154"/>
      <c r="W25" s="154"/>
      <c r="X25" s="154"/>
      <c r="Y25" s="154"/>
    </row>
    <row r="26" spans="2:25">
      <c r="B26" s="136">
        <f t="shared" si="0"/>
        <v>2032</v>
      </c>
      <c r="C26" s="137"/>
      <c r="D26" s="129">
        <f t="shared" si="3"/>
        <v>125.89</v>
      </c>
      <c r="E26" s="149">
        <v>26.73469387755102</v>
      </c>
      <c r="F26" s="129">
        <f>INDEX('Table 3 PV wS YK_2024'!$F$10:$F$38,MATCH(B26,'Table 3 PV wS YK_2024'!$B$10:$B$38,0),1)</f>
        <v>0.47</v>
      </c>
      <c r="G26" s="131">
        <f t="shared" si="4"/>
        <v>47.106639428654823</v>
      </c>
      <c r="H26" s="129">
        <f>ROUND(H25*(1+(IFERROR(INDEX($D$66:$D$74,MATCH($B26,$C$66:$C$74,0),1),0)+IFERROR(INDEX($G$66:$G$74,MATCH($B26,$F$66:$F$74,0),1),0)+IFERROR(INDEX(#REF!,MATCH($B26,$I$66:$I$74,0),1),0))),2)</f>
        <v>13.77</v>
      </c>
      <c r="I26" s="131">
        <f t="shared" si="5"/>
        <v>60.876639428654826</v>
      </c>
      <c r="J26" s="131">
        <f t="shared" si="6"/>
        <v>197.85</v>
      </c>
      <c r="K26" s="129">
        <f t="shared" si="1"/>
        <v>153.09469387755101</v>
      </c>
      <c r="L26" s="120"/>
      <c r="N26" s="118"/>
      <c r="R26" s="154"/>
      <c r="T26" s="162"/>
      <c r="U26" s="154"/>
      <c r="V26" s="154"/>
      <c r="W26" s="154"/>
      <c r="X26" s="154"/>
      <c r="Y26" s="154"/>
    </row>
    <row r="27" spans="2:25">
      <c r="B27" s="136">
        <f t="shared" si="0"/>
        <v>2033</v>
      </c>
      <c r="C27" s="137"/>
      <c r="D27" s="129">
        <f t="shared" si="3"/>
        <v>128.59</v>
      </c>
      <c r="E27" s="149">
        <v>27.346938775510203</v>
      </c>
      <c r="F27" s="129">
        <f>INDEX('Table 3 PV wS YK_2024'!$F$10:$F$38,MATCH(B27,'Table 3 PV wS YK_2024'!$B$10:$B$38,0),1)</f>
        <v>0.48</v>
      </c>
      <c r="G27" s="131">
        <f t="shared" si="4"/>
        <v>48.128881209464183</v>
      </c>
      <c r="H27" s="129">
        <f>ROUND(H26*(1+(IFERROR(INDEX($D$66:$D$74,MATCH($B27,$C$66:$C$74,0),1),0)+IFERROR(INDEX($G$66:$G$74,MATCH($B27,$F$66:$F$74,0),1),0)+IFERROR(INDEX(#REF!,MATCH($B27,$I$66:$I$74,0),1),0))),2)</f>
        <v>14.07</v>
      </c>
      <c r="I27" s="131">
        <f t="shared" si="5"/>
        <v>62.198881209464183</v>
      </c>
      <c r="J27" s="131">
        <f t="shared" si="6"/>
        <v>202.14</v>
      </c>
      <c r="K27" s="129">
        <f t="shared" si="1"/>
        <v>156.4169387755102</v>
      </c>
      <c r="L27" s="120"/>
      <c r="N27" s="118"/>
      <c r="R27" s="154"/>
      <c r="T27" s="162"/>
      <c r="U27" s="154"/>
      <c r="V27" s="154"/>
      <c r="W27" s="154"/>
      <c r="X27" s="154"/>
      <c r="Y27" s="154"/>
    </row>
    <row r="28" spans="2:25">
      <c r="B28" s="136">
        <f t="shared" si="0"/>
        <v>2034</v>
      </c>
      <c r="C28" s="137"/>
      <c r="D28" s="129">
        <f t="shared" si="3"/>
        <v>131.29</v>
      </c>
      <c r="E28" s="149">
        <v>27.959183673469386</v>
      </c>
      <c r="F28" s="129">
        <f>INDEX('Table 3 PV wS YK_2024'!$F$10:$F$38,MATCH(B28,'Table 3 PV wS YK_2024'!$B$10:$B$38,0),1)</f>
        <v>0.49</v>
      </c>
      <c r="G28" s="131">
        <f t="shared" si="4"/>
        <v>49.151122990273542</v>
      </c>
      <c r="H28" s="129">
        <f>ROUND(H27*(1+(IFERROR(INDEX($D$66:$D$74,MATCH($B28,$C$66:$C$74,0),1),0)+IFERROR(INDEX($G$66:$G$74,MATCH($B28,$F$66:$F$74,0),1),0)+IFERROR(INDEX(#REF!,MATCH($B28,$I$66:$I$74,0),1),0))),2)</f>
        <v>14.37</v>
      </c>
      <c r="I28" s="131">
        <f t="shared" si="5"/>
        <v>63.52112299027354</v>
      </c>
      <c r="J28" s="131">
        <f t="shared" si="6"/>
        <v>206.44</v>
      </c>
      <c r="K28" s="129">
        <f t="shared" si="1"/>
        <v>159.7391836734694</v>
      </c>
      <c r="L28" s="120"/>
      <c r="N28" s="118"/>
      <c r="R28" s="154"/>
      <c r="T28" s="162"/>
      <c r="U28" s="154"/>
      <c r="V28" s="154"/>
      <c r="W28" s="154"/>
      <c r="X28" s="154"/>
      <c r="Y28" s="154"/>
    </row>
    <row r="29" spans="2:25">
      <c r="B29" s="136">
        <f t="shared" si="0"/>
        <v>2035</v>
      </c>
      <c r="C29" s="137"/>
      <c r="D29" s="129">
        <f t="shared" si="3"/>
        <v>134.05000000000001</v>
      </c>
      <c r="E29" s="149">
        <v>28.571428571428573</v>
      </c>
      <c r="F29" s="129">
        <f>INDEX('Table 3 PV wS YK_2024'!$F$10:$F$38,MATCH(B29,'Table 3 PV wS YK_2024'!$B$10:$B$38,0),1)</f>
        <v>0.5</v>
      </c>
      <c r="G29" s="131">
        <f t="shared" si="4"/>
        <v>50.191826536766179</v>
      </c>
      <c r="H29" s="129">
        <f>ROUND(H28*(1+(IFERROR(INDEX($D$66:$D$74,MATCH($B29,$C$66:$C$74,0),1),0)+IFERROR(INDEX($G$66:$G$74,MATCH($B29,$F$66:$F$74,0),1),0)+IFERROR(INDEX(#REF!,MATCH($B29,$I$66:$I$74,0),1),0))),2)</f>
        <v>14.37</v>
      </c>
      <c r="I29" s="131">
        <f t="shared" si="5"/>
        <v>64.561826536766176</v>
      </c>
      <c r="J29" s="131">
        <f t="shared" si="6"/>
        <v>209.82</v>
      </c>
      <c r="K29" s="129">
        <f t="shared" si="1"/>
        <v>163.12142857142859</v>
      </c>
      <c r="L29" s="120"/>
      <c r="N29" s="118"/>
      <c r="R29" s="154"/>
      <c r="T29" s="162"/>
      <c r="U29" s="154"/>
      <c r="V29" s="154"/>
      <c r="W29" s="154"/>
      <c r="X29" s="154"/>
      <c r="Y29" s="154"/>
    </row>
    <row r="30" spans="2:25">
      <c r="B30" s="136">
        <f t="shared" si="0"/>
        <v>2036</v>
      </c>
      <c r="C30" s="137"/>
      <c r="D30" s="129">
        <f t="shared" si="3"/>
        <v>136.84</v>
      </c>
      <c r="E30" s="149">
        <v>29.183673469387756</v>
      </c>
      <c r="F30" s="129">
        <f>INDEX('Table 3 PV wS YK_2024'!$F$10:$F$38,MATCH(B30,'Table 3 PV wS YK_2024'!$B$10:$B$38,0),1)</f>
        <v>0.51</v>
      </c>
      <c r="G30" s="131">
        <f t="shared" si="4"/>
        <v>51.241760966100429</v>
      </c>
      <c r="H30" s="129">
        <f>ROUND(H29*(1+(IFERROR(INDEX($D$66:$D$74,MATCH($B30,$C$66:$C$74,0),1),0)+IFERROR(INDEX($G$66:$G$74,MATCH($B30,$F$66:$F$74,0),1),0)+IFERROR(INDEX(#REF!,MATCH($B30,$I$66:$I$74,0),1),0))),2)</f>
        <v>14.37</v>
      </c>
      <c r="I30" s="131">
        <f t="shared" si="5"/>
        <v>65.611760966100434</v>
      </c>
      <c r="J30" s="131">
        <f t="shared" si="6"/>
        <v>213.24</v>
      </c>
      <c r="K30" s="129">
        <f t="shared" si="1"/>
        <v>166.53367346938774</v>
      </c>
      <c r="L30" s="120"/>
      <c r="N30" s="118"/>
      <c r="R30" s="154"/>
      <c r="T30" s="162"/>
      <c r="U30" s="154"/>
      <c r="V30" s="154"/>
      <c r="W30" s="154"/>
      <c r="X30" s="154"/>
      <c r="Y30" s="154"/>
    </row>
    <row r="31" spans="2:25">
      <c r="B31" s="136">
        <f t="shared" si="0"/>
        <v>2037</v>
      </c>
      <c r="C31" s="137"/>
      <c r="D31" s="129">
        <f t="shared" si="3"/>
        <v>139.69</v>
      </c>
      <c r="E31" s="149">
        <v>29.897959183673468</v>
      </c>
      <c r="F31" s="129">
        <f>INDEX('Table 3 PV wS YK_2024'!$F$10:$F$38,MATCH(B31,'Table 3 PV wS YK_2024'!$B$10:$B$38,0),1)</f>
        <v>0.52</v>
      </c>
      <c r="G31" s="131">
        <f t="shared" si="4"/>
        <v>52.341554721803803</v>
      </c>
      <c r="H31" s="129">
        <f>ROUND(H30*(1+(IFERROR(INDEX($D$66:$D$74,MATCH($B31,$C$66:$C$74,0),1),0)+IFERROR(INDEX($G$66:$G$74,MATCH($B31,$F$66:$F$74,0),1),0)+IFERROR(INDEX(#REF!,MATCH($B31,$I$66:$I$74,0),1),0))),2)</f>
        <v>14.37</v>
      </c>
      <c r="I31" s="131">
        <f t="shared" si="5"/>
        <v>66.711554721803807</v>
      </c>
      <c r="J31" s="131">
        <f t="shared" si="6"/>
        <v>216.81</v>
      </c>
      <c r="K31" s="129">
        <f t="shared" si="1"/>
        <v>170.10795918367347</v>
      </c>
      <c r="L31" s="120"/>
      <c r="N31" s="118"/>
      <c r="R31" s="154"/>
      <c r="T31" s="162"/>
      <c r="U31" s="154"/>
      <c r="V31" s="154"/>
      <c r="W31" s="154"/>
      <c r="X31" s="154"/>
      <c r="Y31" s="154"/>
    </row>
    <row r="32" spans="2:25">
      <c r="B32" s="136">
        <f t="shared" si="0"/>
        <v>2038</v>
      </c>
      <c r="C32" s="137"/>
      <c r="D32" s="129">
        <f t="shared" si="3"/>
        <v>142.61000000000001</v>
      </c>
      <c r="E32" s="149">
        <v>30.612244897959183</v>
      </c>
      <c r="F32" s="129">
        <f>INDEX('Table 3 PV wS YK_2024'!$F$10:$F$38,MATCH(B32,'Table 3 PV wS YK_2024'!$B$10:$B$38,0),1)</f>
        <v>0.53</v>
      </c>
      <c r="G32" s="131">
        <f t="shared" si="4"/>
        <v>53.462887204137658</v>
      </c>
      <c r="H32" s="129">
        <f>ROUND(H31*(1+(IFERROR(INDEX($D$66:$D$74,MATCH($B32,$C$66:$C$74,0),1),0)+IFERROR(INDEX($G$66:$G$74,MATCH($B32,$F$66:$F$74,0),1),0)+IFERROR(INDEX(#REF!,MATCH($B32,$I$66:$I$74,0),1),0))),2)</f>
        <v>14.37</v>
      </c>
      <c r="I32" s="131">
        <f t="shared" si="5"/>
        <v>67.832887204137663</v>
      </c>
      <c r="J32" s="131">
        <f t="shared" si="6"/>
        <v>220.45</v>
      </c>
      <c r="K32" s="129">
        <f t="shared" si="1"/>
        <v>173.7522448979592</v>
      </c>
      <c r="L32" s="120"/>
      <c r="N32" s="118"/>
      <c r="R32" s="154"/>
      <c r="T32" s="162"/>
      <c r="U32" s="154"/>
      <c r="V32" s="154"/>
      <c r="W32" s="154"/>
      <c r="X32" s="154"/>
      <c r="Y32" s="154"/>
    </row>
    <row r="33" spans="2:14">
      <c r="B33" s="136">
        <f t="shared" si="0"/>
        <v>2039</v>
      </c>
      <c r="C33" s="137"/>
      <c r="D33" s="129">
        <f t="shared" si="3"/>
        <v>145.57</v>
      </c>
      <c r="E33" s="129">
        <f t="shared" si="3"/>
        <v>31.25</v>
      </c>
      <c r="F33" s="129">
        <f>INDEX('Table 3 PV wS YK_2024'!$F$10:$F$38,MATCH(B33,'Table 3 PV wS YK_2024'!$B$10:$B$38,0),1)</f>
        <v>0.54</v>
      </c>
      <c r="G33" s="131">
        <f t="shared" si="4"/>
        <v>54.572979359745965</v>
      </c>
      <c r="H33" s="129">
        <f>ROUND(H32*(1+(IFERROR(INDEX($D$66:$D$74,MATCH($B33,$C$66:$C$74,0),1),0)+IFERROR(INDEX($G$66:$G$74,MATCH($B33,$F$66:$F$74,0),1),0)+IFERROR(INDEX(#REF!,MATCH($B33,$I$66:$I$74,0),1),0))),2)</f>
        <v>14.37</v>
      </c>
      <c r="I33" s="131">
        <f t="shared" si="5"/>
        <v>68.942979359745962</v>
      </c>
      <c r="J33" s="131">
        <f t="shared" ref="J33:J37" si="7">ROUND(I33*$C$63*8.76,2)</f>
        <v>224.06</v>
      </c>
      <c r="K33" s="129">
        <f t="shared" si="1"/>
        <v>177.35999999999999</v>
      </c>
      <c r="L33" s="120"/>
      <c r="N33" s="118"/>
    </row>
    <row r="34" spans="2:14">
      <c r="B34" s="136">
        <f t="shared" si="0"/>
        <v>2040</v>
      </c>
      <c r="C34" s="137"/>
      <c r="D34" s="129">
        <f t="shared" si="3"/>
        <v>148.59</v>
      </c>
      <c r="E34" s="129">
        <f t="shared" ref="E34" si="8">ROUND(E33*(1+(IFERROR(INDEX($D$66:$D$74,MATCH($B34,$C$66:$C$74,0),1),0)+IFERROR(INDEX($G$66:$G$74,MATCH($B34,$F$66:$F$74,0),1),0)+IFERROR(INDEX($J$66:$J$74,MATCH($B34,$I$66:$I$74,0),1),0))),2)</f>
        <v>31.9</v>
      </c>
      <c r="F34" s="129">
        <f>INDEX('Table 3 PV wS YK_2024'!$F$10:$F$38,MATCH(B34,'Table 3 PV wS YK_2024'!$B$10:$B$38,0),1)</f>
        <v>0.55000000000000004</v>
      </c>
      <c r="G34" s="131">
        <f t="shared" si="4"/>
        <v>55.70530098831987</v>
      </c>
      <c r="H34" s="129">
        <f>ROUND(H33*(1+(IFERROR(INDEX($D$66:$D$74,MATCH($B34,$C$66:$C$74,0),1),0)+IFERROR(INDEX($G$66:$G$74,MATCH($B34,$F$66:$F$74,0),1),0)+IFERROR(INDEX(#REF!,MATCH($B34,$I$66:$I$74,0),1),0))),2)</f>
        <v>14.37</v>
      </c>
      <c r="I34" s="131">
        <f t="shared" si="5"/>
        <v>70.075300988319867</v>
      </c>
      <c r="J34" s="131">
        <f t="shared" si="7"/>
        <v>227.74</v>
      </c>
      <c r="K34" s="129">
        <f t="shared" si="1"/>
        <v>181.04000000000002</v>
      </c>
      <c r="L34" s="120"/>
      <c r="N34" s="118"/>
    </row>
    <row r="35" spans="2:14">
      <c r="B35" s="136">
        <f t="shared" si="0"/>
        <v>2041</v>
      </c>
      <c r="C35" s="137"/>
      <c r="D35" s="129">
        <f t="shared" si="3"/>
        <v>151.69</v>
      </c>
      <c r="E35" s="129">
        <f t="shared" ref="E35" si="9">ROUND(E34*(1+(IFERROR(INDEX($D$66:$D$74,MATCH($B35,$C$66:$C$74,0),1),0)+IFERROR(INDEX($G$66:$G$74,MATCH($B35,$F$66:$F$74,0),1),0)+IFERROR(INDEX($J$66:$J$74,MATCH($B35,$I$66:$I$74,0),1),0))),2)</f>
        <v>32.57</v>
      </c>
      <c r="F35" s="129">
        <f>INDEX('Table 3 PV wS YK_2024'!$F$10:$F$38,MATCH(B35,'Table 3 PV wS YK_2024'!$B$10:$B$38,0),1)</f>
        <v>0.56000000000000005</v>
      </c>
      <c r="G35" s="131">
        <f t="shared" si="4"/>
        <v>56.868392226365863</v>
      </c>
      <c r="H35" s="129">
        <f>ROUND(H34*(1+(IFERROR(INDEX($D$66:$D$74,MATCH($B35,$C$66:$C$74,0),1),0)+IFERROR(INDEX($G$66:$G$74,MATCH($B35,$F$66:$F$74,0),1),0)+IFERROR(INDEX(#REF!,MATCH($B35,$I$66:$I$74,0),1),0))),2)</f>
        <v>14.37</v>
      </c>
      <c r="I35" s="131">
        <f t="shared" si="5"/>
        <v>71.23839222636586</v>
      </c>
      <c r="J35" s="131">
        <f t="shared" si="7"/>
        <v>231.52</v>
      </c>
      <c r="K35" s="129">
        <f t="shared" si="1"/>
        <v>184.82</v>
      </c>
      <c r="L35" s="120"/>
      <c r="N35" s="118"/>
    </row>
    <row r="36" spans="2:14">
      <c r="B36" s="136">
        <f t="shared" si="0"/>
        <v>2042</v>
      </c>
      <c r="C36" s="137"/>
      <c r="D36" s="129">
        <f t="shared" si="3"/>
        <v>154.88999999999999</v>
      </c>
      <c r="E36" s="129">
        <f t="shared" ref="E36" si="10">ROUND(E35*(1+(IFERROR(INDEX($D$66:$D$74,MATCH($B36,$C$66:$C$74,0),1),0)+IFERROR(INDEX($G$66:$G$74,MATCH($B36,$F$66:$F$74,0),1),0)+IFERROR(INDEX($J$66:$J$74,MATCH($B36,$I$66:$I$74,0),1),0))),2)</f>
        <v>33.26</v>
      </c>
      <c r="F36" s="129">
        <f>INDEX('Table 3 PV wS YK_2024'!$F$10:$F$38,MATCH(B36,'Table 3 PV wS YK_2024'!$B$10:$B$38,0),1)</f>
        <v>0.56999999999999995</v>
      </c>
      <c r="G36" s="131">
        <f t="shared" si="4"/>
        <v>58.068406995778403</v>
      </c>
      <c r="H36" s="129">
        <f>ROUND(H35*(1+(IFERROR(INDEX($D$66:$D$74,MATCH($B36,$C$66:$C$74,0),1),0)+IFERROR(INDEX($G$66:$G$74,MATCH($B36,$F$66:$F$74,0),1),0)+IFERROR(INDEX(#REF!,MATCH($B36,$I$66:$I$74,0),1),0))),2)</f>
        <v>14.37</v>
      </c>
      <c r="I36" s="131">
        <f t="shared" si="5"/>
        <v>72.438406995778408</v>
      </c>
      <c r="J36" s="131">
        <f t="shared" si="7"/>
        <v>235.42</v>
      </c>
      <c r="K36" s="129">
        <f t="shared" si="1"/>
        <v>188.71999999999997</v>
      </c>
      <c r="L36" s="120"/>
      <c r="N36" s="118"/>
    </row>
    <row r="37" spans="2:14">
      <c r="B37" s="136">
        <f t="shared" si="0"/>
        <v>2043</v>
      </c>
      <c r="C37" s="137"/>
      <c r="D37" s="129">
        <f t="shared" si="3"/>
        <v>158.16999999999999</v>
      </c>
      <c r="E37" s="129">
        <f t="shared" ref="E37" si="11">ROUND(E36*(1+(IFERROR(INDEX($D$66:$D$74,MATCH($B37,$C$66:$C$74,0),1),0)+IFERROR(INDEX($G$66:$G$74,MATCH($B37,$F$66:$F$74,0),1),0)+IFERROR(INDEX($J$66:$J$74,MATCH($B37,$I$66:$I$74,0),1),0))),2)</f>
        <v>33.96</v>
      </c>
      <c r="F37" s="129">
        <f>INDEX('Table 3 PV wS YK_2024'!$F$10:$F$38,MATCH(B37,'Table 3 PV wS YK_2024'!$B$10:$B$38,0),1)</f>
        <v>0.57999999999999996</v>
      </c>
      <c r="G37" s="131">
        <f t="shared" si="4"/>
        <v>59.29611441371587</v>
      </c>
      <c r="H37" s="129">
        <f>ROUND(H36*(1+(IFERROR(INDEX($D$66:$D$74,MATCH($B37,$C$66:$C$74,0),1),0)+IFERROR(INDEX($G$66:$G$74,MATCH($B37,$F$66:$F$74,0),1),0)+IFERROR(INDEX(#REF!,MATCH($B37,$I$66:$I$74,0),1),0))),2)</f>
        <v>14.37</v>
      </c>
      <c r="I37" s="131">
        <f t="shared" si="5"/>
        <v>73.666114413715874</v>
      </c>
      <c r="J37" s="131">
        <f t="shared" si="7"/>
        <v>239.41</v>
      </c>
      <c r="K37" s="129">
        <f t="shared" si="1"/>
        <v>192.71</v>
      </c>
      <c r="L37" s="120"/>
      <c r="N37" s="118"/>
    </row>
    <row r="38" spans="2:14">
      <c r="B38" s="136"/>
      <c r="C38" s="137"/>
      <c r="D38" s="129"/>
      <c r="E38" s="129"/>
      <c r="F38" s="129"/>
      <c r="G38" s="131"/>
      <c r="H38" s="129"/>
      <c r="I38" s="131"/>
      <c r="J38" s="131"/>
      <c r="K38" s="129"/>
      <c r="L38" s="120"/>
      <c r="N38" s="118"/>
    </row>
    <row r="39" spans="2:14">
      <c r="B39" s="136"/>
      <c r="C39" s="137"/>
      <c r="D39" s="129"/>
      <c r="E39" s="129"/>
      <c r="F39" s="129"/>
      <c r="G39" s="131"/>
      <c r="H39" s="129"/>
      <c r="I39" s="131"/>
      <c r="J39" s="131"/>
      <c r="K39" s="129"/>
      <c r="L39" s="120"/>
      <c r="N39" s="118"/>
    </row>
    <row r="40" spans="2:14">
      <c r="B40" s="136"/>
      <c r="C40" s="137"/>
      <c r="D40" s="129"/>
      <c r="E40" s="129"/>
      <c r="F40" s="129"/>
      <c r="G40" s="131"/>
      <c r="H40" s="129"/>
      <c r="I40" s="131"/>
      <c r="J40" s="131"/>
      <c r="K40" s="129"/>
      <c r="L40" s="120"/>
      <c r="N40" s="118"/>
    </row>
    <row r="41" spans="2:14">
      <c r="B41" s="136"/>
      <c r="C41" s="137"/>
      <c r="D41" s="129"/>
      <c r="E41" s="129"/>
      <c r="F41" s="129"/>
      <c r="G41" s="131"/>
      <c r="H41" s="129"/>
      <c r="I41" s="131"/>
      <c r="J41" s="131"/>
      <c r="K41" s="129"/>
      <c r="L41" s="120"/>
      <c r="N41" s="118"/>
    </row>
    <row r="42" spans="2:14" ht="14.25">
      <c r="B42" s="139" t="s">
        <v>27</v>
      </c>
      <c r="C42" s="140"/>
      <c r="D42" s="140"/>
      <c r="E42" s="140"/>
      <c r="F42" s="140"/>
      <c r="G42" s="140"/>
      <c r="H42" s="140"/>
    </row>
    <row r="44" spans="2:14">
      <c r="B44" s="118" t="s">
        <v>65</v>
      </c>
      <c r="C44" s="141" t="s">
        <v>66</v>
      </c>
      <c r="D44" s="142" t="s">
        <v>105</v>
      </c>
    </row>
    <row r="45" spans="2:14">
      <c r="C45" s="141" t="str">
        <f>C7</f>
        <v>(a)</v>
      </c>
      <c r="D45" s="118" t="s">
        <v>67</v>
      </c>
    </row>
    <row r="46" spans="2:14">
      <c r="C46" s="141" t="str">
        <f>D7</f>
        <v>(b)</v>
      </c>
      <c r="D46" s="131" t="str">
        <f>"= "&amp;C7&amp;" x "&amp;C62</f>
        <v>= (a) x 0.06899</v>
      </c>
    </row>
    <row r="47" spans="2:14">
      <c r="C47" s="141" t="str">
        <f>G7</f>
        <v>(e)</v>
      </c>
      <c r="D47" s="131" t="str">
        <f>"= ("&amp;$D$7&amp;" + "&amp;$E$7&amp;") /  (8.76 x "&amp;TEXT(C63,"0.0%")&amp;")"</f>
        <v>= ((b) + (c)) /  (8.76 x 37.1%)</v>
      </c>
    </row>
    <row r="48" spans="2:14">
      <c r="C48" s="141" t="str">
        <f>I7</f>
        <v>(g)</v>
      </c>
      <c r="D48" s="131" t="str">
        <f>"= "&amp;$G$7&amp;" + "&amp;$H$7</f>
        <v>= (e) + (f)</v>
      </c>
    </row>
    <row r="49" spans="2:27">
      <c r="C49" s="141" t="str">
        <f>K7</f>
        <v>(i)</v>
      </c>
      <c r="D49" s="85" t="str">
        <f>D44</f>
        <v>Plant Costs  - 2019 IRP Update - Table 6.1 &amp; 6.2</v>
      </c>
    </row>
    <row r="50" spans="2:27">
      <c r="C50" s="141"/>
      <c r="D50" s="131"/>
    </row>
    <row r="51" spans="2:27" ht="13.5" thickBot="1"/>
    <row r="52" spans="2:27" ht="13.5" thickBot="1">
      <c r="C52" s="42" t="str">
        <f>B2&amp;" - "&amp;B3</f>
        <v>2019 IRP Yakima Wind with Storage Resource - 37%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7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7">
      <c r="P54" s="118" t="s">
        <v>106</v>
      </c>
      <c r="Q54" s="118">
        <v>2029</v>
      </c>
    </row>
    <row r="55" spans="2:27">
      <c r="B55" s="85" t="s">
        <v>104</v>
      </c>
      <c r="C55" s="393">
        <v>1923.6831909029345</v>
      </c>
      <c r="D55" s="118" t="s">
        <v>67</v>
      </c>
      <c r="T55" s="118" t="str">
        <f>$Q$56&amp;"Proposed Station Capital Costs"</f>
        <v>H_.YK1_WDSProposed Station Capital Costs</v>
      </c>
    </row>
    <row r="56" spans="2:27">
      <c r="B56" s="85" t="s">
        <v>104</v>
      </c>
      <c r="C56" s="149">
        <v>30.743277943329019</v>
      </c>
      <c r="D56" s="118" t="s">
        <v>70</v>
      </c>
      <c r="O56" s="118">
        <v>9.8000000000000007</v>
      </c>
      <c r="P56" s="118" t="s">
        <v>34</v>
      </c>
      <c r="Q56" s="118" t="s">
        <v>161</v>
      </c>
      <c r="T56" s="118" t="str">
        <f>Q56&amp;"Proposed Station Fixed Costs"</f>
        <v>H_.YK1_WDSProposed Station Fixed Costs</v>
      </c>
      <c r="AA56" s="278"/>
    </row>
    <row r="57" spans="2:27" ht="24" customHeight="1">
      <c r="B57" s="85"/>
      <c r="C57" s="154"/>
      <c r="D57" s="118" t="s">
        <v>109</v>
      </c>
    </row>
    <row r="58" spans="2:27">
      <c r="B58" s="85" t="s">
        <v>104</v>
      </c>
      <c r="C58" s="149">
        <v>10</v>
      </c>
      <c r="D58" s="118" t="s">
        <v>71</v>
      </c>
      <c r="K58" s="120"/>
      <c r="L58" s="400"/>
      <c r="M58" s="52"/>
      <c r="N58" s="164"/>
      <c r="O58" s="52"/>
      <c r="P58" s="52"/>
      <c r="Q58" s="120"/>
      <c r="R58" s="120"/>
      <c r="T58" s="118" t="str">
        <f>$Q$56&amp;"Proposed Station Variable O&amp;M Costs"</f>
        <v>H_.YK1_WDSProposed Station Variable O&amp;M Costs</v>
      </c>
      <c r="U58" s="120"/>
      <c r="V58" s="120"/>
      <c r="W58" s="120"/>
      <c r="X58" s="120"/>
      <c r="Y58" s="120"/>
    </row>
    <row r="59" spans="2:27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215" t="str">
        <f>Q56&amp;Q54</f>
        <v>H_.YK1_WDS2029</v>
      </c>
      <c r="R59" s="120"/>
      <c r="T59" s="118" t="str">
        <f>$Q$57&amp;"Proposed Station Variable O&amp;M Costs"</f>
        <v>Proposed Station Variable O&amp;M Costs</v>
      </c>
      <c r="U59" s="120"/>
      <c r="V59" s="120"/>
      <c r="W59" s="120"/>
      <c r="X59" s="120"/>
      <c r="Y59" s="120"/>
    </row>
    <row r="60" spans="2:27">
      <c r="B60" s="358" t="str">
        <f>LEFT(RIGHT(INDEX('Table 3 TransCost'!$39:$39,1,MATCH(F60,'Table 3 TransCost'!$4:$4,0)),6),5)</f>
        <v>2024$</v>
      </c>
      <c r="C60" s="154">
        <f>INDEX('Table 3 TransCost'!$39:$39,1,MATCH(F60,'Table 3 TransCost'!$4:$4,0)+2)</f>
        <v>0.39132049215213044</v>
      </c>
      <c r="D60" s="118" t="s">
        <v>222</v>
      </c>
      <c r="F60" s="118" t="s">
        <v>187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7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7">
      <c r="C62" s="395">
        <v>6.8989999999999996E-2</v>
      </c>
      <c r="D62" s="118" t="s">
        <v>38</v>
      </c>
      <c r="K62" s="288"/>
      <c r="L62" s="157"/>
      <c r="M62" s="157"/>
      <c r="O62" s="158"/>
    </row>
    <row r="63" spans="2:27">
      <c r="C63" s="396">
        <v>0.371</v>
      </c>
      <c r="D63" s="118" t="s">
        <v>39</v>
      </c>
    </row>
    <row r="64" spans="2:27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12">C66+1</f>
        <v>2018</v>
      </c>
      <c r="D67" s="41">
        <v>2.3994563767884003E-2</v>
      </c>
      <c r="E67" s="85"/>
      <c r="F67" s="87">
        <f t="shared" ref="F67:F74" si="13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12"/>
        <v>2019</v>
      </c>
      <c r="D68" s="41">
        <v>1.9651346350279875E-2</v>
      </c>
      <c r="E68" s="85"/>
      <c r="F68" s="87">
        <f t="shared" si="13"/>
        <v>2028</v>
      </c>
      <c r="G68" s="41">
        <v>2.2447976887115972E-2</v>
      </c>
      <c r="H68" s="41"/>
      <c r="I68" s="87">
        <f t="shared" ref="I68:I74" si="14">I67+1</f>
        <v>2037</v>
      </c>
      <c r="J68" s="41">
        <v>2.0854082421584375E-2</v>
      </c>
    </row>
    <row r="69" spans="3:14">
      <c r="C69" s="87">
        <f t="shared" si="12"/>
        <v>2020</v>
      </c>
      <c r="D69" s="41">
        <v>2.6147280919121885E-2</v>
      </c>
      <c r="E69" s="85"/>
      <c r="F69" s="87">
        <f t="shared" si="13"/>
        <v>2029</v>
      </c>
      <c r="G69" s="41">
        <v>2.2764957830614385E-2</v>
      </c>
      <c r="H69" s="41"/>
      <c r="I69" s="87">
        <f t="shared" si="14"/>
        <v>2038</v>
      </c>
      <c r="J69" s="41">
        <v>2.0886076981620372E-2</v>
      </c>
    </row>
    <row r="70" spans="3:14">
      <c r="C70" s="87">
        <f t="shared" si="12"/>
        <v>2021</v>
      </c>
      <c r="D70" s="41">
        <v>2.5435997430165225E-2</v>
      </c>
      <c r="E70" s="85"/>
      <c r="F70" s="87">
        <f t="shared" si="13"/>
        <v>2030</v>
      </c>
      <c r="G70" s="41">
        <v>2.2409251338579406E-2</v>
      </c>
      <c r="H70" s="41"/>
      <c r="I70" s="87">
        <f t="shared" si="14"/>
        <v>2039</v>
      </c>
      <c r="J70" s="41">
        <v>2.0755199547329406E-2</v>
      </c>
    </row>
    <row r="71" spans="3:14">
      <c r="C71" s="87">
        <f t="shared" si="12"/>
        <v>2022</v>
      </c>
      <c r="D71" s="41">
        <v>2.5246661572301266E-2</v>
      </c>
      <c r="E71" s="85"/>
      <c r="F71" s="87">
        <f t="shared" si="13"/>
        <v>2031</v>
      </c>
      <c r="G71" s="41">
        <v>2.1876862460861402E-2</v>
      </c>
      <c r="H71" s="41"/>
      <c r="I71" s="87">
        <f t="shared" si="14"/>
        <v>2040</v>
      </c>
      <c r="J71" s="41">
        <v>2.0747934127706591E-2</v>
      </c>
    </row>
    <row r="72" spans="3:14" s="120" customFormat="1">
      <c r="C72" s="87">
        <f t="shared" si="12"/>
        <v>2023</v>
      </c>
      <c r="D72" s="41">
        <v>2.4577195966118071E-2</v>
      </c>
      <c r="E72" s="86"/>
      <c r="F72" s="87">
        <f t="shared" si="13"/>
        <v>2032</v>
      </c>
      <c r="G72" s="41">
        <v>2.1570874084378078E-2</v>
      </c>
      <c r="H72" s="41"/>
      <c r="I72" s="87">
        <f t="shared" si="14"/>
        <v>2041</v>
      </c>
      <c r="J72" s="41">
        <v>2.0871781890604124E-2</v>
      </c>
      <c r="N72" s="165"/>
    </row>
    <row r="73" spans="3:14" s="120" customFormat="1">
      <c r="C73" s="87">
        <f t="shared" si="12"/>
        <v>2024</v>
      </c>
      <c r="D73" s="41">
        <v>2.3256370085936506E-2</v>
      </c>
      <c r="E73" s="86"/>
      <c r="F73" s="87">
        <f t="shared" si="13"/>
        <v>2033</v>
      </c>
      <c r="G73" s="41">
        <v>2.144511122277093E-2</v>
      </c>
      <c r="H73" s="41"/>
      <c r="I73" s="87">
        <f t="shared" si="14"/>
        <v>2042</v>
      </c>
      <c r="J73" s="41">
        <v>2.1078469389761434E-2</v>
      </c>
      <c r="N73" s="165"/>
    </row>
    <row r="74" spans="3:14" s="120" customFormat="1">
      <c r="C74" s="87">
        <f t="shared" si="12"/>
        <v>2025</v>
      </c>
      <c r="D74" s="41">
        <v>2.2304783799234951E-2</v>
      </c>
      <c r="E74" s="86"/>
      <c r="F74" s="87">
        <f t="shared" si="13"/>
        <v>2034</v>
      </c>
      <c r="G74" s="41">
        <v>2.1010014778543251E-2</v>
      </c>
      <c r="H74" s="41"/>
      <c r="I74" s="87">
        <f t="shared" si="14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view="pageBreakPreview" zoomScale="60" zoomScaleNormal="100" workbookViewId="0">
      <selection activeCell="D20" sqref="D20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1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/>
    <col min="16" max="16" width="10" style="118" customWidth="1"/>
    <col min="17" max="17" width="25.1640625" style="118" customWidth="1"/>
    <col min="18" max="18" width="18.1640625" style="118" customWidth="1"/>
    <col min="19" max="19" width="9.33203125" style="118"/>
    <col min="20" max="20" width="16.6640625" style="118" customWidth="1"/>
    <col min="21" max="21" width="9.33203125" style="118"/>
    <col min="22" max="22" width="9.6640625" style="118" bestFit="1" customWidth="1"/>
    <col min="23" max="16384" width="9.33203125" style="118"/>
  </cols>
  <sheetData>
    <row r="1" spans="2:24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24" ht="15.75">
      <c r="B2" s="116" t="s">
        <v>159</v>
      </c>
      <c r="C2" s="117"/>
      <c r="D2" s="117"/>
      <c r="E2" s="117"/>
      <c r="F2" s="117"/>
      <c r="G2" s="117"/>
      <c r="H2" s="117"/>
      <c r="I2" s="117"/>
      <c r="J2" s="117"/>
    </row>
    <row r="3" spans="2:24" ht="15.75">
      <c r="B3" s="116" t="str">
        <f>TEXT($C$63,"0%")&amp;" Capacity Factor"</f>
        <v>37% Capacity Factor</v>
      </c>
      <c r="C3" s="117"/>
      <c r="D3" s="117"/>
      <c r="E3" s="117"/>
      <c r="F3" s="117"/>
      <c r="G3" s="117"/>
      <c r="H3" s="117"/>
      <c r="I3" s="117"/>
      <c r="J3" s="117"/>
    </row>
    <row r="4" spans="2:24">
      <c r="B4" s="119"/>
      <c r="C4" s="119"/>
      <c r="D4" s="119"/>
      <c r="E4" s="119"/>
      <c r="F4" s="119"/>
      <c r="G4" s="119"/>
      <c r="H4" s="119"/>
      <c r="I4" s="120"/>
      <c r="J4" s="120"/>
      <c r="K4" s="120"/>
    </row>
    <row r="5" spans="2:24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</row>
    <row r="6" spans="2:24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24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</row>
    <row r="8" spans="2:24" ht="6" customHeight="1">
      <c r="K8" s="120"/>
    </row>
    <row r="9" spans="2:24" ht="15.75">
      <c r="B9" s="43" t="str">
        <f>C52</f>
        <v>2019 IRP Idaho Wind Resource - 37% Capacity Factor</v>
      </c>
      <c r="C9" s="120"/>
      <c r="E9" s="120"/>
      <c r="F9" s="120"/>
      <c r="G9" s="120"/>
      <c r="H9" s="120"/>
      <c r="I9" s="120"/>
      <c r="J9" s="120"/>
      <c r="K9" s="120"/>
      <c r="N9" s="118"/>
    </row>
    <row r="10" spans="2:24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</row>
    <row r="11" spans="2:24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</row>
    <row r="12" spans="2:24">
      <c r="B12" s="136">
        <f t="shared" si="0"/>
        <v>2018</v>
      </c>
      <c r="C12" s="137"/>
      <c r="D12" s="129"/>
      <c r="E12" s="149"/>
      <c r="F12" s="149"/>
      <c r="G12" s="131"/>
      <c r="H12" s="149">
        <f>$C$58</f>
        <v>0</v>
      </c>
      <c r="I12" s="131"/>
      <c r="J12" s="131"/>
      <c r="K12" s="129">
        <f>(D12+E12+F12)</f>
        <v>0</v>
      </c>
      <c r="L12" s="120"/>
      <c r="N12" s="118"/>
      <c r="R12" s="149"/>
      <c r="T12" s="162"/>
      <c r="U12" s="154"/>
      <c r="V12" s="154"/>
    </row>
    <row r="13" spans="2:24">
      <c r="B13" s="136">
        <f t="shared" si="0"/>
        <v>2019</v>
      </c>
      <c r="C13" s="137"/>
      <c r="D13" s="129"/>
      <c r="E13" s="149"/>
      <c r="F13" s="149"/>
      <c r="G13" s="131"/>
      <c r="H13" s="129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2">(D13+E13+F13)</f>
        <v>0</v>
      </c>
      <c r="L13" s="120"/>
      <c r="N13" s="118"/>
      <c r="V13" s="154"/>
      <c r="X13" s="160"/>
    </row>
    <row r="14" spans="2:24">
      <c r="B14" s="136">
        <f t="shared" si="0"/>
        <v>2020</v>
      </c>
      <c r="C14" s="137"/>
      <c r="D14" s="129"/>
      <c r="E14" s="129"/>
      <c r="F14" s="129"/>
      <c r="G14" s="131"/>
      <c r="H14" s="129">
        <f t="shared" si="1"/>
        <v>0</v>
      </c>
      <c r="I14" s="131"/>
      <c r="J14" s="131"/>
      <c r="K14" s="129">
        <f t="shared" si="2"/>
        <v>0</v>
      </c>
      <c r="L14" s="120"/>
      <c r="N14" s="118"/>
      <c r="O14" s="133"/>
      <c r="P14" s="397"/>
      <c r="Q14" s="398"/>
      <c r="V14" s="154"/>
      <c r="X14" s="160"/>
    </row>
    <row r="15" spans="2:24">
      <c r="B15" s="136">
        <f t="shared" si="0"/>
        <v>2021</v>
      </c>
      <c r="C15" s="137"/>
      <c r="D15" s="129"/>
      <c r="E15" s="129"/>
      <c r="F15" s="129"/>
      <c r="G15" s="131"/>
      <c r="H15" s="129">
        <f t="shared" si="1"/>
        <v>0</v>
      </c>
      <c r="I15" s="131"/>
      <c r="J15" s="131"/>
      <c r="K15" s="129">
        <f t="shared" si="2"/>
        <v>0</v>
      </c>
      <c r="L15" s="120"/>
      <c r="N15" s="118"/>
      <c r="O15" s="399"/>
      <c r="P15" s="397"/>
      <c r="Q15" s="398"/>
      <c r="V15" s="154"/>
      <c r="X15" s="160"/>
    </row>
    <row r="16" spans="2:24">
      <c r="B16" s="136">
        <f t="shared" si="0"/>
        <v>2022</v>
      </c>
      <c r="C16" s="137"/>
      <c r="D16" s="129"/>
      <c r="E16" s="129"/>
      <c r="F16" s="129"/>
      <c r="G16" s="131"/>
      <c r="H16" s="129">
        <f t="shared" si="1"/>
        <v>0</v>
      </c>
      <c r="I16" s="131"/>
      <c r="J16" s="131"/>
      <c r="K16" s="129">
        <f t="shared" si="2"/>
        <v>0</v>
      </c>
      <c r="L16" s="120"/>
      <c r="N16" s="118"/>
      <c r="V16" s="154"/>
      <c r="X16" s="160"/>
    </row>
    <row r="17" spans="2:25">
      <c r="B17" s="136">
        <f t="shared" si="0"/>
        <v>2023</v>
      </c>
      <c r="C17" s="137"/>
      <c r="D17" s="129"/>
      <c r="E17" s="129"/>
      <c r="F17" s="129"/>
      <c r="G17" s="131"/>
      <c r="H17" s="129">
        <f t="shared" si="1"/>
        <v>0</v>
      </c>
      <c r="I17" s="131"/>
      <c r="J17" s="131"/>
      <c r="K17" s="129">
        <f t="shared" si="2"/>
        <v>0</v>
      </c>
      <c r="L17" s="120"/>
      <c r="N17" s="118"/>
      <c r="O17" s="133"/>
      <c r="V17" s="154"/>
      <c r="X17" s="160"/>
    </row>
    <row r="18" spans="2:25">
      <c r="B18" s="136">
        <f t="shared" si="0"/>
        <v>2024</v>
      </c>
      <c r="C18" s="137"/>
      <c r="D18" s="129"/>
      <c r="E18" s="149"/>
      <c r="F18" s="149"/>
      <c r="G18" s="131"/>
      <c r="H18" s="129">
        <f t="shared" si="1"/>
        <v>0</v>
      </c>
      <c r="I18" s="131"/>
      <c r="J18" s="131"/>
      <c r="K18" s="129">
        <f t="shared" si="2"/>
        <v>0</v>
      </c>
      <c r="L18" s="120"/>
      <c r="N18" s="118"/>
      <c r="T18" s="162"/>
      <c r="U18" s="154"/>
      <c r="V18" s="154"/>
      <c r="W18" s="154"/>
      <c r="X18" s="160"/>
      <c r="Y18" s="154"/>
    </row>
    <row r="19" spans="2:25">
      <c r="B19" s="136">
        <f t="shared" si="0"/>
        <v>2025</v>
      </c>
      <c r="C19" s="137"/>
      <c r="D19" s="129"/>
      <c r="E19" s="149"/>
      <c r="F19" s="149"/>
      <c r="G19" s="131"/>
      <c r="H19" s="129">
        <f t="shared" si="1"/>
        <v>0</v>
      </c>
      <c r="I19" s="131"/>
      <c r="J19" s="131"/>
      <c r="K19" s="129">
        <f t="shared" si="2"/>
        <v>0</v>
      </c>
      <c r="L19" s="120"/>
      <c r="N19" s="118"/>
      <c r="T19" s="162"/>
      <c r="U19" s="154"/>
      <c r="V19" s="154"/>
      <c r="W19" s="154"/>
      <c r="X19" s="160"/>
      <c r="Y19" s="154"/>
    </row>
    <row r="20" spans="2:25">
      <c r="B20" s="136">
        <f t="shared" si="0"/>
        <v>2026</v>
      </c>
      <c r="C20" s="137"/>
      <c r="D20" s="129"/>
      <c r="E20" s="149"/>
      <c r="F20" s="149"/>
      <c r="G20" s="131"/>
      <c r="H20" s="129">
        <f t="shared" si="1"/>
        <v>0</v>
      </c>
      <c r="I20" s="131"/>
      <c r="J20" s="131"/>
      <c r="K20" s="129">
        <f t="shared" si="2"/>
        <v>0</v>
      </c>
      <c r="L20" s="120"/>
      <c r="N20" s="118"/>
      <c r="R20" s="154"/>
      <c r="T20" s="162"/>
      <c r="U20" s="154"/>
      <c r="V20" s="154"/>
      <c r="W20" s="154"/>
      <c r="X20" s="160"/>
      <c r="Y20" s="154"/>
    </row>
    <row r="21" spans="2:25">
      <c r="B21" s="136">
        <f t="shared" si="0"/>
        <v>2027</v>
      </c>
      <c r="C21" s="137"/>
      <c r="D21" s="129"/>
      <c r="E21" s="149"/>
      <c r="F21" s="149"/>
      <c r="G21" s="131"/>
      <c r="H21" s="129">
        <f t="shared" si="1"/>
        <v>0</v>
      </c>
      <c r="I21" s="131"/>
      <c r="J21" s="131"/>
      <c r="K21" s="129">
        <f t="shared" si="2"/>
        <v>0</v>
      </c>
      <c r="L21" s="120"/>
      <c r="N21" s="118"/>
      <c r="R21" s="154"/>
      <c r="T21" s="162"/>
      <c r="U21" s="154"/>
      <c r="V21" s="154"/>
      <c r="W21" s="154"/>
      <c r="X21" s="160"/>
      <c r="Y21" s="154"/>
    </row>
    <row r="22" spans="2:25">
      <c r="B22" s="136">
        <f t="shared" si="0"/>
        <v>2028</v>
      </c>
      <c r="C22" s="137"/>
      <c r="D22" s="129"/>
      <c r="E22" s="149"/>
      <c r="F22" s="149"/>
      <c r="G22" s="131"/>
      <c r="H22" s="129">
        <f t="shared" si="1"/>
        <v>0</v>
      </c>
      <c r="I22" s="131"/>
      <c r="J22" s="131"/>
      <c r="K22" s="129">
        <f t="shared" si="2"/>
        <v>0</v>
      </c>
      <c r="L22" s="120"/>
      <c r="N22" s="118"/>
      <c r="R22" s="154"/>
      <c r="T22" s="162"/>
      <c r="U22" s="154"/>
      <c r="V22" s="154"/>
      <c r="W22" s="154"/>
      <c r="X22" s="160"/>
      <c r="Y22" s="154"/>
    </row>
    <row r="23" spans="2:25">
      <c r="B23" s="136">
        <f t="shared" si="0"/>
        <v>2029</v>
      </c>
      <c r="C23" s="137"/>
      <c r="D23" s="129"/>
      <c r="E23" s="149"/>
      <c r="F23" s="149"/>
      <c r="G23" s="131"/>
      <c r="H23" s="129">
        <f t="shared" si="1"/>
        <v>0</v>
      </c>
      <c r="I23" s="131"/>
      <c r="J23" s="131"/>
      <c r="K23" s="129">
        <f t="shared" si="2"/>
        <v>0</v>
      </c>
      <c r="L23" s="120"/>
      <c r="N23" s="118"/>
      <c r="R23" s="154"/>
      <c r="T23" s="162"/>
      <c r="U23" s="154"/>
      <c r="V23" s="154"/>
      <c r="W23" s="154"/>
      <c r="X23" s="160"/>
      <c r="Y23" s="154"/>
    </row>
    <row r="24" spans="2:25">
      <c r="B24" s="136">
        <f t="shared" si="0"/>
        <v>2030</v>
      </c>
      <c r="C24" s="137">
        <v>1253.063829787234</v>
      </c>
      <c r="D24" s="129">
        <f>C24*$C$62</f>
        <v>86.448873617021263</v>
      </c>
      <c r="E24" s="149">
        <v>37.749134282416321</v>
      </c>
      <c r="F24" s="129">
        <f>C60</f>
        <v>12.097273854334603</v>
      </c>
      <c r="G24" s="131">
        <f>(D24+E24+F24)/(8.76*$C$63)</f>
        <v>41.937525924556674</v>
      </c>
      <c r="H24" s="129">
        <f t="shared" si="1"/>
        <v>0</v>
      </c>
      <c r="I24" s="131">
        <f>(G24+H24)</f>
        <v>41.937525924556674</v>
      </c>
      <c r="J24" s="131">
        <f t="shared" ref="J24:J32" si="3">ROUND(I24*$C$63*8.76,2)</f>
        <v>136.30000000000001</v>
      </c>
      <c r="K24" s="129">
        <f t="shared" si="2"/>
        <v>136.2952817537722</v>
      </c>
      <c r="L24" s="120"/>
      <c r="N24" s="118"/>
      <c r="R24" s="154"/>
      <c r="T24" s="162"/>
      <c r="U24" s="154"/>
      <c r="V24" s="154"/>
      <c r="W24" s="154"/>
      <c r="X24" s="160"/>
      <c r="Y24" s="154"/>
    </row>
    <row r="25" spans="2:25">
      <c r="B25" s="136">
        <f t="shared" si="0"/>
        <v>2031</v>
      </c>
      <c r="C25" s="137"/>
      <c r="D25" s="129">
        <f t="shared" ref="D25:E37" si="4">ROUND(D24*(1+(IFERROR(INDEX($D$66:$D$74,MATCH($B25,$C$66:$C$74,0),1),0)+IFERROR(INDEX($G$66:$G$74,MATCH($B25,$F$66:$F$74,0),1),0)+IFERROR(INDEX($J$66:$J$74,MATCH($B25,$I$66:$I$74,0),1),0))),2)</f>
        <v>88.34</v>
      </c>
      <c r="E25" s="149">
        <v>38.610042323970752</v>
      </c>
      <c r="F25" s="129">
        <f t="shared" ref="F25" si="5">ROUND(F24*(1+(IFERROR(INDEX($D$66:$D$74,MATCH($B25,$C$66:$C$74,0),1),0)+IFERROR(INDEX($G$66:$G$74,MATCH($B25,$F$66:$F$74,0),1),0)+IFERROR(INDEX($J$66:$J$74,MATCH($B25,$I$66:$I$74,0),1),0))),2)</f>
        <v>12.36</v>
      </c>
      <c r="G25" s="131">
        <f t="shared" ref="G25:G37" si="6">(D25+E25+F25)/(8.76*$C$63)</f>
        <v>42.865155978526133</v>
      </c>
      <c r="H25" s="129">
        <f t="shared" si="1"/>
        <v>0</v>
      </c>
      <c r="I25" s="131">
        <f t="shared" ref="I25:I37" si="7">(G25+H25)</f>
        <v>42.865155978526133</v>
      </c>
      <c r="J25" s="131">
        <f t="shared" si="3"/>
        <v>139.31</v>
      </c>
      <c r="K25" s="129">
        <f t="shared" si="2"/>
        <v>139.31004232397078</v>
      </c>
      <c r="L25" s="120"/>
      <c r="N25" s="118"/>
      <c r="R25" s="154"/>
      <c r="T25" s="162"/>
      <c r="U25" s="154"/>
      <c r="V25" s="154"/>
      <c r="W25" s="154"/>
      <c r="X25" s="160"/>
      <c r="Y25" s="154"/>
    </row>
    <row r="26" spans="2:25">
      <c r="B26" s="136">
        <f t="shared" si="0"/>
        <v>2032</v>
      </c>
      <c r="C26" s="137"/>
      <c r="D26" s="129">
        <f t="shared" si="4"/>
        <v>90.25</v>
      </c>
      <c r="E26" s="149">
        <v>39.490188534051562</v>
      </c>
      <c r="F26" s="129">
        <f t="shared" ref="F26" si="8">ROUND(F25*(1+(IFERROR(INDEX($D$66:$D$74,MATCH($B26,$C$66:$C$74,0),1),0)+IFERROR(INDEX($G$66:$G$74,MATCH($B26,$F$66:$F$74,0),1),0)+IFERROR(INDEX($J$66:$J$74,MATCH($B26,$I$66:$I$74,0),1),0))),2)</f>
        <v>12.63</v>
      </c>
      <c r="G26" s="131">
        <f t="shared" si="6"/>
        <v>43.806751016643766</v>
      </c>
      <c r="H26" s="129">
        <f t="shared" si="1"/>
        <v>0</v>
      </c>
      <c r="I26" s="131">
        <f t="shared" si="7"/>
        <v>43.806751016643766</v>
      </c>
      <c r="J26" s="131">
        <f t="shared" si="3"/>
        <v>142.37</v>
      </c>
      <c r="K26" s="129">
        <f t="shared" si="2"/>
        <v>142.37018853405155</v>
      </c>
      <c r="L26" s="120"/>
      <c r="N26" s="118"/>
      <c r="R26" s="154"/>
      <c r="T26" s="162"/>
      <c r="U26" s="154"/>
      <c r="V26" s="154"/>
      <c r="W26" s="154"/>
      <c r="X26" s="160"/>
      <c r="Y26" s="154"/>
    </row>
    <row r="27" spans="2:25">
      <c r="B27" s="136">
        <f t="shared" si="0"/>
        <v>2033</v>
      </c>
      <c r="C27" s="137"/>
      <c r="D27" s="129">
        <f t="shared" si="4"/>
        <v>92.19</v>
      </c>
      <c r="E27" s="149">
        <v>40.389572912658728</v>
      </c>
      <c r="F27" s="129">
        <f t="shared" ref="F27" si="9">ROUND(F26*(1+(IFERROR(INDEX($D$66:$D$74,MATCH($B27,$C$66:$C$74,0),1),0)+IFERROR(INDEX($G$66:$G$74,MATCH($B27,$F$66:$F$74,0),1),0)+IFERROR(INDEX($J$66:$J$74,MATCH($B27,$I$66:$I$74,0),1),0))),2)</f>
        <v>12.9</v>
      </c>
      <c r="G27" s="131">
        <f t="shared" si="6"/>
        <v>44.763496446928194</v>
      </c>
      <c r="H27" s="129">
        <f t="shared" si="1"/>
        <v>0</v>
      </c>
      <c r="I27" s="131">
        <f t="shared" si="7"/>
        <v>44.763496446928194</v>
      </c>
      <c r="J27" s="131">
        <f t="shared" si="3"/>
        <v>145.47999999999999</v>
      </c>
      <c r="K27" s="129">
        <f t="shared" si="2"/>
        <v>145.47957291265874</v>
      </c>
      <c r="L27" s="120"/>
      <c r="N27" s="118"/>
      <c r="R27" s="154"/>
      <c r="T27" s="162"/>
      <c r="U27" s="154"/>
      <c r="V27" s="154"/>
      <c r="W27" s="154"/>
      <c r="X27" s="160"/>
      <c r="Y27" s="154"/>
    </row>
    <row r="28" spans="2:25">
      <c r="B28" s="136">
        <f t="shared" si="0"/>
        <v>2034</v>
      </c>
      <c r="C28" s="137"/>
      <c r="D28" s="129">
        <f t="shared" si="4"/>
        <v>94.13</v>
      </c>
      <c r="E28" s="149">
        <v>41.310119276644869</v>
      </c>
      <c r="F28" s="129">
        <f t="shared" ref="F28" si="10">ROUND(F27*(1+(IFERROR(INDEX($D$66:$D$74,MATCH($B28,$C$66:$C$74,0),1),0)+IFERROR(INDEX($G$66:$G$74,MATCH($B28,$F$66:$F$74,0),1),0)+IFERROR(INDEX($J$66:$J$74,MATCH($B28,$I$66:$I$74,0),1),0))),2)</f>
        <v>13.17</v>
      </c>
      <c r="G28" s="131">
        <f t="shared" si="6"/>
        <v>45.726753337470264</v>
      </c>
      <c r="H28" s="129">
        <f t="shared" si="1"/>
        <v>0</v>
      </c>
      <c r="I28" s="131">
        <f t="shared" si="7"/>
        <v>45.726753337470264</v>
      </c>
      <c r="J28" s="131">
        <f t="shared" si="3"/>
        <v>148.61000000000001</v>
      </c>
      <c r="K28" s="129">
        <f t="shared" si="2"/>
        <v>148.61011927664484</v>
      </c>
      <c r="L28" s="120"/>
      <c r="N28" s="118"/>
      <c r="R28" s="154"/>
      <c r="T28" s="162"/>
      <c r="U28" s="154"/>
      <c r="V28" s="154"/>
      <c r="W28" s="154"/>
      <c r="X28" s="160"/>
      <c r="Y28" s="154"/>
    </row>
    <row r="29" spans="2:25">
      <c r="B29" s="136">
        <f t="shared" si="0"/>
        <v>2035</v>
      </c>
      <c r="C29" s="137"/>
      <c r="D29" s="129">
        <f t="shared" si="4"/>
        <v>96.11</v>
      </c>
      <c r="E29" s="149">
        <v>42.249903809157374</v>
      </c>
      <c r="F29" s="129">
        <f t="shared" ref="F29" si="11">ROUND(F28*(1+(IFERROR(INDEX($D$66:$D$74,MATCH($B29,$C$66:$C$74,0),1),0)+IFERROR(INDEX($G$66:$G$74,MATCH($B29,$F$66:$F$74,0),1),0)+IFERROR(INDEX($J$66:$J$74,MATCH($B29,$I$66:$I$74,0),1),0))),2)</f>
        <v>13.45</v>
      </c>
      <c r="G29" s="131">
        <f t="shared" si="6"/>
        <v>46.711314542073559</v>
      </c>
      <c r="H29" s="129">
        <f t="shared" si="1"/>
        <v>0</v>
      </c>
      <c r="I29" s="131">
        <f t="shared" si="7"/>
        <v>46.711314542073559</v>
      </c>
      <c r="J29" s="131">
        <f t="shared" si="3"/>
        <v>151.81</v>
      </c>
      <c r="K29" s="129">
        <f t="shared" si="2"/>
        <v>151.80990380915736</v>
      </c>
      <c r="L29" s="120"/>
      <c r="N29" s="118"/>
      <c r="R29" s="154"/>
      <c r="T29" s="162"/>
      <c r="U29" s="154"/>
      <c r="V29" s="154"/>
      <c r="W29" s="154"/>
      <c r="X29" s="160"/>
      <c r="Y29" s="154"/>
    </row>
    <row r="30" spans="2:25">
      <c r="B30" s="136">
        <f t="shared" si="0"/>
        <v>2036</v>
      </c>
      <c r="C30" s="137"/>
      <c r="D30" s="129">
        <f t="shared" si="4"/>
        <v>98.11</v>
      </c>
      <c r="E30" s="149">
        <v>43.219507502885733</v>
      </c>
      <c r="F30" s="129">
        <f t="shared" ref="F30" si="12">ROUND(F29*(1+(IFERROR(INDEX($D$66:$D$74,MATCH($B30,$C$66:$C$74,0),1),0)+IFERROR(INDEX($G$66:$G$74,MATCH($B30,$F$66:$F$74,0),1),0)+IFERROR(INDEX($J$66:$J$74,MATCH($B30,$I$66:$I$74,0),1),0))),2)</f>
        <v>13.73</v>
      </c>
      <c r="G30" s="131">
        <f t="shared" si="6"/>
        <v>47.711204908025252</v>
      </c>
      <c r="H30" s="129">
        <f t="shared" si="1"/>
        <v>0</v>
      </c>
      <c r="I30" s="131">
        <f t="shared" si="7"/>
        <v>47.711204908025252</v>
      </c>
      <c r="J30" s="131">
        <f t="shared" si="3"/>
        <v>155.06</v>
      </c>
      <c r="K30" s="129">
        <f t="shared" si="2"/>
        <v>155.05950750288574</v>
      </c>
      <c r="L30" s="120"/>
      <c r="N30" s="118"/>
      <c r="R30" s="154"/>
      <c r="T30" s="162"/>
      <c r="U30" s="154"/>
      <c r="V30" s="154"/>
      <c r="W30" s="154"/>
      <c r="X30" s="160"/>
      <c r="Y30" s="154"/>
    </row>
    <row r="31" spans="2:25">
      <c r="B31" s="136">
        <f t="shared" si="0"/>
        <v>2037</v>
      </c>
      <c r="C31" s="137"/>
      <c r="D31" s="129">
        <f t="shared" si="4"/>
        <v>100.16</v>
      </c>
      <c r="E31" s="149">
        <v>44.199692189303583</v>
      </c>
      <c r="F31" s="129">
        <f t="shared" ref="F31" si="13">ROUND(F30*(1+(IFERROR(INDEX($D$66:$D$74,MATCH($B31,$C$66:$C$74,0),1),0)+IFERROR(INDEX($G$66:$G$74,MATCH($B31,$F$66:$F$74,0),1),0)+IFERROR(INDEX($J$66:$J$74,MATCH($B31,$I$66:$I$74,0),1),0))),2)</f>
        <v>14.02</v>
      </c>
      <c r="G31" s="131">
        <f t="shared" si="6"/>
        <v>48.732812769789049</v>
      </c>
      <c r="H31" s="129">
        <f t="shared" si="1"/>
        <v>0</v>
      </c>
      <c r="I31" s="131">
        <f t="shared" si="7"/>
        <v>48.732812769789049</v>
      </c>
      <c r="J31" s="131">
        <f t="shared" si="3"/>
        <v>158.38</v>
      </c>
      <c r="K31" s="129">
        <f t="shared" si="2"/>
        <v>158.3796921893036</v>
      </c>
      <c r="L31" s="120"/>
      <c r="N31" s="118"/>
      <c r="R31" s="154"/>
      <c r="T31" s="162"/>
      <c r="U31" s="154"/>
      <c r="V31" s="154"/>
      <c r="W31" s="154"/>
      <c r="X31" s="160"/>
      <c r="Y31" s="154"/>
    </row>
    <row r="32" spans="2:25">
      <c r="B32" s="136">
        <f t="shared" si="0"/>
        <v>2038</v>
      </c>
      <c r="C32" s="137"/>
      <c r="D32" s="129">
        <f t="shared" si="4"/>
        <v>102.25</v>
      </c>
      <c r="E32" s="149">
        <v>45.210657945363607</v>
      </c>
      <c r="F32" s="129">
        <f t="shared" ref="F32" si="14">ROUND(F31*(1+(IFERROR(INDEX($D$66:$D$74,MATCH($B32,$C$66:$C$74,0),1),0)+IFERROR(INDEX($G$66:$G$74,MATCH($B32,$F$66:$F$74,0),1),0)+IFERROR(INDEX($J$66:$J$74,MATCH($B32,$I$66:$I$74,0),1),0))),2)</f>
        <v>14.31</v>
      </c>
      <c r="G32" s="131">
        <f t="shared" si="6"/>
        <v>49.776199690261919</v>
      </c>
      <c r="H32" s="129">
        <f t="shared" si="1"/>
        <v>0</v>
      </c>
      <c r="I32" s="131">
        <f t="shared" si="7"/>
        <v>49.776199690261919</v>
      </c>
      <c r="J32" s="131">
        <f t="shared" si="3"/>
        <v>161.77000000000001</v>
      </c>
      <c r="K32" s="129">
        <f t="shared" si="2"/>
        <v>161.77065794536361</v>
      </c>
      <c r="L32" s="120"/>
      <c r="N32" s="118"/>
      <c r="R32" s="154"/>
      <c r="T32" s="162"/>
      <c r="U32" s="154"/>
      <c r="V32" s="154"/>
      <c r="W32" s="154"/>
      <c r="X32" s="160"/>
      <c r="Y32" s="154"/>
    </row>
    <row r="33" spans="2:14">
      <c r="B33" s="136">
        <f t="shared" si="0"/>
        <v>2039</v>
      </c>
      <c r="C33" s="137"/>
      <c r="D33" s="129">
        <f t="shared" si="4"/>
        <v>104.37</v>
      </c>
      <c r="E33" s="129">
        <f t="shared" si="4"/>
        <v>46.15</v>
      </c>
      <c r="F33" s="129">
        <f t="shared" ref="F33" si="15">ROUND(F32*(1+(IFERROR(INDEX($D$66:$D$74,MATCH($B33,$C$66:$C$74,0),1),0)+IFERROR(INDEX($G$66:$G$74,MATCH($B33,$F$66:$F$74,0),1),0)+IFERROR(INDEX($J$66:$J$74,MATCH($B33,$I$66:$I$74,0),1),0))),2)</f>
        <v>14.61</v>
      </c>
      <c r="G33" s="131">
        <f t="shared" si="6"/>
        <v>50.809856121306112</v>
      </c>
      <c r="H33" s="129">
        <f t="shared" si="1"/>
        <v>0</v>
      </c>
      <c r="I33" s="131">
        <f t="shared" si="7"/>
        <v>50.809856121306112</v>
      </c>
      <c r="J33" s="131">
        <f t="shared" ref="J33:J37" si="16">ROUND(I33*$C$63*8.76,2)</f>
        <v>165.13</v>
      </c>
      <c r="K33" s="129">
        <f t="shared" si="2"/>
        <v>165.13</v>
      </c>
      <c r="L33" s="120"/>
      <c r="N33" s="118"/>
    </row>
    <row r="34" spans="2:14">
      <c r="B34" s="136">
        <f t="shared" si="0"/>
        <v>2040</v>
      </c>
      <c r="C34" s="137"/>
      <c r="D34" s="129">
        <f t="shared" si="4"/>
        <v>106.54</v>
      </c>
      <c r="E34" s="129">
        <f t="shared" ref="E34:F34" si="17">ROUND(E33*(1+(IFERROR(INDEX($D$66:$D$74,MATCH($B34,$C$66:$C$74,0),1),0)+IFERROR(INDEX($G$66:$G$74,MATCH($B34,$F$66:$F$74,0),1),0)+IFERROR(INDEX($J$66:$J$74,MATCH($B34,$I$66:$I$74,0),1),0))),2)</f>
        <v>47.11</v>
      </c>
      <c r="F34" s="129">
        <f t="shared" si="17"/>
        <v>14.91</v>
      </c>
      <c r="G34" s="131">
        <f t="shared" si="6"/>
        <v>51.865253726199711</v>
      </c>
      <c r="H34" s="129">
        <f t="shared" si="1"/>
        <v>0</v>
      </c>
      <c r="I34" s="131">
        <f t="shared" si="7"/>
        <v>51.865253726199711</v>
      </c>
      <c r="J34" s="131">
        <f t="shared" si="16"/>
        <v>168.56</v>
      </c>
      <c r="K34" s="129">
        <f t="shared" si="2"/>
        <v>168.56</v>
      </c>
      <c r="L34" s="120"/>
      <c r="N34" s="118"/>
    </row>
    <row r="35" spans="2:14">
      <c r="B35" s="136">
        <f t="shared" si="0"/>
        <v>2041</v>
      </c>
      <c r="C35" s="137"/>
      <c r="D35" s="129">
        <f t="shared" si="4"/>
        <v>108.76</v>
      </c>
      <c r="E35" s="129">
        <f t="shared" ref="E35:F35" si="18">ROUND(E34*(1+(IFERROR(INDEX($D$66:$D$74,MATCH($B35,$C$66:$C$74,0),1),0)+IFERROR(INDEX($G$66:$G$74,MATCH($B35,$F$66:$F$74,0),1),0)+IFERROR(INDEX($J$66:$J$74,MATCH($B35,$I$66:$I$74,0),1),0))),2)</f>
        <v>48.09</v>
      </c>
      <c r="F35" s="129">
        <f t="shared" si="18"/>
        <v>15.22</v>
      </c>
      <c r="G35" s="131">
        <f t="shared" si="6"/>
        <v>52.945267018671011</v>
      </c>
      <c r="H35" s="129">
        <f t="shared" si="1"/>
        <v>0</v>
      </c>
      <c r="I35" s="131">
        <f t="shared" si="7"/>
        <v>52.945267018671011</v>
      </c>
      <c r="J35" s="131">
        <f t="shared" si="16"/>
        <v>172.07</v>
      </c>
      <c r="K35" s="129">
        <f t="shared" si="2"/>
        <v>172.07000000000002</v>
      </c>
      <c r="L35" s="120"/>
      <c r="N35" s="118"/>
    </row>
    <row r="36" spans="2:14">
      <c r="B36" s="136">
        <f t="shared" si="0"/>
        <v>2042</v>
      </c>
      <c r="C36" s="137"/>
      <c r="D36" s="129">
        <f t="shared" si="4"/>
        <v>111.05</v>
      </c>
      <c r="E36" s="129">
        <f t="shared" ref="E36:F36" si="19">ROUND(E35*(1+(IFERROR(INDEX($D$66:$D$74,MATCH($B36,$C$66:$C$74,0),1),0)+IFERROR(INDEX($G$66:$G$74,MATCH($B36,$F$66:$F$74,0),1),0)+IFERROR(INDEX($J$66:$J$74,MATCH($B36,$I$66:$I$74,0),1),0))),2)</f>
        <v>49.1</v>
      </c>
      <c r="F36" s="129">
        <f t="shared" si="19"/>
        <v>15.54</v>
      </c>
      <c r="G36" s="131">
        <f t="shared" si="6"/>
        <v>54.059126881561625</v>
      </c>
      <c r="H36" s="129">
        <f t="shared" si="1"/>
        <v>0</v>
      </c>
      <c r="I36" s="131">
        <f t="shared" si="7"/>
        <v>54.059126881561625</v>
      </c>
      <c r="J36" s="131">
        <f t="shared" si="16"/>
        <v>175.69</v>
      </c>
      <c r="K36" s="129">
        <f t="shared" si="2"/>
        <v>175.69</v>
      </c>
      <c r="L36" s="120"/>
      <c r="N36" s="118"/>
    </row>
    <row r="37" spans="2:14">
      <c r="B37" s="136">
        <f t="shared" si="0"/>
        <v>2043</v>
      </c>
      <c r="C37" s="137"/>
      <c r="D37" s="129">
        <f t="shared" si="4"/>
        <v>113.4</v>
      </c>
      <c r="E37" s="129">
        <f t="shared" ref="E37:F37" si="20">ROUND(E36*(1+(IFERROR(INDEX($D$66:$D$74,MATCH($B37,$C$66:$C$74,0),1),0)+IFERROR(INDEX($G$66:$G$74,MATCH($B37,$F$66:$F$74,0),1),0)+IFERROR(INDEX($J$66:$J$74,MATCH($B37,$I$66:$I$74,0),1),0))),2)</f>
        <v>50.14</v>
      </c>
      <c r="F37" s="129">
        <f t="shared" si="20"/>
        <v>15.87</v>
      </c>
      <c r="G37" s="131">
        <f t="shared" si="6"/>
        <v>55.203756353924369</v>
      </c>
      <c r="H37" s="129">
        <f t="shared" si="1"/>
        <v>0</v>
      </c>
      <c r="I37" s="131">
        <f t="shared" si="7"/>
        <v>55.203756353924369</v>
      </c>
      <c r="J37" s="131">
        <f t="shared" si="16"/>
        <v>179.41</v>
      </c>
      <c r="K37" s="129">
        <f t="shared" si="2"/>
        <v>179.41000000000003</v>
      </c>
      <c r="L37" s="120"/>
    </row>
    <row r="38" spans="2:14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</row>
    <row r="39" spans="2:14">
      <c r="B39" s="136"/>
      <c r="C39" s="137"/>
      <c r="D39" s="129"/>
      <c r="E39" s="129"/>
      <c r="F39" s="131"/>
      <c r="G39" s="129"/>
      <c r="H39" s="129"/>
      <c r="I39" s="131"/>
      <c r="J39" s="131"/>
      <c r="K39" s="129"/>
      <c r="L39" s="120"/>
    </row>
    <row r="40" spans="2:14">
      <c r="B40" s="127"/>
      <c r="C40" s="132"/>
      <c r="D40" s="129"/>
      <c r="E40" s="129"/>
      <c r="F40" s="130"/>
      <c r="G40" s="129"/>
      <c r="H40" s="129"/>
      <c r="I40" s="131"/>
      <c r="J40" s="131"/>
      <c r="K40" s="138"/>
    </row>
    <row r="42" spans="2:14" ht="14.25">
      <c r="B42" s="139" t="s">
        <v>27</v>
      </c>
      <c r="C42" s="140"/>
      <c r="D42" s="140"/>
      <c r="E42" s="140"/>
      <c r="F42" s="140"/>
      <c r="G42" s="140"/>
      <c r="H42" s="140"/>
    </row>
    <row r="44" spans="2:14">
      <c r="B44" s="118" t="s">
        <v>65</v>
      </c>
      <c r="C44" s="141" t="s">
        <v>66</v>
      </c>
      <c r="D44" s="142" t="s">
        <v>105</v>
      </c>
    </row>
    <row r="45" spans="2:14">
      <c r="C45" s="141" t="str">
        <f>C7</f>
        <v>(a)</v>
      </c>
      <c r="D45" s="118" t="s">
        <v>67</v>
      </c>
    </row>
    <row r="46" spans="2:14">
      <c r="C46" s="141" t="str">
        <f>D7</f>
        <v>(b)</v>
      </c>
      <c r="D46" s="131" t="str">
        <f>"= "&amp;C7&amp;" x "&amp;C62</f>
        <v>= (a) x 0.06899</v>
      </c>
    </row>
    <row r="47" spans="2:14">
      <c r="C47" s="141" t="str">
        <f>G7</f>
        <v>(e)</v>
      </c>
      <c r="D47" s="131" t="str">
        <f>"= ("&amp;$D$7&amp;" + "&amp;$E$7&amp;") /  (8.76 x "&amp;TEXT(C63,"0.0%")&amp;")"</f>
        <v>= ((b) + (c)) /  (8.76 x 37.1%)</v>
      </c>
    </row>
    <row r="48" spans="2:14">
      <c r="C48" s="141" t="str">
        <f>I7</f>
        <v>(g)</v>
      </c>
      <c r="D48" s="131" t="str">
        <f>"= "&amp;$G$7&amp;" + "&amp;$H$7</f>
        <v>= (e) + (f)</v>
      </c>
    </row>
    <row r="49" spans="2:27">
      <c r="C49" s="141" t="str">
        <f>K7</f>
        <v>(i)</v>
      </c>
      <c r="D49" s="85" t="str">
        <f>D44</f>
        <v>Plant Costs  - 2019 IRP Update - Table 6.1 &amp; 6.2</v>
      </c>
    </row>
    <row r="50" spans="2:27">
      <c r="C50" s="141"/>
      <c r="D50" s="131"/>
    </row>
    <row r="51" spans="2:27" ht="13.5" thickBot="1"/>
    <row r="52" spans="2:27" ht="13.5" thickBot="1">
      <c r="C52" s="42" t="str">
        <f>B2&amp;" - "&amp;B3</f>
        <v>2019 IRP Idaho Wind Resource - 37%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7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7">
      <c r="P54" s="118" t="s">
        <v>106</v>
      </c>
      <c r="Q54" s="118">
        <v>2030</v>
      </c>
    </row>
    <row r="55" spans="2:27">
      <c r="B55" s="85" t="s">
        <v>104</v>
      </c>
      <c r="C55" s="393">
        <v>1358.4350565953944</v>
      </c>
      <c r="D55" s="118" t="s">
        <v>67</v>
      </c>
      <c r="T55" s="118" t="str">
        <f>$Q$56&amp;"Proposed Station Capital Costs"</f>
        <v>H_.GO2_WDProposed Station Capital Costs</v>
      </c>
    </row>
    <row r="56" spans="2:27">
      <c r="B56" s="85" t="s">
        <v>104</v>
      </c>
      <c r="C56" s="149">
        <v>28.802174620531375</v>
      </c>
      <c r="D56" s="118" t="s">
        <v>70</v>
      </c>
      <c r="O56" s="118">
        <v>470</v>
      </c>
      <c r="P56" s="118" t="s">
        <v>34</v>
      </c>
      <c r="Q56" s="118" t="s">
        <v>157</v>
      </c>
      <c r="T56" s="118" t="str">
        <f>Q56&amp;"Proposed Station Fixed Costs"</f>
        <v>H_.GO2_WDProposed Station Fixed Costs</v>
      </c>
      <c r="AA56" s="278"/>
    </row>
    <row r="57" spans="2:27" ht="24" customHeight="1">
      <c r="B57" s="85"/>
      <c r="C57" s="154"/>
      <c r="D57" s="118" t="s">
        <v>109</v>
      </c>
      <c r="O57" s="118">
        <v>569.6</v>
      </c>
      <c r="P57" s="118" t="s">
        <v>34</v>
      </c>
      <c r="Q57" s="118" t="s">
        <v>158</v>
      </c>
      <c r="T57" s="118" t="str">
        <f>Q57&amp;"Proposed Station Fixed Costs"</f>
        <v>L_.GO2_WDProposed Station Fixed Costs</v>
      </c>
    </row>
    <row r="58" spans="2:27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/>
      <c r="R58" s="120"/>
      <c r="T58" s="118" t="str">
        <f>$Q$56&amp;"Proposed Station Variable O&amp;M Costs"</f>
        <v>H_.GO2_WDProposed Station Variable O&amp;M Costs</v>
      </c>
      <c r="U58" s="120"/>
      <c r="V58" s="120"/>
      <c r="W58" s="120"/>
      <c r="X58" s="120"/>
      <c r="Y58" s="120"/>
    </row>
    <row r="59" spans="2:27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215" t="str">
        <f>Q56&amp;Q54</f>
        <v>H_.GO2_WD2030</v>
      </c>
      <c r="R59" s="120"/>
      <c r="T59" s="118" t="str">
        <f>$Q$57&amp;"Proposed Station Variable O&amp;M Costs"</f>
        <v>L_.GO2_WDProposed Station Variable O&amp;M Costs</v>
      </c>
      <c r="U59" s="120"/>
      <c r="V59" s="120"/>
      <c r="W59" s="120"/>
      <c r="X59" s="120"/>
      <c r="Y59" s="120"/>
    </row>
    <row r="60" spans="2:27">
      <c r="B60" s="358" t="str">
        <f>LEFT(RIGHT(INDEX('Table 3 TransCost'!$39:$39,1,MATCH(F60,'Table 3 TransCost'!$4:$4,0)),6),5)</f>
        <v>2030$</v>
      </c>
      <c r="C60" s="154">
        <f>INDEX('Table 3 TransCost'!$39:$39,1,MATCH(F60,'Table 3 TransCost'!$4:$4,0)+2)</f>
        <v>12.097273854334603</v>
      </c>
      <c r="D60" s="118" t="s">
        <v>222</v>
      </c>
      <c r="F60" s="118" t="s">
        <v>188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7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7">
      <c r="C62" s="395">
        <v>6.8989999999999996E-2</v>
      </c>
      <c r="D62" s="118" t="s">
        <v>38</v>
      </c>
      <c r="K62" s="288"/>
      <c r="L62" s="157"/>
      <c r="M62" s="157"/>
      <c r="O62" s="158"/>
    </row>
    <row r="63" spans="2:27">
      <c r="C63" s="396">
        <v>0.371</v>
      </c>
      <c r="D63" s="118" t="s">
        <v>39</v>
      </c>
    </row>
    <row r="64" spans="2:27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21">C66+1</f>
        <v>2018</v>
      </c>
      <c r="D67" s="41">
        <v>2.3994563767884003E-2</v>
      </c>
      <c r="E67" s="85"/>
      <c r="F67" s="87">
        <f t="shared" ref="F67:F74" si="22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21"/>
        <v>2019</v>
      </c>
      <c r="D68" s="41">
        <v>1.9651346350279875E-2</v>
      </c>
      <c r="E68" s="85"/>
      <c r="F68" s="87">
        <f t="shared" si="22"/>
        <v>2028</v>
      </c>
      <c r="G68" s="41">
        <v>2.2447976887115972E-2</v>
      </c>
      <c r="H68" s="41"/>
      <c r="I68" s="87">
        <f t="shared" ref="I68:I74" si="23">I67+1</f>
        <v>2037</v>
      </c>
      <c r="J68" s="41">
        <v>2.0854082421584375E-2</v>
      </c>
    </row>
    <row r="69" spans="3:14">
      <c r="C69" s="87">
        <f t="shared" si="21"/>
        <v>2020</v>
      </c>
      <c r="D69" s="41">
        <v>2.6147280919121885E-2</v>
      </c>
      <c r="E69" s="85"/>
      <c r="F69" s="87">
        <f t="shared" si="22"/>
        <v>2029</v>
      </c>
      <c r="G69" s="41">
        <v>2.2764957830614385E-2</v>
      </c>
      <c r="H69" s="41"/>
      <c r="I69" s="87">
        <f t="shared" si="23"/>
        <v>2038</v>
      </c>
      <c r="J69" s="41">
        <v>2.0886076981620372E-2</v>
      </c>
    </row>
    <row r="70" spans="3:14">
      <c r="C70" s="87">
        <f t="shared" si="21"/>
        <v>2021</v>
      </c>
      <c r="D70" s="41">
        <v>2.5435997430165225E-2</v>
      </c>
      <c r="E70" s="85"/>
      <c r="F70" s="87">
        <f t="shared" si="22"/>
        <v>2030</v>
      </c>
      <c r="G70" s="41">
        <v>2.2409251338579406E-2</v>
      </c>
      <c r="H70" s="41"/>
      <c r="I70" s="87">
        <f t="shared" si="23"/>
        <v>2039</v>
      </c>
      <c r="J70" s="41">
        <v>2.0755199547329406E-2</v>
      </c>
    </row>
    <row r="71" spans="3:14">
      <c r="C71" s="87">
        <f t="shared" si="21"/>
        <v>2022</v>
      </c>
      <c r="D71" s="41">
        <v>2.5246661572301266E-2</v>
      </c>
      <c r="E71" s="85"/>
      <c r="F71" s="87">
        <f t="shared" si="22"/>
        <v>2031</v>
      </c>
      <c r="G71" s="41">
        <v>2.1876862460861402E-2</v>
      </c>
      <c r="H71" s="41"/>
      <c r="I71" s="87">
        <f t="shared" si="23"/>
        <v>2040</v>
      </c>
      <c r="J71" s="41">
        <v>2.0747934127706591E-2</v>
      </c>
    </row>
    <row r="72" spans="3:14" s="120" customFormat="1">
      <c r="C72" s="87">
        <f t="shared" si="21"/>
        <v>2023</v>
      </c>
      <c r="D72" s="41">
        <v>2.4577195966118071E-2</v>
      </c>
      <c r="E72" s="86"/>
      <c r="F72" s="87">
        <f t="shared" si="22"/>
        <v>2032</v>
      </c>
      <c r="G72" s="41">
        <v>2.1570874084378078E-2</v>
      </c>
      <c r="H72" s="41"/>
      <c r="I72" s="87">
        <f t="shared" si="23"/>
        <v>2041</v>
      </c>
      <c r="J72" s="41">
        <v>2.0871781890604124E-2</v>
      </c>
      <c r="N72" s="165"/>
    </row>
    <row r="73" spans="3:14" s="120" customFormat="1">
      <c r="C73" s="87">
        <f t="shared" si="21"/>
        <v>2024</v>
      </c>
      <c r="D73" s="41">
        <v>2.3256370085936506E-2</v>
      </c>
      <c r="E73" s="86"/>
      <c r="F73" s="87">
        <f t="shared" si="22"/>
        <v>2033</v>
      </c>
      <c r="G73" s="41">
        <v>2.144511122277093E-2</v>
      </c>
      <c r="H73" s="41"/>
      <c r="I73" s="87">
        <f t="shared" si="23"/>
        <v>2042</v>
      </c>
      <c r="J73" s="41">
        <v>2.1078469389761434E-2</v>
      </c>
      <c r="N73" s="165"/>
    </row>
    <row r="74" spans="3:14" s="120" customFormat="1">
      <c r="C74" s="87">
        <f t="shared" si="21"/>
        <v>2025</v>
      </c>
      <c r="D74" s="41">
        <v>2.2304783799234951E-2</v>
      </c>
      <c r="E74" s="86"/>
      <c r="F74" s="87">
        <f t="shared" si="22"/>
        <v>2034</v>
      </c>
      <c r="G74" s="41">
        <v>2.1010014778543251E-2</v>
      </c>
      <c r="H74" s="41"/>
      <c r="I74" s="87">
        <f t="shared" si="23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view="pageBreakPreview" zoomScale="60" zoomScaleNormal="100" workbookViewId="0">
      <selection activeCell="D20" sqref="D20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1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/>
    <col min="16" max="16" width="10" style="118" customWidth="1"/>
    <col min="17" max="17" width="25.1640625" style="118" customWidth="1"/>
    <col min="18" max="18" width="18.1640625" style="118" customWidth="1"/>
    <col min="19" max="19" width="9.33203125" style="118"/>
    <col min="20" max="20" width="16.6640625" style="118" customWidth="1"/>
    <col min="21" max="21" width="11.83203125" style="118" customWidth="1"/>
    <col min="22" max="22" width="9.6640625" style="118" bestFit="1" customWidth="1"/>
    <col min="23" max="16384" width="9.33203125" style="118"/>
  </cols>
  <sheetData>
    <row r="1" spans="2:25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25" ht="15.75">
      <c r="B2" s="116" t="s">
        <v>160</v>
      </c>
      <c r="C2" s="117"/>
      <c r="D2" s="117"/>
      <c r="E2" s="117"/>
      <c r="F2" s="117"/>
      <c r="G2" s="117"/>
      <c r="H2" s="117"/>
      <c r="I2" s="117"/>
      <c r="J2" s="117"/>
    </row>
    <row r="3" spans="2:25" ht="15.75">
      <c r="B3" s="116" t="str">
        <f>TEXT($C$63,"0%")&amp;" Capacity Factor"</f>
        <v>37% Capacity Factor</v>
      </c>
      <c r="C3" s="117"/>
      <c r="D3" s="117"/>
      <c r="E3" s="117"/>
      <c r="F3" s="117"/>
      <c r="G3" s="117"/>
      <c r="H3" s="117"/>
      <c r="I3" s="117"/>
      <c r="J3" s="117"/>
    </row>
    <row r="4" spans="2:25">
      <c r="B4" s="119"/>
      <c r="C4" s="119"/>
      <c r="D4" s="119"/>
      <c r="E4" s="119"/>
      <c r="F4" s="119"/>
      <c r="G4" s="119"/>
      <c r="H4" s="119"/>
      <c r="I4" s="120"/>
      <c r="J4" s="120"/>
      <c r="K4" s="120"/>
    </row>
    <row r="5" spans="2:25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</row>
    <row r="6" spans="2:25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25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</row>
    <row r="8" spans="2:25" ht="6" customHeight="1">
      <c r="K8" s="120"/>
    </row>
    <row r="9" spans="2:25" ht="15.75">
      <c r="B9" s="43" t="str">
        <f>C52</f>
        <v>2019 IRP Yakima Wind with Storage Resource - 37% Capacity Factor</v>
      </c>
      <c r="C9" s="120"/>
      <c r="E9" s="120"/>
      <c r="F9" s="120"/>
      <c r="G9" s="120"/>
      <c r="H9" s="120"/>
      <c r="I9" s="120"/>
      <c r="J9" s="120"/>
      <c r="K9" s="120"/>
      <c r="N9" s="118"/>
    </row>
    <row r="10" spans="2:25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</row>
    <row r="11" spans="2:25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</row>
    <row r="12" spans="2:25">
      <c r="B12" s="136">
        <f t="shared" si="0"/>
        <v>2018</v>
      </c>
      <c r="C12" s="137"/>
      <c r="D12" s="129"/>
      <c r="E12" s="149"/>
      <c r="F12" s="149"/>
      <c r="G12" s="131"/>
      <c r="H12" s="149">
        <f>$C$58</f>
        <v>0</v>
      </c>
      <c r="I12" s="131"/>
      <c r="J12" s="131"/>
      <c r="K12" s="129">
        <f>(D12+E12+F12)</f>
        <v>0</v>
      </c>
      <c r="L12" s="120"/>
      <c r="N12" s="118"/>
      <c r="R12" s="149"/>
      <c r="T12" s="162"/>
      <c r="U12" s="154"/>
      <c r="V12" s="154"/>
      <c r="W12" s="154"/>
      <c r="X12" s="154"/>
      <c r="Y12" s="154"/>
    </row>
    <row r="13" spans="2:25">
      <c r="B13" s="136">
        <f t="shared" si="0"/>
        <v>2019</v>
      </c>
      <c r="C13" s="137"/>
      <c r="D13" s="129"/>
      <c r="E13" s="149"/>
      <c r="F13" s="149"/>
      <c r="G13" s="131"/>
      <c r="H13" s="129">
        <f>ROUND(H12*(1+(IFERROR(INDEX($D$66:$D$74,MATCH($B13,$C$66:$C$74,0),1),0)+IFERROR(INDEX($G$66:$G$74,MATCH($B13,$F$66:$F$74,0),1),0)+IFERROR(INDEX(#REF!,MATCH($B13,$I$66:$I$74,0),1),0))),2)</f>
        <v>0</v>
      </c>
      <c r="I13" s="131"/>
      <c r="J13" s="131"/>
      <c r="K13" s="129">
        <f t="shared" ref="K13:K37" si="1">(D13+E13+F13)</f>
        <v>0</v>
      </c>
      <c r="L13" s="120"/>
      <c r="N13" s="118"/>
      <c r="V13" s="154"/>
      <c r="W13" s="154"/>
      <c r="X13" s="154"/>
      <c r="Y13" s="154"/>
    </row>
    <row r="14" spans="2:25">
      <c r="B14" s="136">
        <f t="shared" si="0"/>
        <v>2020</v>
      </c>
      <c r="C14" s="137"/>
      <c r="D14" s="129"/>
      <c r="E14" s="129"/>
      <c r="F14" s="129"/>
      <c r="G14" s="131"/>
      <c r="H14" s="129">
        <f>ROUND(H13*(1+(IFERROR(INDEX($D$66:$D$74,MATCH($B14,$C$66:$C$74,0),1),0)+IFERROR(INDEX($G$66:$G$74,MATCH($B14,$F$66:$F$74,0),1),0)+IFERROR(INDEX(#REF!,MATCH($B14,$I$66:$I$74,0),1),0))),2)</f>
        <v>0</v>
      </c>
      <c r="I14" s="131"/>
      <c r="J14" s="131"/>
      <c r="K14" s="129">
        <f t="shared" si="1"/>
        <v>0</v>
      </c>
      <c r="L14" s="120"/>
      <c r="N14" s="118"/>
      <c r="O14" s="133"/>
      <c r="P14" s="397"/>
      <c r="Q14" s="398"/>
      <c r="V14" s="154"/>
      <c r="W14" s="154"/>
      <c r="X14" s="154"/>
      <c r="Y14" s="154"/>
    </row>
    <row r="15" spans="2:25">
      <c r="B15" s="136">
        <f t="shared" si="0"/>
        <v>2021</v>
      </c>
      <c r="C15" s="137"/>
      <c r="D15" s="129"/>
      <c r="E15" s="129"/>
      <c r="F15" s="129"/>
      <c r="G15" s="131"/>
      <c r="H15" s="129">
        <f>ROUND(H14*(1+(IFERROR(INDEX($D$66:$D$74,MATCH($B15,$C$66:$C$74,0),1),0)+IFERROR(INDEX($G$66:$G$74,MATCH($B15,$F$66:$F$74,0),1),0)+IFERROR(INDEX(#REF!,MATCH($B15,$I$66:$I$74,0),1),0))),2)</f>
        <v>0</v>
      </c>
      <c r="I15" s="131"/>
      <c r="J15" s="131"/>
      <c r="K15" s="129">
        <f t="shared" si="1"/>
        <v>0</v>
      </c>
      <c r="L15" s="120"/>
      <c r="N15" s="118"/>
      <c r="O15" s="399"/>
      <c r="P15" s="397"/>
      <c r="Q15" s="398"/>
      <c r="V15" s="154"/>
      <c r="W15" s="154"/>
      <c r="X15" s="154"/>
      <c r="Y15" s="154"/>
    </row>
    <row r="16" spans="2:25">
      <c r="B16" s="136">
        <f t="shared" si="0"/>
        <v>2022</v>
      </c>
      <c r="C16" s="137"/>
      <c r="D16" s="129"/>
      <c r="E16" s="129"/>
      <c r="F16" s="129"/>
      <c r="G16" s="131"/>
      <c r="H16" s="129">
        <f>ROUND(H15*(1+(IFERROR(INDEX($D$66:$D$74,MATCH($B16,$C$66:$C$74,0),1),0)+IFERROR(INDEX($G$66:$G$74,MATCH($B16,$F$66:$F$74,0),1),0)+IFERROR(INDEX(#REF!,MATCH($B16,$I$66:$I$74,0),1),0))),2)</f>
        <v>0</v>
      </c>
      <c r="I16" s="131"/>
      <c r="J16" s="131"/>
      <c r="K16" s="129">
        <f t="shared" si="1"/>
        <v>0</v>
      </c>
      <c r="L16" s="120"/>
      <c r="N16" s="118"/>
      <c r="V16" s="154"/>
      <c r="W16" s="154"/>
      <c r="X16" s="154"/>
      <c r="Y16" s="154"/>
    </row>
    <row r="17" spans="2:25">
      <c r="B17" s="136">
        <f t="shared" si="0"/>
        <v>2023</v>
      </c>
      <c r="C17" s="137"/>
      <c r="D17" s="129"/>
      <c r="E17" s="129"/>
      <c r="F17" s="129"/>
      <c r="G17" s="131"/>
      <c r="H17" s="129">
        <f>ROUND(H16*(1+(IFERROR(INDEX($D$66:$D$74,MATCH($B17,$C$66:$C$74,0),1),0)+IFERROR(INDEX($G$66:$G$74,MATCH($B17,$F$66:$F$74,0),1),0)+IFERROR(INDEX(#REF!,MATCH($B17,$I$66:$I$74,0),1),0))),2)</f>
        <v>0</v>
      </c>
      <c r="I17" s="131"/>
      <c r="J17" s="131"/>
      <c r="K17" s="129">
        <f t="shared" si="1"/>
        <v>0</v>
      </c>
      <c r="L17" s="120"/>
      <c r="N17" s="118"/>
      <c r="O17" s="133"/>
      <c r="V17" s="154"/>
      <c r="W17" s="154"/>
      <c r="X17" s="154"/>
      <c r="Y17" s="154"/>
    </row>
    <row r="18" spans="2:25">
      <c r="B18" s="136">
        <f t="shared" si="0"/>
        <v>2024</v>
      </c>
      <c r="C18" s="137"/>
      <c r="D18" s="129"/>
      <c r="E18" s="149"/>
      <c r="F18" s="149"/>
      <c r="G18" s="131"/>
      <c r="H18" s="129">
        <f>ROUND(H17*(1+(IFERROR(INDEX($D$66:$D$74,MATCH($B18,$C$66:$C$74,0),1),0)+IFERROR(INDEX($G$66:$G$74,MATCH($B18,$F$66:$F$74,0),1),0)+IFERROR(INDEX(#REF!,MATCH($B18,$I$66:$I$74,0),1),0))),2)</f>
        <v>0</v>
      </c>
      <c r="I18" s="131"/>
      <c r="J18" s="131"/>
      <c r="K18" s="129">
        <f t="shared" si="1"/>
        <v>0</v>
      </c>
      <c r="L18" s="120"/>
      <c r="N18" s="118"/>
      <c r="T18" s="162"/>
      <c r="U18" s="154"/>
      <c r="V18" s="154"/>
      <c r="W18" s="154"/>
      <c r="X18" s="154"/>
      <c r="Y18" s="154"/>
    </row>
    <row r="19" spans="2:25">
      <c r="B19" s="136">
        <f t="shared" si="0"/>
        <v>2025</v>
      </c>
      <c r="C19" s="137"/>
      <c r="D19" s="129"/>
      <c r="E19" s="149"/>
      <c r="F19" s="149"/>
      <c r="G19" s="131"/>
      <c r="H19" s="129">
        <f>ROUND(H18*(1+(IFERROR(INDEX($D$66:$D$74,MATCH($B19,$C$66:$C$74,0),1),0)+IFERROR(INDEX($G$66:$G$74,MATCH($B19,$F$66:$F$74,0),1),0)+IFERROR(INDEX(#REF!,MATCH($B19,$I$66:$I$74,0),1),0))),2)</f>
        <v>0</v>
      </c>
      <c r="I19" s="131"/>
      <c r="J19" s="131"/>
      <c r="K19" s="129">
        <f t="shared" si="1"/>
        <v>0</v>
      </c>
      <c r="L19" s="120"/>
      <c r="N19" s="118"/>
      <c r="T19" s="162"/>
      <c r="U19" s="154"/>
      <c r="V19" s="154"/>
      <c r="W19" s="154"/>
      <c r="X19" s="154"/>
      <c r="Y19" s="154"/>
    </row>
    <row r="20" spans="2:25">
      <c r="B20" s="136">
        <f t="shared" si="0"/>
        <v>2026</v>
      </c>
      <c r="C20" s="137"/>
      <c r="D20" s="129"/>
      <c r="E20" s="149"/>
      <c r="F20" s="149"/>
      <c r="G20" s="131"/>
      <c r="H20" s="129">
        <f>ROUND(H19*(1+(IFERROR(INDEX($D$66:$D$74,MATCH($B20,$C$66:$C$74,0),1),0)+IFERROR(INDEX($G$66:$G$74,MATCH($B20,$F$66:$F$74,0),1),0)+IFERROR(INDEX(#REF!,MATCH($B20,$I$66:$I$74,0),1),0))),2)</f>
        <v>0</v>
      </c>
      <c r="I20" s="131"/>
      <c r="J20" s="131"/>
      <c r="K20" s="129">
        <f t="shared" si="1"/>
        <v>0</v>
      </c>
      <c r="L20" s="120"/>
      <c r="N20" s="118"/>
      <c r="R20" s="154"/>
      <c r="T20" s="162"/>
      <c r="U20" s="154"/>
      <c r="V20" s="154"/>
      <c r="W20" s="154"/>
      <c r="X20" s="154"/>
      <c r="Y20" s="154"/>
    </row>
    <row r="21" spans="2:25">
      <c r="B21" s="136">
        <f t="shared" si="0"/>
        <v>2027</v>
      </c>
      <c r="C21" s="137"/>
      <c r="D21" s="129"/>
      <c r="E21" s="149"/>
      <c r="F21" s="149"/>
      <c r="G21" s="131"/>
      <c r="H21" s="129">
        <f>ROUND(H20*(1+(IFERROR(INDEX($D$66:$D$74,MATCH($B21,$C$66:$C$74,0),1),0)+IFERROR(INDEX($G$66:$G$74,MATCH($B21,$F$66:$F$74,0),1),0)+IFERROR(INDEX(#REF!,MATCH($B21,$I$66:$I$74,0),1),0))),2)</f>
        <v>0</v>
      </c>
      <c r="I21" s="131"/>
      <c r="J21" s="131"/>
      <c r="K21" s="129">
        <f t="shared" si="1"/>
        <v>0</v>
      </c>
      <c r="L21" s="120"/>
      <c r="N21" s="118"/>
      <c r="R21" s="154"/>
      <c r="T21" s="162"/>
      <c r="U21" s="154"/>
      <c r="V21" s="154"/>
      <c r="W21" s="154"/>
      <c r="X21" s="154"/>
      <c r="Y21" s="154"/>
    </row>
    <row r="22" spans="2:25">
      <c r="B22" s="136">
        <f t="shared" si="0"/>
        <v>2028</v>
      </c>
      <c r="C22" s="137"/>
      <c r="D22" s="129"/>
      <c r="E22" s="149"/>
      <c r="F22" s="149"/>
      <c r="G22" s="131"/>
      <c r="H22" s="129">
        <f>ROUND(H21*(1+(IFERROR(INDEX($D$66:$D$74,MATCH($B22,$C$66:$C$74,0),1),0)+IFERROR(INDEX($G$66:$G$74,MATCH($B22,$F$66:$F$74,0),1),0)+IFERROR(INDEX(#REF!,MATCH($B22,$I$66:$I$74,0),1),0))),2)</f>
        <v>0</v>
      </c>
      <c r="I22" s="131"/>
      <c r="J22" s="131"/>
      <c r="K22" s="129">
        <f t="shared" si="1"/>
        <v>0</v>
      </c>
      <c r="L22" s="120"/>
      <c r="N22" s="118"/>
      <c r="R22" s="154"/>
      <c r="T22" s="162"/>
      <c r="U22" s="154"/>
      <c r="V22" s="154"/>
      <c r="W22" s="154"/>
      <c r="X22" s="154"/>
      <c r="Y22" s="154"/>
    </row>
    <row r="23" spans="2:25">
      <c r="B23" s="136">
        <f t="shared" si="0"/>
        <v>2029</v>
      </c>
      <c r="C23" s="137"/>
      <c r="D23" s="129"/>
      <c r="E23" s="149"/>
      <c r="F23" s="149"/>
      <c r="G23" s="131"/>
      <c r="H23" s="129">
        <f>ROUND(H22*(1+(IFERROR(INDEX($D$66:$D$74,MATCH($B23,$C$66:$C$74,0),1),0)+IFERROR(INDEX($G$66:$G$74,MATCH($B23,$F$66:$F$74,0),1),0)+IFERROR(INDEX(#REF!,MATCH($B23,$I$66:$I$74,0),1),0))),2)</f>
        <v>0</v>
      </c>
      <c r="I23" s="131"/>
      <c r="J23" s="131"/>
      <c r="K23" s="129">
        <f t="shared" si="1"/>
        <v>0</v>
      </c>
      <c r="L23" s="120"/>
      <c r="N23" s="118"/>
      <c r="R23" s="154"/>
      <c r="T23" s="162"/>
      <c r="U23" s="154"/>
      <c r="V23" s="154"/>
      <c r="W23" s="154"/>
      <c r="X23" s="154"/>
      <c r="Y23" s="154"/>
    </row>
    <row r="24" spans="2:25">
      <c r="B24" s="136">
        <f t="shared" si="0"/>
        <v>2030</v>
      </c>
      <c r="C24" s="137"/>
      <c r="D24" s="129"/>
      <c r="E24" s="149"/>
      <c r="F24" s="149"/>
      <c r="G24" s="131"/>
      <c r="H24" s="129">
        <f>ROUND(H23*(1+(IFERROR(INDEX($D$66:$D$74,MATCH($B24,$C$66:$C$74,0),1),0)+IFERROR(INDEX($G$66:$G$74,MATCH($B24,$F$66:$F$74,0),1),0)+IFERROR(INDEX(#REF!,MATCH($B24,$I$66:$I$74,0),1),0))),2)</f>
        <v>0</v>
      </c>
      <c r="I24" s="131"/>
      <c r="J24" s="131"/>
      <c r="K24" s="129">
        <f t="shared" si="1"/>
        <v>0</v>
      </c>
      <c r="L24" s="120"/>
      <c r="N24" s="118"/>
      <c r="R24" s="154"/>
      <c r="T24" s="162"/>
      <c r="U24" s="154"/>
      <c r="V24" s="154"/>
      <c r="W24" s="154"/>
      <c r="X24" s="154"/>
      <c r="Y24" s="154"/>
    </row>
    <row r="25" spans="2:25">
      <c r="B25" s="136">
        <f t="shared" si="0"/>
        <v>2031</v>
      </c>
      <c r="C25" s="137"/>
      <c r="D25" s="129"/>
      <c r="E25" s="149"/>
      <c r="F25" s="149"/>
      <c r="G25" s="131"/>
      <c r="H25" s="129">
        <f>ROUND(H24*(1+(IFERROR(INDEX($D$66:$D$74,MATCH($B25,$C$66:$C$74,0),1),0)+IFERROR(INDEX($G$66:$G$74,MATCH($B25,$F$66:$F$74,0),1),0)+IFERROR(INDEX(#REF!,MATCH($B25,$I$66:$I$74,0),1),0))),2)</f>
        <v>0</v>
      </c>
      <c r="I25" s="131"/>
      <c r="J25" s="131"/>
      <c r="K25" s="129">
        <f t="shared" si="1"/>
        <v>0</v>
      </c>
      <c r="L25" s="120"/>
      <c r="N25" s="118"/>
      <c r="R25" s="154"/>
      <c r="T25" s="162"/>
      <c r="U25" s="154"/>
      <c r="V25" s="154"/>
      <c r="W25" s="154"/>
      <c r="X25" s="154"/>
      <c r="Y25" s="154"/>
    </row>
    <row r="26" spans="2:25">
      <c r="B26" s="136">
        <f t="shared" si="0"/>
        <v>2032</v>
      </c>
      <c r="C26" s="137">
        <v>1672.135761589404</v>
      </c>
      <c r="D26" s="129">
        <f>C26*$C$62</f>
        <v>115.36064619205297</v>
      </c>
      <c r="E26" s="149">
        <v>26.705298013245034</v>
      </c>
      <c r="F26" s="129">
        <f>INDEX('Table 3 ID Wind_2030'!$F$10:$F$38,MATCH(B26,'Table 3 ID Wind_2030'!$B$10:$B$38,0),1)</f>
        <v>12.63</v>
      </c>
      <c r="G26" s="131">
        <f>(D26+E26+F26)/(8.76*$C$63)</f>
        <v>47.599337901173556</v>
      </c>
      <c r="H26" s="129">
        <f>ROUND(H25*(1+(IFERROR(INDEX($D$66:$D$74,MATCH($B26,$C$66:$C$74,0),1),0)+IFERROR(INDEX($G$66:$G$74,MATCH($B26,$F$66:$F$74,0),1),0)+IFERROR(INDEX(#REF!,MATCH($B26,$I$66:$I$74,0),1),0))),2)</f>
        <v>0</v>
      </c>
      <c r="I26" s="131">
        <f>(G26+H26)</f>
        <v>47.599337901173556</v>
      </c>
      <c r="J26" s="131">
        <f t="shared" ref="J26:J32" si="2">ROUND(I26*$C$63*8.76,2)</f>
        <v>154.69999999999999</v>
      </c>
      <c r="K26" s="129">
        <f t="shared" si="1"/>
        <v>154.69594420529799</v>
      </c>
      <c r="L26" s="120"/>
      <c r="N26" s="118"/>
      <c r="R26" s="154"/>
      <c r="T26" s="162"/>
      <c r="U26" s="154"/>
      <c r="V26" s="154"/>
      <c r="W26" s="154"/>
      <c r="X26" s="154"/>
      <c r="Y26" s="154"/>
    </row>
    <row r="27" spans="2:25">
      <c r="B27" s="136">
        <f t="shared" si="0"/>
        <v>2033</v>
      </c>
      <c r="C27" s="137"/>
      <c r="D27" s="129">
        <f t="shared" ref="D27:E37" si="3">ROUND(D26*(1+(IFERROR(INDEX($D$66:$D$74,MATCH($B27,$C$66:$C$74,0),1),0)+IFERROR(INDEX($G$66:$G$74,MATCH($B27,$F$66:$F$74,0),1),0)+IFERROR(INDEX($J$66:$J$74,MATCH($B27,$I$66:$I$74,0),1),0))),2)</f>
        <v>117.83</v>
      </c>
      <c r="E27" s="149">
        <v>27.317880794701988</v>
      </c>
      <c r="F27" s="129">
        <f>INDEX('Table 3 ID Wind_2030'!$F$10:$F$38,MATCH(B27,'Table 3 ID Wind_2030'!$B$10:$B$38,0),1)</f>
        <v>12.9</v>
      </c>
      <c r="G27" s="131">
        <f t="shared" ref="G27:G37" si="4">(D27+E27+F27)/(8.76*$C$63)</f>
        <v>48.630715699486153</v>
      </c>
      <c r="H27" s="129">
        <f>ROUND(H26*(1+(IFERROR(INDEX($D$66:$D$74,MATCH($B27,$C$66:$C$74,0),1),0)+IFERROR(INDEX($G$66:$G$74,MATCH($B27,$F$66:$F$74,0),1),0)+IFERROR(INDEX(#REF!,MATCH($B27,$I$66:$I$74,0),1),0))),2)</f>
        <v>0</v>
      </c>
      <c r="I27" s="131">
        <f t="shared" ref="I27:I37" si="5">(G27+H27)</f>
        <v>48.630715699486153</v>
      </c>
      <c r="J27" s="131">
        <f t="shared" si="2"/>
        <v>158.05000000000001</v>
      </c>
      <c r="K27" s="129">
        <f t="shared" si="1"/>
        <v>158.047880794702</v>
      </c>
      <c r="L27" s="120"/>
      <c r="N27" s="118"/>
      <c r="R27" s="154"/>
      <c r="T27" s="162"/>
      <c r="U27" s="154"/>
      <c r="V27" s="154"/>
      <c r="W27" s="154"/>
      <c r="X27" s="154"/>
      <c r="Y27" s="154"/>
    </row>
    <row r="28" spans="2:25">
      <c r="B28" s="136">
        <f t="shared" si="0"/>
        <v>2034</v>
      </c>
      <c r="C28" s="137"/>
      <c r="D28" s="129">
        <f t="shared" si="3"/>
        <v>120.31</v>
      </c>
      <c r="E28" s="149">
        <v>27.94701986754967</v>
      </c>
      <c r="F28" s="129">
        <f>INDEX('Table 3 ID Wind_2030'!$F$10:$F$38,MATCH(B28,'Table 3 ID Wind_2030'!$B$10:$B$38,0),1)</f>
        <v>13.17</v>
      </c>
      <c r="G28" s="131">
        <f t="shared" si="4"/>
        <v>49.670463595721074</v>
      </c>
      <c r="H28" s="129">
        <f>ROUND(H27*(1+(IFERROR(INDEX($D$66:$D$74,MATCH($B28,$C$66:$C$74,0),1),0)+IFERROR(INDEX($G$66:$G$74,MATCH($B28,$F$66:$F$74,0),1),0)+IFERROR(INDEX(#REF!,MATCH($B28,$I$66:$I$74,0),1),0))),2)</f>
        <v>0</v>
      </c>
      <c r="I28" s="131">
        <f t="shared" si="5"/>
        <v>49.670463595721074</v>
      </c>
      <c r="J28" s="131">
        <f t="shared" si="2"/>
        <v>161.43</v>
      </c>
      <c r="K28" s="129">
        <f t="shared" si="1"/>
        <v>161.42701986754966</v>
      </c>
      <c r="L28" s="120"/>
      <c r="N28" s="118"/>
      <c r="R28" s="154"/>
      <c r="T28" s="162"/>
      <c r="U28" s="154"/>
      <c r="V28" s="154"/>
      <c r="W28" s="154"/>
      <c r="X28" s="154"/>
      <c r="Y28" s="154"/>
    </row>
    <row r="29" spans="2:25">
      <c r="B29" s="136">
        <f t="shared" si="0"/>
        <v>2035</v>
      </c>
      <c r="C29" s="137"/>
      <c r="D29" s="129">
        <f t="shared" si="3"/>
        <v>122.84</v>
      </c>
      <c r="E29" s="149">
        <v>28.576158940397352</v>
      </c>
      <c r="F29" s="129">
        <f>INDEX('Table 3 ID Wind_2030'!$F$10:$F$38,MATCH(B29,'Table 3 ID Wind_2030'!$B$10:$B$38,0),1)</f>
        <v>13.45</v>
      </c>
      <c r="G29" s="131">
        <f t="shared" si="4"/>
        <v>50.728673257639286</v>
      </c>
      <c r="H29" s="129">
        <f>ROUND(H28*(1+(IFERROR(INDEX($D$66:$D$74,MATCH($B29,$C$66:$C$74,0),1),0)+IFERROR(INDEX($G$66:$G$74,MATCH($B29,$F$66:$F$74,0),1),0)+IFERROR(INDEX(#REF!,MATCH($B29,$I$66:$I$74,0),1),0))),2)</f>
        <v>0</v>
      </c>
      <c r="I29" s="131">
        <f t="shared" si="5"/>
        <v>50.728673257639286</v>
      </c>
      <c r="J29" s="131">
        <f t="shared" si="2"/>
        <v>164.87</v>
      </c>
      <c r="K29" s="129">
        <f t="shared" si="1"/>
        <v>164.86615894039736</v>
      </c>
      <c r="L29" s="120"/>
      <c r="N29" s="118"/>
      <c r="R29" s="154"/>
      <c r="T29" s="162"/>
      <c r="U29" s="154"/>
      <c r="V29" s="154"/>
      <c r="W29" s="154"/>
      <c r="X29" s="154"/>
      <c r="Y29" s="154"/>
    </row>
    <row r="30" spans="2:25">
      <c r="B30" s="136">
        <f t="shared" si="0"/>
        <v>2036</v>
      </c>
      <c r="C30" s="137"/>
      <c r="D30" s="129">
        <f t="shared" si="3"/>
        <v>125.4</v>
      </c>
      <c r="E30" s="149">
        <v>29.221854304635762</v>
      </c>
      <c r="F30" s="129">
        <f>INDEX('Table 3 ID Wind_2030'!$F$10:$F$38,MATCH(B30,'Table 3 ID Wind_2030'!$B$10:$B$38,0),1)</f>
        <v>13.73</v>
      </c>
      <c r="G30" s="131">
        <f t="shared" si="4"/>
        <v>51.801208108603113</v>
      </c>
      <c r="H30" s="129">
        <f>ROUND(H29*(1+(IFERROR(INDEX($D$66:$D$74,MATCH($B30,$C$66:$C$74,0),1),0)+IFERROR(INDEX($G$66:$G$74,MATCH($B30,$F$66:$F$74,0),1),0)+IFERROR(INDEX(#REF!,MATCH($B30,$I$66:$I$74,0),1),0))),2)</f>
        <v>0</v>
      </c>
      <c r="I30" s="131">
        <f t="shared" si="5"/>
        <v>51.801208108603113</v>
      </c>
      <c r="J30" s="131">
        <f t="shared" si="2"/>
        <v>168.35</v>
      </c>
      <c r="K30" s="129">
        <f t="shared" si="1"/>
        <v>168.35185430463576</v>
      </c>
      <c r="L30" s="120"/>
      <c r="N30" s="118"/>
      <c r="R30" s="154"/>
      <c r="T30" s="162"/>
      <c r="U30" s="154"/>
      <c r="V30" s="154"/>
      <c r="W30" s="154"/>
      <c r="X30" s="154"/>
      <c r="Y30" s="154"/>
    </row>
    <row r="31" spans="2:25">
      <c r="B31" s="136">
        <f t="shared" si="0"/>
        <v>2037</v>
      </c>
      <c r="C31" s="137"/>
      <c r="D31" s="129">
        <f t="shared" si="3"/>
        <v>128.02000000000001</v>
      </c>
      <c r="E31" s="149">
        <v>29.900662251655628</v>
      </c>
      <c r="F31" s="129">
        <f>INDEX('Table 3 ID Wind_2030'!$F$10:$F$38,MATCH(B31,'Table 3 ID Wind_2030'!$B$10:$B$38,0),1)</f>
        <v>14.02</v>
      </c>
      <c r="G31" s="131">
        <f t="shared" si="4"/>
        <v>52.905470298605415</v>
      </c>
      <c r="H31" s="129">
        <f>ROUND(H30*(1+(IFERROR(INDEX($D$66:$D$74,MATCH($B31,$C$66:$C$74,0),1),0)+IFERROR(INDEX($G$66:$G$74,MATCH($B31,$F$66:$F$74,0),1),0)+IFERROR(INDEX(#REF!,MATCH($B31,$I$66:$I$74,0),1),0))),2)</f>
        <v>0</v>
      </c>
      <c r="I31" s="131">
        <f t="shared" si="5"/>
        <v>52.905470298605415</v>
      </c>
      <c r="J31" s="131">
        <f t="shared" si="2"/>
        <v>171.94</v>
      </c>
      <c r="K31" s="129">
        <f t="shared" si="1"/>
        <v>171.94066225165565</v>
      </c>
      <c r="L31" s="120"/>
      <c r="N31" s="118"/>
      <c r="R31" s="154"/>
      <c r="T31" s="162"/>
      <c r="U31" s="154"/>
      <c r="V31" s="154"/>
      <c r="W31" s="154"/>
      <c r="X31" s="154"/>
      <c r="Y31" s="154"/>
    </row>
    <row r="32" spans="2:25">
      <c r="B32" s="136">
        <f t="shared" si="0"/>
        <v>2038</v>
      </c>
      <c r="C32" s="137"/>
      <c r="D32" s="129">
        <f t="shared" si="3"/>
        <v>130.69</v>
      </c>
      <c r="E32" s="149">
        <v>30.579470198675498</v>
      </c>
      <c r="F32" s="129">
        <f>INDEX('Table 3 ID Wind_2030'!$F$10:$F$38,MATCH(B32,'Table 3 ID Wind_2030'!$B$10:$B$38,0),1)</f>
        <v>14.31</v>
      </c>
      <c r="G32" s="131">
        <f t="shared" si="4"/>
        <v>54.025117293343769</v>
      </c>
      <c r="H32" s="129">
        <f>ROUND(H31*(1+(IFERROR(INDEX($D$66:$D$74,MATCH($B32,$C$66:$C$74,0),1),0)+IFERROR(INDEX($G$66:$G$74,MATCH($B32,$F$66:$F$74,0),1),0)+IFERROR(INDEX(#REF!,MATCH($B32,$I$66:$I$74,0),1),0))),2)</f>
        <v>0</v>
      </c>
      <c r="I32" s="131">
        <f t="shared" si="5"/>
        <v>54.025117293343769</v>
      </c>
      <c r="J32" s="131">
        <f t="shared" si="2"/>
        <v>175.58</v>
      </c>
      <c r="K32" s="129">
        <f t="shared" si="1"/>
        <v>175.57947019867549</v>
      </c>
      <c r="L32" s="120"/>
      <c r="N32" s="118"/>
      <c r="R32" s="154"/>
      <c r="T32" s="162"/>
      <c r="U32" s="154"/>
      <c r="V32" s="154"/>
      <c r="W32" s="154"/>
      <c r="X32" s="154"/>
      <c r="Y32" s="154"/>
    </row>
    <row r="33" spans="2:14">
      <c r="B33" s="136">
        <f t="shared" si="0"/>
        <v>2039</v>
      </c>
      <c r="C33" s="137"/>
      <c r="D33" s="129">
        <f t="shared" si="3"/>
        <v>133.4</v>
      </c>
      <c r="E33" s="129">
        <f t="shared" si="3"/>
        <v>31.21</v>
      </c>
      <c r="F33" s="129">
        <f>INDEX('Table 3 ID Wind_2030'!$F$10:$F$38,MATCH(B33,'Table 3 ID Wind_2030'!$B$10:$B$38,0),1)</f>
        <v>14.61</v>
      </c>
      <c r="G33" s="131">
        <f t="shared" si="4"/>
        <v>55.145294095927348</v>
      </c>
      <c r="H33" s="129">
        <f>ROUND(H32*(1+(IFERROR(INDEX($D$66:$D$74,MATCH($B33,$C$66:$C$74,0),1),0)+IFERROR(INDEX($G$66:$G$74,MATCH($B33,$F$66:$F$74,0),1),0)+IFERROR(INDEX(#REF!,MATCH($B33,$I$66:$I$74,0),1),0))),2)</f>
        <v>0</v>
      </c>
      <c r="I33" s="131">
        <f t="shared" si="5"/>
        <v>55.145294095927348</v>
      </c>
      <c r="J33" s="131">
        <f t="shared" ref="J33:J37" si="6">ROUND(I33*$C$63*8.76,2)</f>
        <v>179.22</v>
      </c>
      <c r="K33" s="129">
        <f t="shared" si="1"/>
        <v>179.22000000000003</v>
      </c>
      <c r="L33" s="120"/>
      <c r="N33" s="118"/>
    </row>
    <row r="34" spans="2:14">
      <c r="B34" s="136">
        <f t="shared" si="0"/>
        <v>2040</v>
      </c>
      <c r="C34" s="137"/>
      <c r="D34" s="129">
        <f t="shared" si="3"/>
        <v>136.16999999999999</v>
      </c>
      <c r="E34" s="129">
        <f t="shared" ref="E34" si="7">ROUND(E33*(1+(IFERROR(INDEX($D$66:$D$74,MATCH($B34,$C$66:$C$74,0),1),0)+IFERROR(INDEX($G$66:$G$74,MATCH($B34,$F$66:$F$74,0),1),0)+IFERROR(INDEX($J$66:$J$74,MATCH($B34,$I$66:$I$74,0),1),0))),2)</f>
        <v>31.86</v>
      </c>
      <c r="F34" s="129">
        <f>INDEX('Table 3 ID Wind_2030'!$F$10:$F$38,MATCH(B34,'Table 3 ID Wind_2030'!$B$10:$B$38,0),1)</f>
        <v>14.91</v>
      </c>
      <c r="G34" s="131">
        <f t="shared" si="4"/>
        <v>56.289923568290064</v>
      </c>
      <c r="H34" s="129">
        <f>ROUND(H33*(1+(IFERROR(INDEX($D$66:$D$74,MATCH($B34,$C$66:$C$74,0),1),0)+IFERROR(INDEX($G$66:$G$74,MATCH($B34,$F$66:$F$74,0),1),0)+IFERROR(INDEX(#REF!,MATCH($B34,$I$66:$I$74,0),1),0))),2)</f>
        <v>0</v>
      </c>
      <c r="I34" s="131">
        <f t="shared" si="5"/>
        <v>56.289923568290064</v>
      </c>
      <c r="J34" s="131">
        <f t="shared" si="6"/>
        <v>182.94</v>
      </c>
      <c r="K34" s="129">
        <f t="shared" si="1"/>
        <v>182.93999999999997</v>
      </c>
      <c r="L34" s="120"/>
      <c r="N34" s="118"/>
    </row>
    <row r="35" spans="2:14">
      <c r="B35" s="136">
        <f t="shared" si="0"/>
        <v>2041</v>
      </c>
      <c r="C35" s="137"/>
      <c r="D35" s="129">
        <f t="shared" si="3"/>
        <v>139.01</v>
      </c>
      <c r="E35" s="129">
        <f t="shared" ref="E35" si="8">ROUND(E34*(1+(IFERROR(INDEX($D$66:$D$74,MATCH($B35,$C$66:$C$74,0),1),0)+IFERROR(INDEX($G$66:$G$74,MATCH($B35,$F$66:$F$74,0),1),0)+IFERROR(INDEX($J$66:$J$74,MATCH($B35,$I$66:$I$74,0),1),0))),2)</f>
        <v>32.520000000000003</v>
      </c>
      <c r="F35" s="129">
        <f>INDEX('Table 3 ID Wind_2030'!$F$10:$F$38,MATCH(B35,'Table 3 ID Wind_2030'!$B$10:$B$38,0),1)</f>
        <v>15.22</v>
      </c>
      <c r="G35" s="131">
        <f t="shared" si="4"/>
        <v>57.46224568917772</v>
      </c>
      <c r="H35" s="129">
        <f>ROUND(H34*(1+(IFERROR(INDEX($D$66:$D$74,MATCH($B35,$C$66:$C$74,0),1),0)+IFERROR(INDEX($G$66:$G$74,MATCH($B35,$F$66:$F$74,0),1),0)+IFERROR(INDEX(#REF!,MATCH($B35,$I$66:$I$74,0),1),0))),2)</f>
        <v>0</v>
      </c>
      <c r="I35" s="131">
        <f t="shared" si="5"/>
        <v>57.46224568917772</v>
      </c>
      <c r="J35" s="131">
        <f t="shared" si="6"/>
        <v>186.75</v>
      </c>
      <c r="K35" s="129">
        <f t="shared" si="1"/>
        <v>186.75</v>
      </c>
      <c r="L35" s="120"/>
      <c r="N35" s="118"/>
    </row>
    <row r="36" spans="2:14">
      <c r="B36" s="136">
        <f t="shared" si="0"/>
        <v>2042</v>
      </c>
      <c r="C36" s="137"/>
      <c r="D36" s="129">
        <f t="shared" si="3"/>
        <v>141.94</v>
      </c>
      <c r="E36" s="129">
        <f t="shared" ref="E36" si="9">ROUND(E35*(1+(IFERROR(INDEX($D$66:$D$74,MATCH($B36,$C$66:$C$74,0),1),0)+IFERROR(INDEX($G$66:$G$74,MATCH($B36,$F$66:$F$74,0),1),0)+IFERROR(INDEX($J$66:$J$74,MATCH($B36,$I$66:$I$74,0),1),0))),2)</f>
        <v>33.21</v>
      </c>
      <c r="F36" s="129">
        <f>INDEX('Table 3 ID Wind_2030'!$F$10:$F$38,MATCH(B36,'Table 3 ID Wind_2030'!$B$10:$B$38,0),1)</f>
        <v>15.54</v>
      </c>
      <c r="G36" s="131">
        <f t="shared" si="4"/>
        <v>58.674568302379107</v>
      </c>
      <c r="H36" s="129">
        <f>ROUND(H35*(1+(IFERROR(INDEX($D$66:$D$74,MATCH($B36,$C$66:$C$74,0),1),0)+IFERROR(INDEX($G$66:$G$74,MATCH($B36,$F$66:$F$74,0),1),0)+IFERROR(INDEX(#REF!,MATCH($B36,$I$66:$I$74,0),1),0))),2)</f>
        <v>0</v>
      </c>
      <c r="I36" s="131">
        <f t="shared" si="5"/>
        <v>58.674568302379107</v>
      </c>
      <c r="J36" s="131">
        <f t="shared" si="6"/>
        <v>190.69</v>
      </c>
      <c r="K36" s="129">
        <f t="shared" si="1"/>
        <v>190.69</v>
      </c>
      <c r="L36" s="120"/>
      <c r="N36" s="118"/>
    </row>
    <row r="37" spans="2:14">
      <c r="B37" s="136">
        <f t="shared" si="0"/>
        <v>2043</v>
      </c>
      <c r="C37" s="137"/>
      <c r="D37" s="129">
        <f t="shared" si="3"/>
        <v>144.94999999999999</v>
      </c>
      <c r="E37" s="129">
        <f t="shared" ref="E37" si="10">ROUND(E36*(1+(IFERROR(INDEX($D$66:$D$74,MATCH($B37,$C$66:$C$74,0),1),0)+IFERROR(INDEX($G$66:$G$74,MATCH($B37,$F$66:$F$74,0),1),0)+IFERROR(INDEX($J$66:$J$74,MATCH($B37,$I$66:$I$74,0),1),0))),2)</f>
        <v>33.909999999999997</v>
      </c>
      <c r="F37" s="129">
        <f>INDEX('Table 3 ID Wind_2030'!$F$10:$F$38,MATCH(B37,'Table 3 ID Wind_2030'!$B$10:$B$38,0),1)</f>
        <v>15.87</v>
      </c>
      <c r="G37" s="131">
        <f t="shared" si="4"/>
        <v>59.917660525052618</v>
      </c>
      <c r="H37" s="129">
        <f>ROUND(H36*(1+(IFERROR(INDEX($D$66:$D$74,MATCH($B37,$C$66:$C$74,0),1),0)+IFERROR(INDEX($G$66:$G$74,MATCH($B37,$F$66:$F$74,0),1),0)+IFERROR(INDEX(#REF!,MATCH($B37,$I$66:$I$74,0),1),0))),2)</f>
        <v>0</v>
      </c>
      <c r="I37" s="131">
        <f t="shared" si="5"/>
        <v>59.917660525052618</v>
      </c>
      <c r="J37" s="131">
        <f t="shared" si="6"/>
        <v>194.73</v>
      </c>
      <c r="K37" s="129">
        <f t="shared" si="1"/>
        <v>194.73</v>
      </c>
      <c r="L37" s="120"/>
    </row>
    <row r="38" spans="2:14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</row>
    <row r="39" spans="2:14">
      <c r="B39" s="127"/>
      <c r="C39" s="132"/>
      <c r="D39" s="129"/>
      <c r="E39" s="129"/>
      <c r="F39" s="130"/>
      <c r="G39" s="129"/>
      <c r="H39" s="129"/>
      <c r="I39" s="131"/>
      <c r="J39" s="131"/>
      <c r="K39" s="138"/>
    </row>
    <row r="40" spans="2:14">
      <c r="B40" s="127"/>
      <c r="C40" s="132"/>
      <c r="D40" s="129"/>
      <c r="E40" s="129"/>
      <c r="F40" s="130"/>
      <c r="G40" s="129"/>
      <c r="H40" s="129"/>
      <c r="I40" s="131"/>
      <c r="J40" s="131"/>
      <c r="K40" s="138"/>
    </row>
    <row r="42" spans="2:14" ht="14.25">
      <c r="B42" s="139" t="s">
        <v>27</v>
      </c>
      <c r="C42" s="140"/>
      <c r="D42" s="140"/>
      <c r="E42" s="140"/>
      <c r="F42" s="140"/>
      <c r="G42" s="140"/>
      <c r="H42" s="140"/>
    </row>
    <row r="44" spans="2:14">
      <c r="B44" s="118" t="s">
        <v>65</v>
      </c>
      <c r="C44" s="141" t="s">
        <v>66</v>
      </c>
      <c r="D44" s="142" t="s">
        <v>105</v>
      </c>
    </row>
    <row r="45" spans="2:14">
      <c r="C45" s="141" t="str">
        <f>C7</f>
        <v>(a)</v>
      </c>
      <c r="D45" s="118" t="s">
        <v>67</v>
      </c>
    </row>
    <row r="46" spans="2:14">
      <c r="C46" s="141" t="str">
        <f>D7</f>
        <v>(b)</v>
      </c>
      <c r="D46" s="131" t="str">
        <f>"= "&amp;C7&amp;" x "&amp;C62</f>
        <v>= (a) x 0.06899</v>
      </c>
    </row>
    <row r="47" spans="2:14">
      <c r="C47" s="141" t="str">
        <f>G7</f>
        <v>(e)</v>
      </c>
      <c r="D47" s="131" t="str">
        <f>"= ("&amp;$D$7&amp;" + "&amp;$E$7&amp;") /  (8.76 x "&amp;TEXT(C63,"0.0%")&amp;")"</f>
        <v>= ((b) + (c)) /  (8.76 x 37.1%)</v>
      </c>
    </row>
    <row r="48" spans="2:14">
      <c r="C48" s="141" t="str">
        <f>I7</f>
        <v>(g)</v>
      </c>
      <c r="D48" s="131" t="str">
        <f>"= "&amp;$G$7&amp;" + "&amp;$H$7</f>
        <v>= (e) + (f)</v>
      </c>
    </row>
    <row r="49" spans="2:27">
      <c r="C49" s="141" t="str">
        <f>K7</f>
        <v>(i)</v>
      </c>
      <c r="D49" s="85" t="str">
        <f>D44</f>
        <v>Plant Costs  - 2019 IRP Update - Table 6.1 &amp; 6.2</v>
      </c>
    </row>
    <row r="50" spans="2:27">
      <c r="C50" s="141"/>
      <c r="D50" s="131"/>
    </row>
    <row r="51" spans="2:27" ht="13.5" thickBot="1"/>
    <row r="52" spans="2:27" ht="13.5" thickBot="1">
      <c r="C52" s="42" t="str">
        <f>B2&amp;" - "&amp;B3</f>
        <v>2019 IRP Yakima Wind with Storage Resource - 37%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7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7">
      <c r="P54" s="118" t="s">
        <v>106</v>
      </c>
      <c r="Q54" s="118">
        <v>2032</v>
      </c>
    </row>
    <row r="55" spans="2:27">
      <c r="B55" s="85" t="s">
        <v>104</v>
      </c>
      <c r="C55" s="393">
        <v>1879.5324259832769</v>
      </c>
      <c r="D55" s="118" t="s">
        <v>67</v>
      </c>
      <c r="T55" s="118" t="str">
        <f>$Q$56&amp;"Proposed Station Capital Costs"</f>
        <v>H_.GO2_WDSProposed Station Capital Costs</v>
      </c>
    </row>
    <row r="56" spans="2:27">
      <c r="B56" s="85" t="s">
        <v>104</v>
      </c>
      <c r="C56" s="149">
        <v>30.743277943329019</v>
      </c>
      <c r="D56" s="118" t="s">
        <v>70</v>
      </c>
      <c r="O56" s="118">
        <v>60.4</v>
      </c>
      <c r="P56" s="118" t="s">
        <v>34</v>
      </c>
      <c r="Q56" s="118" t="s">
        <v>175</v>
      </c>
      <c r="T56" s="118" t="str">
        <f>Q56&amp;"Proposed Station Fixed Costs"</f>
        <v>H_.GO2_WDSProposed Station Fixed Costs</v>
      </c>
      <c r="AA56" s="278"/>
    </row>
    <row r="57" spans="2:27" ht="24" customHeight="1">
      <c r="B57" s="85"/>
      <c r="C57" s="154"/>
      <c r="D57" s="118" t="s">
        <v>109</v>
      </c>
    </row>
    <row r="58" spans="2:27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/>
      <c r="R58" s="120"/>
      <c r="T58" s="118" t="str">
        <f>$Q$56&amp;"Proposed Station Variable O&amp;M Costs"</f>
        <v>H_.GO2_WDSProposed Station Variable O&amp;M Costs</v>
      </c>
      <c r="U58" s="120"/>
      <c r="V58" s="120"/>
      <c r="W58" s="120"/>
      <c r="X58" s="120"/>
      <c r="Y58" s="120"/>
    </row>
    <row r="59" spans="2:27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215" t="str">
        <f>Q56&amp;Q54</f>
        <v>H_.GO2_WDS2032</v>
      </c>
      <c r="R59" s="120"/>
      <c r="T59" s="118" t="str">
        <f>$Q$57&amp;"Proposed Station Variable O&amp;M Costs"</f>
        <v>Proposed Station Variable O&amp;M Costs</v>
      </c>
      <c r="U59" s="120"/>
      <c r="V59" s="120"/>
      <c r="W59" s="120"/>
      <c r="X59" s="120"/>
      <c r="Y59" s="120"/>
    </row>
    <row r="60" spans="2:27">
      <c r="B60" s="358" t="str">
        <f>LEFT(RIGHT(INDEX('Table 3 TransCost'!$39:$39,1,MATCH(F60,'Table 3 TransCost'!$4:$4,0)),6),5)</f>
        <v>2030$</v>
      </c>
      <c r="C60" s="154">
        <f>INDEX('Table 3 TransCost'!$39:$39,1,MATCH(F60,'Table 3 TransCost'!$4:$4,0)+2)</f>
        <v>12.097273854334603</v>
      </c>
      <c r="D60" s="118" t="s">
        <v>222</v>
      </c>
      <c r="F60" s="118" t="s">
        <v>188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7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7">
      <c r="C62" s="395">
        <v>6.8989999999999996E-2</v>
      </c>
      <c r="D62" s="118" t="s">
        <v>38</v>
      </c>
      <c r="K62" s="288"/>
      <c r="L62" s="157"/>
      <c r="M62" s="157"/>
      <c r="O62" s="158"/>
    </row>
    <row r="63" spans="2:27">
      <c r="C63" s="396">
        <v>0.371</v>
      </c>
      <c r="D63" s="118" t="s">
        <v>39</v>
      </c>
    </row>
    <row r="64" spans="2:27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11">C66+1</f>
        <v>2018</v>
      </c>
      <c r="D67" s="41">
        <v>2.3994563767884003E-2</v>
      </c>
      <c r="E67" s="85"/>
      <c r="F67" s="87">
        <f t="shared" ref="F67:F74" si="12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11"/>
        <v>2019</v>
      </c>
      <c r="D68" s="41">
        <v>1.9651346350279875E-2</v>
      </c>
      <c r="E68" s="85"/>
      <c r="F68" s="87">
        <f t="shared" si="12"/>
        <v>2028</v>
      </c>
      <c r="G68" s="41">
        <v>2.2447976887115972E-2</v>
      </c>
      <c r="H68" s="41"/>
      <c r="I68" s="87">
        <f t="shared" ref="I68:I74" si="13">I67+1</f>
        <v>2037</v>
      </c>
      <c r="J68" s="41">
        <v>2.0854082421584375E-2</v>
      </c>
    </row>
    <row r="69" spans="3:14">
      <c r="C69" s="87">
        <f t="shared" si="11"/>
        <v>2020</v>
      </c>
      <c r="D69" s="41">
        <v>2.6147280919121885E-2</v>
      </c>
      <c r="E69" s="85"/>
      <c r="F69" s="87">
        <f t="shared" si="12"/>
        <v>2029</v>
      </c>
      <c r="G69" s="41">
        <v>2.2764957830614385E-2</v>
      </c>
      <c r="H69" s="41"/>
      <c r="I69" s="87">
        <f t="shared" si="13"/>
        <v>2038</v>
      </c>
      <c r="J69" s="41">
        <v>2.0886076981620372E-2</v>
      </c>
    </row>
    <row r="70" spans="3:14">
      <c r="C70" s="87">
        <f t="shared" si="11"/>
        <v>2021</v>
      </c>
      <c r="D70" s="41">
        <v>2.5435997430165225E-2</v>
      </c>
      <c r="E70" s="85"/>
      <c r="F70" s="87">
        <f t="shared" si="12"/>
        <v>2030</v>
      </c>
      <c r="G70" s="41">
        <v>2.2409251338579406E-2</v>
      </c>
      <c r="H70" s="41"/>
      <c r="I70" s="87">
        <f t="shared" si="13"/>
        <v>2039</v>
      </c>
      <c r="J70" s="41">
        <v>2.0755199547329406E-2</v>
      </c>
    </row>
    <row r="71" spans="3:14">
      <c r="C71" s="87">
        <f t="shared" si="11"/>
        <v>2022</v>
      </c>
      <c r="D71" s="41">
        <v>2.5246661572301266E-2</v>
      </c>
      <c r="E71" s="85"/>
      <c r="F71" s="87">
        <f t="shared" si="12"/>
        <v>2031</v>
      </c>
      <c r="G71" s="41">
        <v>2.1876862460861402E-2</v>
      </c>
      <c r="H71" s="41"/>
      <c r="I71" s="87">
        <f t="shared" si="13"/>
        <v>2040</v>
      </c>
      <c r="J71" s="41">
        <v>2.0747934127706591E-2</v>
      </c>
    </row>
    <row r="72" spans="3:14" s="120" customFormat="1">
      <c r="C72" s="87">
        <f t="shared" si="11"/>
        <v>2023</v>
      </c>
      <c r="D72" s="41">
        <v>2.4577195966118071E-2</v>
      </c>
      <c r="E72" s="86"/>
      <c r="F72" s="87">
        <f t="shared" si="12"/>
        <v>2032</v>
      </c>
      <c r="G72" s="41">
        <v>2.1570874084378078E-2</v>
      </c>
      <c r="H72" s="41"/>
      <c r="I72" s="87">
        <f t="shared" si="13"/>
        <v>2041</v>
      </c>
      <c r="J72" s="41">
        <v>2.0871781890604124E-2</v>
      </c>
      <c r="N72" s="165"/>
    </row>
    <row r="73" spans="3:14" s="120" customFormat="1">
      <c r="C73" s="87">
        <f t="shared" si="11"/>
        <v>2024</v>
      </c>
      <c r="D73" s="41">
        <v>2.3256370085936506E-2</v>
      </c>
      <c r="E73" s="86"/>
      <c r="F73" s="87">
        <f t="shared" si="12"/>
        <v>2033</v>
      </c>
      <c r="G73" s="41">
        <v>2.144511122277093E-2</v>
      </c>
      <c r="H73" s="41"/>
      <c r="I73" s="87">
        <f t="shared" si="13"/>
        <v>2042</v>
      </c>
      <c r="J73" s="41">
        <v>2.1078469389761434E-2</v>
      </c>
      <c r="N73" s="165"/>
    </row>
    <row r="74" spans="3:14" s="120" customFormat="1">
      <c r="C74" s="87">
        <f t="shared" si="11"/>
        <v>2025</v>
      </c>
      <c r="D74" s="41">
        <v>2.2304783799234951E-2</v>
      </c>
      <c r="E74" s="86"/>
      <c r="F74" s="87">
        <f t="shared" si="12"/>
        <v>2034</v>
      </c>
      <c r="G74" s="41">
        <v>2.1010014778543251E-2</v>
      </c>
      <c r="H74" s="41"/>
      <c r="I74" s="87">
        <f t="shared" si="13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81"/>
  <sheetViews>
    <sheetView view="pageBreakPreview" topLeftCell="A9" zoomScale="80" zoomScaleNormal="80" zoomScaleSheetLayoutView="80" workbookViewId="0">
      <selection activeCell="F48" sqref="F48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19" max="20" width="12.83203125" customWidth="1"/>
    <col min="21" max="21" width="11.83203125" customWidth="1"/>
    <col min="22" max="22" width="13.1640625" customWidth="1"/>
    <col min="23" max="23" width="12" customWidth="1"/>
    <col min="24" max="24" width="13.33203125" customWidth="1"/>
    <col min="25" max="25" width="14.1640625" customWidth="1"/>
    <col min="26" max="26" width="14.6640625" customWidth="1"/>
    <col min="27" max="27" width="14.83203125" customWidth="1"/>
    <col min="28" max="28" width="15.1640625" customWidth="1"/>
    <col min="29" max="29" width="15" customWidth="1"/>
    <col min="30" max="30" width="14.6640625" customWidth="1"/>
    <col min="31" max="31" width="17.6640625" customWidth="1"/>
    <col min="32" max="32" width="15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52" width="15.33203125" customWidth="1"/>
    <col min="53" max="53" width="14.1640625" customWidth="1"/>
    <col min="54" max="56" width="9" customWidth="1"/>
    <col min="57" max="57" width="10.6640625" customWidth="1"/>
    <col min="58" max="59" width="16.1640625" customWidth="1"/>
    <col min="60" max="60" width="14.83203125" customWidth="1"/>
    <col min="61" max="61" width="17.83203125" customWidth="1"/>
    <col min="62" max="62" width="14.33203125" customWidth="1"/>
    <col min="63" max="63" width="16.6640625" customWidth="1"/>
    <col min="64" max="73" width="16" customWidth="1"/>
    <col min="74" max="74" width="20.6640625" customWidth="1"/>
    <col min="75" max="75" width="11.6640625" customWidth="1"/>
    <col min="76" max="76" width="13.33203125" customWidth="1"/>
    <col min="77" max="77" width="12.1640625" customWidth="1"/>
    <col min="79" max="99" width="15.33203125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196">
        <v>0</v>
      </c>
      <c r="CY3" t="s">
        <v>90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69" t="s">
        <v>60</v>
      </c>
      <c r="Q4" s="169"/>
      <c r="CX4">
        <v>1700</v>
      </c>
      <c r="CY4" t="s">
        <v>91</v>
      </c>
    </row>
    <row r="5" spans="2:103" customFormat="1" ht="15.75">
      <c r="B5" s="4" t="str">
        <f ca="1">'Table 5'!M4&amp; " - "&amp;TEXT(Study_MW,"#.0")&amp;" MW and "&amp;TEXT(Study_CF,"#.0%")&amp;" CF"</f>
        <v>Utah 2019.Q3_Solar - 80.0 MW and 32.2% CF</v>
      </c>
      <c r="C5" s="4"/>
      <c r="D5" s="4"/>
      <c r="E5" s="4"/>
      <c r="F5" s="4"/>
      <c r="G5" s="1"/>
      <c r="H5" s="36"/>
      <c r="I5" s="5"/>
      <c r="P5" s="170">
        <v>0.19110185946338937</v>
      </c>
      <c r="Q5" s="170">
        <v>0.1271079447656262</v>
      </c>
      <c r="R5" s="170">
        <v>0.76028737403417868</v>
      </c>
      <c r="S5" s="170">
        <v>0.76028737403417868</v>
      </c>
      <c r="T5" s="170">
        <v>0.38371436341206699</v>
      </c>
      <c r="U5" s="170">
        <v>0.3269329984960806</v>
      </c>
      <c r="V5" s="170">
        <v>0.3269329984960806</v>
      </c>
      <c r="W5" s="170">
        <v>0.35161226356897352</v>
      </c>
      <c r="X5" s="170">
        <v>0.35161226356897352</v>
      </c>
      <c r="Y5" s="170">
        <v>0.30222943999568985</v>
      </c>
      <c r="Z5" s="170">
        <v>0.31403713524649896</v>
      </c>
      <c r="AA5" s="170">
        <v>0.31403713524649896</v>
      </c>
      <c r="AB5" s="170">
        <v>0.31403713524649896</v>
      </c>
      <c r="AC5" s="170">
        <v>0.30222943999568985</v>
      </c>
      <c r="AD5" s="170">
        <v>0.30222943999568985</v>
      </c>
      <c r="AE5" s="170">
        <v>0.30222943999568985</v>
      </c>
      <c r="AF5" s="170">
        <v>1</v>
      </c>
      <c r="AG5" s="170"/>
      <c r="AH5" s="170"/>
      <c r="AI5" s="170"/>
      <c r="AJ5" s="170"/>
      <c r="CX5" s="177">
        <f>$CX$3*$CX$4</f>
        <v>0</v>
      </c>
      <c r="CY5" t="s">
        <v>87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 ht="38.25">
      <c r="B7" s="3"/>
      <c r="C7" s="7"/>
      <c r="D7" s="7"/>
      <c r="E7" s="3"/>
      <c r="F7" s="3"/>
      <c r="G7" s="3"/>
      <c r="H7" s="36"/>
      <c r="I7" s="49"/>
      <c r="AK7" s="214" t="s">
        <v>76</v>
      </c>
    </row>
    <row r="8" spans="2:103" s="211" customFormat="1" ht="40.5" customHeight="1">
      <c r="B8" s="203"/>
      <c r="C8" s="203"/>
      <c r="D8" s="203"/>
      <c r="E8" s="205"/>
      <c r="F8" s="206"/>
      <c r="G8" s="204" t="s">
        <v>14</v>
      </c>
      <c r="H8" s="208"/>
      <c r="I8" s="213"/>
      <c r="K8"/>
      <c r="L8"/>
      <c r="M8"/>
      <c r="P8" s="214"/>
      <c r="Q8" s="214"/>
      <c r="R8" s="211" t="s">
        <v>205</v>
      </c>
      <c r="S8" s="219" t="s">
        <v>206</v>
      </c>
      <c r="T8" s="216"/>
      <c r="U8" s="219" t="s">
        <v>207</v>
      </c>
      <c r="V8" s="219" t="s">
        <v>208</v>
      </c>
      <c r="W8" s="219" t="s">
        <v>210</v>
      </c>
      <c r="X8" s="219" t="s">
        <v>211</v>
      </c>
      <c r="Y8" s="216" t="s">
        <v>213</v>
      </c>
      <c r="Z8" s="211" t="s">
        <v>215</v>
      </c>
      <c r="AA8" s="219" t="s">
        <v>216</v>
      </c>
      <c r="AB8" s="219" t="s">
        <v>217</v>
      </c>
      <c r="AC8" s="211" t="s">
        <v>219</v>
      </c>
      <c r="AD8" s="219" t="s">
        <v>220</v>
      </c>
      <c r="AE8" s="219" t="s">
        <v>221</v>
      </c>
      <c r="AF8" s="219" t="s">
        <v>172</v>
      </c>
      <c r="AK8" s="219">
        <f t="shared" ref="AK8:AT9" si="0">P8</f>
        <v>0</v>
      </c>
      <c r="AL8" s="219">
        <f t="shared" ref="AL8" si="1">Q8</f>
        <v>0</v>
      </c>
      <c r="AM8" s="219" t="str">
        <f t="shared" ref="AM8" si="2">R8</f>
        <v>IRP19Wind_wS_YK_T 2029</v>
      </c>
      <c r="AN8" s="219" t="str">
        <f t="shared" ref="AN8" si="3">S8</f>
        <v>IRP19Wind_wS_YK_T 2037</v>
      </c>
      <c r="AO8" s="219">
        <f t="shared" ref="AO8" si="4">T8</f>
        <v>0</v>
      </c>
      <c r="AP8" s="219" t="str">
        <f t="shared" ref="AP8" si="5">U8</f>
        <v>IRP19Solar_wS_YK_T 2024</v>
      </c>
      <c r="AQ8" s="219" t="str">
        <f t="shared" ref="AQ8" si="6">V8</f>
        <v>IRP19Solar_wS_YK_T 2036</v>
      </c>
      <c r="AR8" s="219" t="str">
        <f t="shared" ref="AR8" si="7">W8</f>
        <v>IRP19Solar_wS_OR_T 2024</v>
      </c>
      <c r="AS8" s="219" t="str">
        <f t="shared" ref="AS8" si="8">X8</f>
        <v>IRP19Solar_wS_OR_T 2033</v>
      </c>
      <c r="AT8" s="219" t="str">
        <f t="shared" ref="AT8" si="9">Y8</f>
        <v>IRP19Solar_wS_UT_UTN_T 2024</v>
      </c>
      <c r="AU8" s="219" t="str">
        <f t="shared" ref="AU8" si="10">Z8</f>
        <v>IRP19Solar_wS_WY_JB_T 2024</v>
      </c>
      <c r="AV8" s="219" t="str">
        <f t="shared" ref="AV8" si="11">AA8</f>
        <v>IRP19Solar_wS_WY_JB_T 2029</v>
      </c>
      <c r="AW8" s="219" t="str">
        <f t="shared" ref="AW8" si="12">AB8</f>
        <v>IRP19Solar_wS_WY_JB_T 2038</v>
      </c>
      <c r="AX8" s="219" t="str">
        <f t="shared" ref="AX8" si="13">AC8</f>
        <v>IRP19Solar_wS_UT_UTS_T 2024</v>
      </c>
      <c r="AY8" s="219" t="str">
        <f t="shared" ref="AY8" si="14">AD8</f>
        <v>IRP19Solar_wS_UT_UTS_T 2030</v>
      </c>
      <c r="AZ8" s="219" t="str">
        <f t="shared" ref="AZ8:BA8" si="15">AE8</f>
        <v>IRP19Solar_wS_UT_UTS_T 2037</v>
      </c>
      <c r="BA8" s="219" t="str">
        <f t="shared" si="15"/>
        <v>IRP19_SCCT_NTN_2026_185MW</v>
      </c>
      <c r="BB8" s="219"/>
      <c r="BC8" s="219"/>
      <c r="BD8" s="219"/>
      <c r="BF8" s="214" t="s">
        <v>77</v>
      </c>
      <c r="BG8" s="214"/>
      <c r="BH8" s="219" t="str">
        <f>R8</f>
        <v>IRP19Wind_wS_YK_T 2029</v>
      </c>
      <c r="BI8" s="219" t="str">
        <f t="shared" ref="BI8:BV9" si="16">S8</f>
        <v>IRP19Wind_wS_YK_T 2037</v>
      </c>
      <c r="BJ8" s="219">
        <f t="shared" si="16"/>
        <v>0</v>
      </c>
      <c r="BK8" s="219" t="str">
        <f t="shared" si="16"/>
        <v>IRP19Solar_wS_YK_T 2024</v>
      </c>
      <c r="BL8" s="219" t="str">
        <f t="shared" si="16"/>
        <v>IRP19Solar_wS_YK_T 2036</v>
      </c>
      <c r="BM8" s="219" t="str">
        <f t="shared" si="16"/>
        <v>IRP19Solar_wS_OR_T 2024</v>
      </c>
      <c r="BN8" s="219" t="str">
        <f t="shared" si="16"/>
        <v>IRP19Solar_wS_OR_T 2033</v>
      </c>
      <c r="BO8" s="219" t="str">
        <f t="shared" si="16"/>
        <v>IRP19Solar_wS_UT_UTN_T 2024</v>
      </c>
      <c r="BP8" s="219" t="str">
        <f t="shared" si="16"/>
        <v>IRP19Solar_wS_WY_JB_T 2024</v>
      </c>
      <c r="BQ8" s="219" t="str">
        <f t="shared" si="16"/>
        <v>IRP19Solar_wS_WY_JB_T 2029</v>
      </c>
      <c r="BR8" s="219" t="str">
        <f t="shared" si="16"/>
        <v>IRP19Solar_wS_WY_JB_T 2038</v>
      </c>
      <c r="BS8" s="219" t="str">
        <f t="shared" si="16"/>
        <v>IRP19Solar_wS_UT_UTS_T 2024</v>
      </c>
      <c r="BT8" s="219" t="str">
        <f t="shared" si="16"/>
        <v>IRP19Solar_wS_UT_UTS_T 2030</v>
      </c>
      <c r="BU8" s="219" t="str">
        <f t="shared" si="16"/>
        <v>IRP19Solar_wS_UT_UTS_T 2037</v>
      </c>
      <c r="BV8" s="219" t="str">
        <f t="shared" si="16"/>
        <v>IRP19_SCCT_NTN_2026_185MW</v>
      </c>
      <c r="BW8" s="219"/>
      <c r="BX8" s="219"/>
      <c r="BY8" s="219"/>
      <c r="CA8" s="214" t="s">
        <v>78</v>
      </c>
      <c r="CB8" s="214"/>
      <c r="CE8" s="219"/>
      <c r="CJ8" s="219"/>
      <c r="CX8" s="189" t="s">
        <v>77</v>
      </c>
      <c r="CY8" s="190" t="s">
        <v>78</v>
      </c>
    </row>
    <row r="9" spans="2:103" s="199" customFormat="1" ht="76.5" customHeight="1">
      <c r="B9" s="203"/>
      <c r="C9" s="204" t="s">
        <v>6</v>
      </c>
      <c r="D9" s="204"/>
      <c r="E9" s="205" t="s">
        <v>19</v>
      </c>
      <c r="F9" s="206"/>
      <c r="G9" s="207">
        <f ca="1">Study_CF</f>
        <v>0.32186736363854307</v>
      </c>
      <c r="H9" s="208"/>
      <c r="I9" s="209"/>
      <c r="K9"/>
      <c r="L9"/>
      <c r="M9"/>
      <c r="P9" s="199" t="s">
        <v>200</v>
      </c>
      <c r="Q9" s="199" t="s">
        <v>201</v>
      </c>
      <c r="R9" s="199" t="s">
        <v>202</v>
      </c>
      <c r="S9" s="219" t="s">
        <v>202</v>
      </c>
      <c r="T9" s="216" t="s">
        <v>203</v>
      </c>
      <c r="U9" s="199" t="s">
        <v>204</v>
      </c>
      <c r="V9" s="219" t="s">
        <v>204</v>
      </c>
      <c r="W9" s="199" t="s">
        <v>209</v>
      </c>
      <c r="X9" s="219" t="s">
        <v>209</v>
      </c>
      <c r="Y9" s="216" t="s">
        <v>212</v>
      </c>
      <c r="Z9" s="199" t="s">
        <v>214</v>
      </c>
      <c r="AA9" s="219" t="s">
        <v>214</v>
      </c>
      <c r="AB9" s="219" t="s">
        <v>214</v>
      </c>
      <c r="AC9" s="199" t="s">
        <v>218</v>
      </c>
      <c r="AD9" s="219" t="s">
        <v>218</v>
      </c>
      <c r="AE9" s="219" t="s">
        <v>218</v>
      </c>
      <c r="AF9" s="211" t="s">
        <v>172</v>
      </c>
      <c r="AG9" s="211"/>
      <c r="AH9" s="211"/>
      <c r="AJ9" s="210"/>
      <c r="AK9" s="199" t="str">
        <f t="shared" si="0"/>
        <v>IRP19Wind_ID_T</v>
      </c>
      <c r="AL9" s="199" t="str">
        <f t="shared" si="0"/>
        <v>IRP19Wind_WYAE_T</v>
      </c>
      <c r="AM9" s="199" t="str">
        <f t="shared" si="0"/>
        <v>IRP19Wind_wS_YK_T</v>
      </c>
      <c r="AN9" s="199" t="str">
        <f t="shared" si="0"/>
        <v>IRP19Wind_wS_YK_T</v>
      </c>
      <c r="AO9" s="216" t="str">
        <f t="shared" si="0"/>
        <v>IRP19Wind_wS_ID_T</v>
      </c>
      <c r="AP9" s="199" t="str">
        <f t="shared" si="0"/>
        <v>IRP19Solar_wS_YK_T</v>
      </c>
      <c r="AQ9" s="199" t="str">
        <f t="shared" si="0"/>
        <v>IRP19Solar_wS_YK_T</v>
      </c>
      <c r="AR9" s="199" t="str">
        <f t="shared" si="0"/>
        <v>IRP19Solar_wS_OR_T</v>
      </c>
      <c r="AS9" s="199" t="str">
        <f t="shared" si="0"/>
        <v>IRP19Solar_wS_OR_T</v>
      </c>
      <c r="AT9" s="216" t="str">
        <f t="shared" si="0"/>
        <v>IRP19Solar_wS_UT_UTN_T</v>
      </c>
      <c r="AU9" s="199" t="str">
        <f t="shared" ref="AU9:BA9" si="17">Z9</f>
        <v>IRP19Solar_wS_WY_JB_T</v>
      </c>
      <c r="AV9" s="211" t="str">
        <f t="shared" si="17"/>
        <v>IRP19Solar_wS_WY_JB_T</v>
      </c>
      <c r="AW9" s="211" t="str">
        <f t="shared" si="17"/>
        <v>IRP19Solar_wS_WY_JB_T</v>
      </c>
      <c r="AX9" s="211" t="str">
        <f t="shared" si="17"/>
        <v>IRP19Solar_wS_UT_UTS_T</v>
      </c>
      <c r="AY9" s="211" t="str">
        <f t="shared" si="17"/>
        <v>IRP19Solar_wS_UT_UTS_T</v>
      </c>
      <c r="AZ9" s="211" t="str">
        <f t="shared" si="17"/>
        <v>IRP19Solar_wS_UT_UTS_T</v>
      </c>
      <c r="BA9" s="219" t="str">
        <f t="shared" si="17"/>
        <v>IRP19_SCCT_NTN_2026_185MW</v>
      </c>
      <c r="BB9" s="211"/>
      <c r="BC9" s="211"/>
      <c r="BD9" s="211"/>
      <c r="BF9" s="199" t="str">
        <f>P9</f>
        <v>IRP19Wind_ID_T</v>
      </c>
      <c r="BG9" s="219" t="str">
        <f>Q9</f>
        <v>IRP19Wind_WYAE_T</v>
      </c>
      <c r="BH9" s="219" t="str">
        <f>R9</f>
        <v>IRP19Wind_wS_YK_T</v>
      </c>
      <c r="BI9" s="219" t="str">
        <f t="shared" si="16"/>
        <v>IRP19Wind_wS_YK_T</v>
      </c>
      <c r="BJ9" s="219" t="str">
        <f t="shared" si="16"/>
        <v>IRP19Wind_wS_ID_T</v>
      </c>
      <c r="BK9" s="219" t="str">
        <f t="shared" si="16"/>
        <v>IRP19Solar_wS_YK_T</v>
      </c>
      <c r="BL9" s="219" t="str">
        <f t="shared" si="16"/>
        <v>IRP19Solar_wS_YK_T</v>
      </c>
      <c r="BM9" s="219" t="str">
        <f t="shared" si="16"/>
        <v>IRP19Solar_wS_OR_T</v>
      </c>
      <c r="BN9" s="219" t="str">
        <f t="shared" si="16"/>
        <v>IRP19Solar_wS_OR_T</v>
      </c>
      <c r="BO9" s="219" t="str">
        <f t="shared" si="16"/>
        <v>IRP19Solar_wS_UT_UTN_T</v>
      </c>
      <c r="BP9" s="219" t="str">
        <f t="shared" si="16"/>
        <v>IRP19Solar_wS_WY_JB_T</v>
      </c>
      <c r="BQ9" s="219" t="str">
        <f t="shared" si="16"/>
        <v>IRP19Solar_wS_WY_JB_T</v>
      </c>
      <c r="BR9" s="219" t="str">
        <f t="shared" si="16"/>
        <v>IRP19Solar_wS_WY_JB_T</v>
      </c>
      <c r="BS9" s="219" t="str">
        <f t="shared" si="16"/>
        <v>IRP19Solar_wS_UT_UTS_T</v>
      </c>
      <c r="BT9" s="219" t="str">
        <f t="shared" si="16"/>
        <v>IRP19Solar_wS_UT_UTS_T</v>
      </c>
      <c r="BU9" s="219" t="str">
        <f t="shared" si="16"/>
        <v>IRP19Solar_wS_UT_UTS_T</v>
      </c>
      <c r="BV9" s="219" t="str">
        <f t="shared" si="16"/>
        <v>IRP19_SCCT_NTN_2026_185MW</v>
      </c>
      <c r="BW9" s="219"/>
      <c r="BX9" s="219"/>
      <c r="BY9" s="219"/>
      <c r="CA9" s="199" t="str">
        <f t="shared" ref="CA9:CT9" si="18">BF9</f>
        <v>IRP19Wind_ID_T</v>
      </c>
      <c r="CB9" s="211" t="str">
        <f t="shared" si="18"/>
        <v>IRP19Wind_WYAE_T</v>
      </c>
      <c r="CC9" s="211" t="str">
        <f t="shared" si="18"/>
        <v>IRP19Wind_wS_YK_T</v>
      </c>
      <c r="CD9" s="211" t="str">
        <f t="shared" si="18"/>
        <v>IRP19Wind_wS_YK_T</v>
      </c>
      <c r="CE9" s="217" t="str">
        <f t="shared" si="18"/>
        <v>IRP19Wind_wS_ID_T</v>
      </c>
      <c r="CF9" s="211" t="str">
        <f t="shared" si="18"/>
        <v>IRP19Solar_wS_YK_T</v>
      </c>
      <c r="CG9" s="211" t="str">
        <f t="shared" si="18"/>
        <v>IRP19Solar_wS_YK_T</v>
      </c>
      <c r="CH9" s="211" t="str">
        <f t="shared" si="18"/>
        <v>IRP19Solar_wS_OR_T</v>
      </c>
      <c r="CI9" s="211" t="str">
        <f t="shared" si="18"/>
        <v>IRP19Solar_wS_OR_T</v>
      </c>
      <c r="CJ9" s="217" t="str">
        <f t="shared" si="18"/>
        <v>IRP19Solar_wS_UT_UTN_T</v>
      </c>
      <c r="CK9" s="211" t="str">
        <f t="shared" si="18"/>
        <v>IRP19Solar_wS_WY_JB_T</v>
      </c>
      <c r="CL9" s="211" t="str">
        <f t="shared" si="18"/>
        <v>IRP19Solar_wS_WY_JB_T</v>
      </c>
      <c r="CM9" s="211" t="str">
        <f t="shared" si="18"/>
        <v>IRP19Solar_wS_WY_JB_T</v>
      </c>
      <c r="CN9" s="211" t="str">
        <f t="shared" si="18"/>
        <v>IRP19Solar_wS_UT_UTS_T</v>
      </c>
      <c r="CO9" s="211" t="str">
        <f t="shared" si="18"/>
        <v>IRP19Solar_wS_UT_UTS_T</v>
      </c>
      <c r="CP9" s="211" t="str">
        <f t="shared" si="18"/>
        <v>IRP19Solar_wS_UT_UTS_T</v>
      </c>
      <c r="CQ9" s="211" t="str">
        <f t="shared" si="18"/>
        <v>IRP19_SCCT_NTN_2026_185MW</v>
      </c>
      <c r="CR9" s="211">
        <f t="shared" si="18"/>
        <v>0</v>
      </c>
      <c r="CS9" s="211">
        <f t="shared" si="18"/>
        <v>0</v>
      </c>
      <c r="CT9" s="211">
        <f t="shared" si="18"/>
        <v>0</v>
      </c>
      <c r="CU9" s="199" t="s">
        <v>79</v>
      </c>
      <c r="CX9" s="199" t="s">
        <v>88</v>
      </c>
      <c r="CY9" s="199" t="s">
        <v>88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89"/>
    </row>
    <row r="11" spans="2:103" customFormat="1" ht="13.5">
      <c r="B11" s="6"/>
      <c r="C11" s="6" t="s">
        <v>17</v>
      </c>
      <c r="D11" s="6"/>
      <c r="E11" s="84" t="s">
        <v>55</v>
      </c>
      <c r="F11" s="39"/>
      <c r="G11" s="12" t="s">
        <v>33</v>
      </c>
      <c r="H11" s="36"/>
      <c r="I11" s="89"/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F11" t="s">
        <v>80</v>
      </c>
      <c r="BG11" t="s">
        <v>80</v>
      </c>
      <c r="BH11" t="s">
        <v>80</v>
      </c>
      <c r="BI11" t="s">
        <v>80</v>
      </c>
      <c r="BJ11" t="s">
        <v>80</v>
      </c>
      <c r="BK11" t="s">
        <v>80</v>
      </c>
      <c r="BL11" t="s">
        <v>80</v>
      </c>
      <c r="BM11" t="s">
        <v>80</v>
      </c>
      <c r="BN11" t="s">
        <v>80</v>
      </c>
      <c r="BP11" t="s">
        <v>80</v>
      </c>
      <c r="BQ11" t="s">
        <v>80</v>
      </c>
      <c r="BR11" t="s">
        <v>80</v>
      </c>
      <c r="BS11" t="s">
        <v>80</v>
      </c>
      <c r="BT11" t="s">
        <v>80</v>
      </c>
      <c r="BU11" t="s">
        <v>80</v>
      </c>
      <c r="BV11" t="s">
        <v>80</v>
      </c>
      <c r="CA11" t="s">
        <v>81</v>
      </c>
      <c r="CB11" t="s">
        <v>81</v>
      </c>
      <c r="CC11" t="s">
        <v>81</v>
      </c>
      <c r="CD11" t="s">
        <v>81</v>
      </c>
      <c r="CE11" t="s">
        <v>81</v>
      </c>
      <c r="CF11" t="s">
        <v>81</v>
      </c>
      <c r="CG11" t="s">
        <v>81</v>
      </c>
      <c r="CH11" t="s">
        <v>81</v>
      </c>
      <c r="CI11" t="s">
        <v>81</v>
      </c>
      <c r="CJ11" t="s">
        <v>81</v>
      </c>
      <c r="CK11" t="s">
        <v>81</v>
      </c>
      <c r="CL11" t="s">
        <v>81</v>
      </c>
      <c r="CM11" t="s">
        <v>81</v>
      </c>
      <c r="CN11" t="s">
        <v>81</v>
      </c>
      <c r="CO11" t="s">
        <v>81</v>
      </c>
      <c r="CP11" t="s">
        <v>81</v>
      </c>
      <c r="CQ11" t="s">
        <v>81</v>
      </c>
      <c r="CR11" t="s">
        <v>81</v>
      </c>
      <c r="CS11" t="s">
        <v>81</v>
      </c>
      <c r="CT11" t="s">
        <v>81</v>
      </c>
      <c r="CU11" t="s">
        <v>81</v>
      </c>
      <c r="CX11" t="s">
        <v>80</v>
      </c>
      <c r="CY11" t="s">
        <v>81</v>
      </c>
    </row>
    <row r="12" spans="2:103" customFormat="1">
      <c r="B12" s="172"/>
      <c r="C12" s="173"/>
      <c r="D12" s="172"/>
      <c r="E12" s="12"/>
      <c r="F12" s="12"/>
      <c r="G12" s="3"/>
      <c r="H12" s="36"/>
      <c r="I12" s="89"/>
      <c r="BR12" s="356"/>
    </row>
    <row r="13" spans="2:103" customFormat="1">
      <c r="B13" s="15">
        <f>'Table 5'!J13</f>
        <v>2020</v>
      </c>
      <c r="C13" s="9">
        <f t="shared" ref="C13:C34" si="19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12.41819792584378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12.41819792584378</v>
      </c>
      <c r="H13" s="36"/>
      <c r="I13" s="177"/>
      <c r="J13" s="177"/>
      <c r="O13">
        <f t="shared" ref="O13:O32" si="20">B13</f>
        <v>2020</v>
      </c>
      <c r="P13">
        <v>0</v>
      </c>
      <c r="Q13">
        <v>0</v>
      </c>
      <c r="R13" s="355">
        <v>0</v>
      </c>
      <c r="S13" s="355">
        <v>0</v>
      </c>
      <c r="T13" s="177">
        <v>0</v>
      </c>
      <c r="U13" s="355">
        <v>0</v>
      </c>
      <c r="V13" s="355">
        <v>0</v>
      </c>
      <c r="W13" s="355">
        <v>0</v>
      </c>
      <c r="X13" s="355">
        <v>0</v>
      </c>
      <c r="Y13" s="355">
        <v>0</v>
      </c>
      <c r="Z13" s="355">
        <v>0</v>
      </c>
      <c r="AA13" s="355">
        <v>0</v>
      </c>
      <c r="AB13" s="355">
        <v>0</v>
      </c>
      <c r="AC13" s="355">
        <v>0</v>
      </c>
      <c r="AD13" s="355">
        <v>0</v>
      </c>
      <c r="AE13" s="355">
        <v>0</v>
      </c>
      <c r="AF13" s="355">
        <v>0</v>
      </c>
      <c r="AK13">
        <f t="shared" ref="AK13:AK33" si="21">P13/P$5</f>
        <v>0</v>
      </c>
      <c r="AL13">
        <f t="shared" ref="AL13:AL33" si="22">Q13/Q$5</f>
        <v>0</v>
      </c>
      <c r="AM13">
        <f t="shared" ref="AM13:AM33" si="23">R13/R$5</f>
        <v>0</v>
      </c>
      <c r="AN13">
        <f t="shared" ref="AN13:AO33" si="24">S13/S$5</f>
        <v>0</v>
      </c>
      <c r="AO13">
        <f t="shared" si="24"/>
        <v>0</v>
      </c>
      <c r="AP13">
        <f t="shared" ref="AP13:AP33" si="25">U13/U$5</f>
        <v>0</v>
      </c>
      <c r="AQ13">
        <f t="shared" ref="AQ13:AQ33" si="26">V13/V$5</f>
        <v>0</v>
      </c>
      <c r="AR13">
        <f t="shared" ref="AR13:AR33" si="27">W13/W$5</f>
        <v>0</v>
      </c>
      <c r="AS13">
        <f t="shared" ref="AS13:AT33" si="28">X13/X$5</f>
        <v>0</v>
      </c>
      <c r="AT13">
        <f t="shared" si="28"/>
        <v>0</v>
      </c>
      <c r="AU13">
        <f t="shared" ref="AU13:AU33" si="29">Z13/Z$5</f>
        <v>0</v>
      </c>
      <c r="AV13">
        <f t="shared" ref="AV13:AV33" si="30">AA13/AA$5</f>
        <v>0</v>
      </c>
      <c r="AW13">
        <f t="shared" ref="AW13:AW33" si="31">AB13/AB$5</f>
        <v>0</v>
      </c>
      <c r="AX13">
        <f t="shared" ref="AX13:AX33" si="32">AC13/AC$5</f>
        <v>0</v>
      </c>
      <c r="AY13">
        <f t="shared" ref="AY13:AY33" si="33">AD13/AD$5</f>
        <v>0</v>
      </c>
      <c r="AZ13">
        <f t="shared" ref="AZ13:BA33" si="34">AE13/AE$5</f>
        <v>0</v>
      </c>
      <c r="BA13">
        <f t="shared" si="34"/>
        <v>0</v>
      </c>
      <c r="BE13">
        <f>O13</f>
        <v>2020</v>
      </c>
      <c r="BF13" s="131">
        <f>IFERROR(VLOOKUP($O13,'Table 3 ID Wind_2030'!$B$10:$K$37,10,FALSE),0)</f>
        <v>0</v>
      </c>
      <c r="BG13" s="131">
        <f>IFERROR(VLOOKUP($O13,'Table 3 WYAE Wind_2024'!$B$10:$L$37,11,FALSE),0)</f>
        <v>0</v>
      </c>
      <c r="BH13" s="131">
        <f>IFERROR(VLOOKUP($O13,'Table 3 YK Wind wS_2029'!$B$10:$K$37,10,FALSE),0)</f>
        <v>0</v>
      </c>
      <c r="BI13" s="357"/>
      <c r="BJ13" s="131">
        <f>IFERROR(VLOOKUP($O13,'Table 3 ID Wind wS_2032'!$B$10:$K$38,10,FALSE),0)</f>
        <v>0</v>
      </c>
      <c r="BK13" s="131">
        <f>IFERROR(VLOOKUP($O13,'Table 3 PV wS YK_2024'!$B$10:$K$40,10,FALSE),0)</f>
        <v>25.7</v>
      </c>
      <c r="BL13" s="357"/>
      <c r="BM13" s="131">
        <f>IFERROR(VLOOKUP($O13,'Table 3 PV wS SO_2024'!$B$10:$K$40,10,FALSE),0)</f>
        <v>25.7</v>
      </c>
      <c r="BN13" s="357"/>
      <c r="BO13" s="131">
        <f>IFERROR(VLOOKUP($O13,'Table 3 PV wS UTN_2024'!$B$10:$K$40,10,FALSE),0)</f>
        <v>25.7</v>
      </c>
      <c r="BP13" s="131">
        <f>IFERROR(VLOOKUP($O13,'Table 3 PV wS JB_2024'!$B$10:$K$40,10,FALSE),0)</f>
        <v>25.7</v>
      </c>
      <c r="BQ13" s="131">
        <f>IFERROR(VLOOKUP($O13,'Table 3 PV wS JB_2029'!$B$10:$K$40,10,FALSE),0)</f>
        <v>25.7</v>
      </c>
      <c r="BR13" s="357"/>
      <c r="BS13" s="131">
        <f>IFERROR(VLOOKUP($O13,'Table 3 PV wS UTS_2024'!$B$10:$K$38,10,FALSE),0)</f>
        <v>25.7</v>
      </c>
      <c r="BT13" s="131">
        <f>IFERROR(VLOOKUP($O13,'Table 3 PV wS UTS_2030'!$B$10:$K$38,10,FALSE),0)</f>
        <v>25.7</v>
      </c>
      <c r="BU13" s="356"/>
      <c r="BV13" s="131">
        <f>IFERROR(VLOOKUP($O13,'Table 3 185 MW (NTN) 2026)'!$B$13:$L$40,11,FALSE),0)</f>
        <v>0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35">SUM(CA13:CT13)</f>
        <v>0</v>
      </c>
      <c r="CW13">
        <f t="shared" ref="CW13:CW33" si="36">O13</f>
        <v>2020</v>
      </c>
      <c r="CX13" s="89">
        <f>IFERROR(VLOOKUP($CW13,'Table 3 TransCost'!$B$10:$E$40,4,FALSE),0)</f>
        <v>0</v>
      </c>
      <c r="CY13" s="177">
        <f>$CX$5*CX13/1000</f>
        <v>0</v>
      </c>
    </row>
    <row r="14" spans="2:103" customFormat="1">
      <c r="B14" s="15">
        <f t="shared" ref="B14:B34" si="37">B13+1</f>
        <v>2021</v>
      </c>
      <c r="C14" s="9">
        <f t="shared" si="19"/>
        <v>0</v>
      </c>
      <c r="D14" s="45"/>
      <c r="E14" s="9">
        <f t="shared" ref="E14:E32" ca="1" si="38">SUMIF(INDIRECT("'Table 5'!$J$"&amp;$K$3&amp;":$J$"&amp;$K$4),B14,INDIRECT("'Table 5'!$c$"&amp;$K$3&amp;":$c$"&amp;$K$4))/SUMIF(INDIRECT("'Table 5'!$J$"&amp;$K$3&amp;":$J$"&amp;$K$4),B14,INDIRECT("'Table 5'!$f$"&amp;$K$3&amp;":$f$"&amp;$K$4))</f>
        <v>12.587620397281388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12.587620397281388</v>
      </c>
      <c r="H14" s="36"/>
      <c r="I14" s="177"/>
      <c r="J14" s="177"/>
      <c r="O14">
        <f t="shared" si="20"/>
        <v>2021</v>
      </c>
      <c r="P14">
        <v>0</v>
      </c>
      <c r="Q14">
        <v>0</v>
      </c>
      <c r="R14" s="355">
        <v>0</v>
      </c>
      <c r="S14" s="355">
        <v>0</v>
      </c>
      <c r="T14" s="177">
        <v>0</v>
      </c>
      <c r="U14" s="355">
        <v>0</v>
      </c>
      <c r="V14" s="355">
        <v>0</v>
      </c>
      <c r="W14" s="355">
        <v>0</v>
      </c>
      <c r="X14" s="355">
        <v>0</v>
      </c>
      <c r="Y14" s="355">
        <v>0</v>
      </c>
      <c r="Z14" s="355">
        <v>0</v>
      </c>
      <c r="AA14" s="355">
        <v>0</v>
      </c>
      <c r="AB14" s="355">
        <v>0</v>
      </c>
      <c r="AC14" s="355">
        <v>0</v>
      </c>
      <c r="AD14" s="355">
        <v>0</v>
      </c>
      <c r="AE14" s="355">
        <v>0</v>
      </c>
      <c r="AF14" s="355">
        <v>0</v>
      </c>
      <c r="AK14">
        <f t="shared" si="21"/>
        <v>0</v>
      </c>
      <c r="AL14">
        <f t="shared" si="22"/>
        <v>0</v>
      </c>
      <c r="AM14">
        <f t="shared" si="23"/>
        <v>0</v>
      </c>
      <c r="AN14">
        <f t="shared" si="24"/>
        <v>0</v>
      </c>
      <c r="AO14">
        <f t="shared" si="24"/>
        <v>0</v>
      </c>
      <c r="AP14">
        <f t="shared" si="25"/>
        <v>0</v>
      </c>
      <c r="AQ14">
        <f t="shared" si="26"/>
        <v>0</v>
      </c>
      <c r="AR14">
        <f t="shared" si="27"/>
        <v>0</v>
      </c>
      <c r="AS14">
        <f t="shared" si="28"/>
        <v>0</v>
      </c>
      <c r="AT14">
        <f t="shared" si="28"/>
        <v>0</v>
      </c>
      <c r="AU14" s="355">
        <f t="shared" si="29"/>
        <v>0</v>
      </c>
      <c r="AV14">
        <f t="shared" si="30"/>
        <v>0</v>
      </c>
      <c r="AW14">
        <f t="shared" si="31"/>
        <v>0</v>
      </c>
      <c r="AX14">
        <f t="shared" si="32"/>
        <v>0</v>
      </c>
      <c r="AY14">
        <f t="shared" si="33"/>
        <v>0</v>
      </c>
      <c r="AZ14">
        <f t="shared" si="34"/>
        <v>0</v>
      </c>
      <c r="BA14">
        <f t="shared" si="34"/>
        <v>0</v>
      </c>
      <c r="BE14">
        <f t="shared" ref="BE14:BE32" si="39">O14</f>
        <v>2021</v>
      </c>
      <c r="BF14" s="131">
        <f>IFERROR(VLOOKUP($O14,'Table 3 ID Wind_2030'!$B$10:$K$37,10,FALSE),0)</f>
        <v>0</v>
      </c>
      <c r="BG14" s="131">
        <f>IFERROR(VLOOKUP($O14,'Table 3 WYAE Wind_2024'!$B$10:$L$37,11,FALSE),0)</f>
        <v>0</v>
      </c>
      <c r="BH14" s="131">
        <f>IFERROR(VLOOKUP($O14,'Table 3 YK Wind wS_2029'!$B$10:$K$37,10,FALSE),0)</f>
        <v>0</v>
      </c>
      <c r="BI14" s="357"/>
      <c r="BJ14" s="131">
        <f>IFERROR(VLOOKUP($O14,'Table 3 ID Wind wS_2032'!$B$10:$K$38,10,FALSE),0)</f>
        <v>0</v>
      </c>
      <c r="BK14" s="131">
        <f>IFERROR(VLOOKUP($O14,'Table 3 PV wS YK_2024'!$B$10:$K$40,10,FALSE),0)</f>
        <v>26.35</v>
      </c>
      <c r="BL14" s="357"/>
      <c r="BM14" s="131">
        <f>IFERROR(VLOOKUP($O14,'Table 3 PV wS SO_2024'!$B$10:$K$40,10,FALSE),0)</f>
        <v>26.35</v>
      </c>
      <c r="BN14" s="357"/>
      <c r="BO14" s="131">
        <f>IFERROR(VLOOKUP($O14,'Table 3 PV wS UTN_2024'!$B$10:$K$40,10,FALSE),0)</f>
        <v>26.35</v>
      </c>
      <c r="BP14" s="131">
        <f>IFERROR(VLOOKUP($O14,'Table 3 PV wS JB_2024'!$B$10:$K$40,10,FALSE),0)</f>
        <v>26.35</v>
      </c>
      <c r="BQ14" s="131">
        <f>IFERROR(VLOOKUP($O14,'Table 3 PV wS JB_2029'!$B$10:$K$40,10,FALSE),0)</f>
        <v>26.35</v>
      </c>
      <c r="BR14" s="357"/>
      <c r="BS14" s="131">
        <f>IFERROR(VLOOKUP($O14,'Table 3 PV wS UTS_2024'!$B$10:$K$38,10,FALSE),0)</f>
        <v>26.35</v>
      </c>
      <c r="BT14" s="131">
        <f>IFERROR(VLOOKUP($O14,'Table 3 PV wS UTS_2030'!$B$10:$K$38,10,FALSE),0)</f>
        <v>26.35</v>
      </c>
      <c r="BU14" s="356"/>
      <c r="BV14" s="131">
        <f>IFERROR(VLOOKUP($O14,'Table 3 185 MW (NTN) 2026)'!$B$13:$L$40,11,FALSE),0)</f>
        <v>0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35"/>
        <v>0</v>
      </c>
      <c r="CW14">
        <f t="shared" si="36"/>
        <v>2021</v>
      </c>
      <c r="CX14" s="89">
        <f>IFERROR(VLOOKUP($CW14,'Table 3 TransCost'!$B$10:$E$40,4,FALSE),0)</f>
        <v>0</v>
      </c>
      <c r="CY14" s="177">
        <f t="shared" ref="CY14:CY33" si="40">$CX$5*CX14/1000</f>
        <v>0</v>
      </c>
    </row>
    <row r="15" spans="2:103" customFormat="1">
      <c r="B15" s="15">
        <f t="shared" si="37"/>
        <v>2022</v>
      </c>
      <c r="C15" s="9">
        <f t="shared" si="19"/>
        <v>0</v>
      </c>
      <c r="D15" s="45"/>
      <c r="E15" s="9">
        <f t="shared" ca="1" si="38"/>
        <v>11.575499626088385</v>
      </c>
      <c r="F15" s="37"/>
      <c r="G15" s="14">
        <f t="shared" ref="G15:G32" ca="1" si="41">SUMIF(INDIRECT("'Table 5'!$J$"&amp;$K$3&amp;":$J$"&amp;$K$4),B15,INDIRECT("'Table 5'!$e$"&amp;$K$3&amp;":$e$"&amp;$K$4))/SUMIF(INDIRECT("'Table 5'!$J$"&amp;$K$3&amp;":$J$"&amp;$K$4),B15,INDIRECT("'Table 5'!$f$"&amp;$K$3&amp;":$f$"&amp;$K$4))</f>
        <v>11.575499626088385</v>
      </c>
      <c r="H15" s="36"/>
      <c r="I15" s="177"/>
      <c r="J15" s="177"/>
      <c r="O15">
        <f t="shared" si="20"/>
        <v>2022</v>
      </c>
      <c r="P15">
        <v>0</v>
      </c>
      <c r="Q15">
        <v>0</v>
      </c>
      <c r="R15" s="355">
        <v>0</v>
      </c>
      <c r="S15" s="355">
        <v>0</v>
      </c>
      <c r="T15" s="177">
        <v>0</v>
      </c>
      <c r="U15" s="355">
        <v>0</v>
      </c>
      <c r="V15" s="355">
        <v>0</v>
      </c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355">
        <v>0</v>
      </c>
      <c r="AE15" s="355">
        <v>0</v>
      </c>
      <c r="AF15" s="355">
        <v>0</v>
      </c>
      <c r="AK15">
        <f t="shared" si="21"/>
        <v>0</v>
      </c>
      <c r="AL15">
        <f t="shared" si="22"/>
        <v>0</v>
      </c>
      <c r="AM15">
        <f t="shared" si="23"/>
        <v>0</v>
      </c>
      <c r="AN15">
        <f t="shared" si="24"/>
        <v>0</v>
      </c>
      <c r="AO15">
        <f t="shared" si="24"/>
        <v>0</v>
      </c>
      <c r="AP15">
        <f t="shared" si="25"/>
        <v>0</v>
      </c>
      <c r="AQ15">
        <f t="shared" si="26"/>
        <v>0</v>
      </c>
      <c r="AR15">
        <f t="shared" si="27"/>
        <v>0</v>
      </c>
      <c r="AS15">
        <f t="shared" si="28"/>
        <v>0</v>
      </c>
      <c r="AT15">
        <f t="shared" si="28"/>
        <v>0</v>
      </c>
      <c r="AU15">
        <f t="shared" si="29"/>
        <v>0</v>
      </c>
      <c r="AV15">
        <f t="shared" si="30"/>
        <v>0</v>
      </c>
      <c r="AW15">
        <f t="shared" si="31"/>
        <v>0</v>
      </c>
      <c r="AX15">
        <f t="shared" si="32"/>
        <v>0</v>
      </c>
      <c r="AY15">
        <f t="shared" si="33"/>
        <v>0</v>
      </c>
      <c r="AZ15">
        <f t="shared" si="34"/>
        <v>0</v>
      </c>
      <c r="BA15">
        <f t="shared" si="34"/>
        <v>0</v>
      </c>
      <c r="BE15">
        <f t="shared" si="39"/>
        <v>2022</v>
      </c>
      <c r="BF15" s="131">
        <f>IFERROR(VLOOKUP($O15,'Table 3 ID Wind_2030'!$B$10:$K$37,10,FALSE),0)</f>
        <v>0</v>
      </c>
      <c r="BG15" s="131">
        <f>IFERROR(VLOOKUP($O15,'Table 3 WYAE Wind_2024'!$B$10:$L$37,11,FALSE),0)</f>
        <v>0</v>
      </c>
      <c r="BH15" s="131">
        <f>IFERROR(VLOOKUP($O15,'Table 3 YK Wind wS_2029'!$B$10:$K$37,10,FALSE),0)</f>
        <v>0</v>
      </c>
      <c r="BI15" s="357"/>
      <c r="BJ15" s="131">
        <f>IFERROR(VLOOKUP($O15,'Table 3 ID Wind wS_2032'!$B$10:$K$38,10,FALSE),0)</f>
        <v>0</v>
      </c>
      <c r="BK15" s="131">
        <f>IFERROR(VLOOKUP($O15,'Table 3 PV wS YK_2024'!$B$10:$K$40,10,FALSE),0)</f>
        <v>27.02</v>
      </c>
      <c r="BL15" s="357"/>
      <c r="BM15" s="131">
        <f>IFERROR(VLOOKUP($O15,'Table 3 PV wS SO_2024'!$B$10:$K$40,10,FALSE),0)</f>
        <v>27.02</v>
      </c>
      <c r="BN15" s="357"/>
      <c r="BO15" s="131">
        <f>IFERROR(VLOOKUP($O15,'Table 3 PV wS UTN_2024'!$B$10:$K$40,10,FALSE),0)</f>
        <v>27.02</v>
      </c>
      <c r="BP15" s="131">
        <f>IFERROR(VLOOKUP($O15,'Table 3 PV wS JB_2024'!$B$10:$K$40,10,FALSE),0)</f>
        <v>27.02</v>
      </c>
      <c r="BQ15" s="131">
        <f>IFERROR(VLOOKUP($O15,'Table 3 PV wS JB_2029'!$B$10:$K$40,10,FALSE),0)</f>
        <v>27.02</v>
      </c>
      <c r="BR15" s="357"/>
      <c r="BS15" s="131">
        <f>IFERROR(VLOOKUP($O15,'Table 3 PV wS UTS_2024'!$B$10:$K$38,10,FALSE),0)</f>
        <v>27.02</v>
      </c>
      <c r="BT15" s="131">
        <f>IFERROR(VLOOKUP($O15,'Table 3 PV wS UTS_2030'!$B$10:$K$38,10,FALSE),0)</f>
        <v>27.02</v>
      </c>
      <c r="BU15" s="356"/>
      <c r="BV15" s="131">
        <f>IFERROR(VLOOKUP($O15,'Table 3 185 MW (NTN) 2026)'!$B$13:$L$40,11,FALSE),0)</f>
        <v>0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36"/>
        <v>2022</v>
      </c>
      <c r="CX15" s="89">
        <f>IFERROR(VLOOKUP($CW15,'Table 3 TransCost'!$B$10:$E$40,4,FALSE),0)</f>
        <v>0</v>
      </c>
      <c r="CY15" s="177">
        <f t="shared" si="40"/>
        <v>0</v>
      </c>
    </row>
    <row r="16" spans="2:103" customFormat="1">
      <c r="B16" s="15">
        <f t="shared" si="37"/>
        <v>2023</v>
      </c>
      <c r="C16" s="9">
        <f>(INDEX($CU:$CU,MATCH(B16,$O:$O,0),1)+INDEX($CY:$CY,MATCH(B16,$O:$O,0),1))*1000/Study_MW</f>
        <v>0</v>
      </c>
      <c r="D16" s="45"/>
      <c r="E16" s="9">
        <f t="shared" ca="1" si="38"/>
        <v>11.430162782287299</v>
      </c>
      <c r="F16" s="37"/>
      <c r="G16" s="14">
        <f t="shared" ca="1" si="41"/>
        <v>11.430162782287299</v>
      </c>
      <c r="H16" s="36"/>
      <c r="I16" s="177"/>
      <c r="J16" s="177"/>
      <c r="M16" s="112"/>
      <c r="O16">
        <f t="shared" si="20"/>
        <v>2023</v>
      </c>
      <c r="P16">
        <v>0</v>
      </c>
      <c r="Q16">
        <v>0</v>
      </c>
      <c r="R16" s="355">
        <v>0</v>
      </c>
      <c r="S16" s="355">
        <v>0</v>
      </c>
      <c r="T16" s="177">
        <v>0</v>
      </c>
      <c r="U16" s="355">
        <v>0</v>
      </c>
      <c r="V16" s="355">
        <v>0</v>
      </c>
      <c r="W16" s="355">
        <v>0</v>
      </c>
      <c r="X16" s="355">
        <v>0</v>
      </c>
      <c r="Y16" s="355">
        <v>0</v>
      </c>
      <c r="Z16" s="355">
        <v>0</v>
      </c>
      <c r="AA16" s="355">
        <v>0</v>
      </c>
      <c r="AB16" s="355">
        <v>0</v>
      </c>
      <c r="AC16" s="355">
        <v>0</v>
      </c>
      <c r="AD16" s="355">
        <v>0</v>
      </c>
      <c r="AE16" s="355">
        <v>0</v>
      </c>
      <c r="AF16" s="355">
        <v>0</v>
      </c>
      <c r="AK16">
        <f t="shared" si="21"/>
        <v>0</v>
      </c>
      <c r="AL16">
        <f t="shared" si="22"/>
        <v>0</v>
      </c>
      <c r="AM16">
        <f t="shared" si="23"/>
        <v>0</v>
      </c>
      <c r="AN16">
        <f t="shared" si="24"/>
        <v>0</v>
      </c>
      <c r="AO16">
        <f t="shared" si="24"/>
        <v>0</v>
      </c>
      <c r="AP16">
        <f t="shared" si="25"/>
        <v>0</v>
      </c>
      <c r="AQ16">
        <f t="shared" si="26"/>
        <v>0</v>
      </c>
      <c r="AR16">
        <f t="shared" si="27"/>
        <v>0</v>
      </c>
      <c r="AS16">
        <f t="shared" si="28"/>
        <v>0</v>
      </c>
      <c r="AT16">
        <f t="shared" si="28"/>
        <v>0</v>
      </c>
      <c r="AU16">
        <f t="shared" si="29"/>
        <v>0</v>
      </c>
      <c r="AV16">
        <f t="shared" si="30"/>
        <v>0</v>
      </c>
      <c r="AW16">
        <f t="shared" si="31"/>
        <v>0</v>
      </c>
      <c r="AX16">
        <f t="shared" si="32"/>
        <v>0</v>
      </c>
      <c r="AY16">
        <f t="shared" si="33"/>
        <v>0</v>
      </c>
      <c r="AZ16">
        <f t="shared" si="34"/>
        <v>0</v>
      </c>
      <c r="BA16">
        <f t="shared" si="34"/>
        <v>0</v>
      </c>
      <c r="BE16">
        <f t="shared" si="39"/>
        <v>2023</v>
      </c>
      <c r="BF16" s="131">
        <f>IFERROR(VLOOKUP($O16,'Table 3 ID Wind_2030'!$B$10:$K$37,10,FALSE),0)</f>
        <v>0</v>
      </c>
      <c r="BG16" s="131">
        <f>IFERROR(VLOOKUP($O16,'Table 3 WYAE Wind_2024'!$B$10:$L$37,11,FALSE),0)</f>
        <v>0</v>
      </c>
      <c r="BH16" s="131">
        <f>IFERROR(VLOOKUP($O16,'Table 3 YK Wind wS_2029'!$B$10:$K$37,10,FALSE),0)</f>
        <v>0</v>
      </c>
      <c r="BI16" s="357"/>
      <c r="BJ16" s="131">
        <f>IFERROR(VLOOKUP($O16,'Table 3 ID Wind wS_2032'!$B$10:$K$38,10,FALSE),0)</f>
        <v>0</v>
      </c>
      <c r="BK16" s="131">
        <f>IFERROR(VLOOKUP($O16,'Table 3 PV wS YK_2024'!$B$10:$K$40,10,FALSE),0)</f>
        <v>27.68</v>
      </c>
      <c r="BL16" s="357"/>
      <c r="BM16" s="131">
        <f>IFERROR(VLOOKUP($O16,'Table 3 PV wS SO_2024'!$B$10:$K$40,10,FALSE),0)</f>
        <v>27.68</v>
      </c>
      <c r="BN16" s="357"/>
      <c r="BO16" s="131">
        <f>IFERROR(VLOOKUP($O16,'Table 3 PV wS UTN_2024'!$B$10:$K$40,10,FALSE),0)</f>
        <v>27.68</v>
      </c>
      <c r="BP16" s="131">
        <f>IFERROR(VLOOKUP($O16,'Table 3 PV wS JB_2024'!$B$10:$K$40,10,FALSE),0)</f>
        <v>27.68</v>
      </c>
      <c r="BQ16" s="131">
        <f>IFERROR(VLOOKUP($O16,'Table 3 PV wS JB_2029'!$B$10:$K$40,10,FALSE),0)</f>
        <v>27.68</v>
      </c>
      <c r="BR16" s="357"/>
      <c r="BS16" s="131">
        <f>IFERROR(VLOOKUP($O16,'Table 3 PV wS UTS_2024'!$B$10:$K$38,10,FALSE),0)</f>
        <v>27.68</v>
      </c>
      <c r="BT16" s="131">
        <f>IFERROR(VLOOKUP($O16,'Table 3 PV wS UTS_2030'!$B$10:$K$38,10,FALSE),0)</f>
        <v>27.68</v>
      </c>
      <c r="BU16" s="356"/>
      <c r="BV16" s="131">
        <f>IFERROR(VLOOKUP($O16,'Table 3 185 MW (NTN) 2026)'!$B$13:$L$40,11,FALSE),0)</f>
        <v>0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42">SUM(CA16:CT16)</f>
        <v>0</v>
      </c>
      <c r="CW16">
        <f t="shared" si="36"/>
        <v>2023</v>
      </c>
      <c r="CX16" s="89">
        <f>IFERROR(VLOOKUP($CW16,'Table 3 TransCost'!$B$10:$E$40,4,FALSE),0)</f>
        <v>0</v>
      </c>
      <c r="CY16" s="177">
        <f t="shared" si="40"/>
        <v>0</v>
      </c>
    </row>
    <row r="17" spans="2:103">
      <c r="B17" s="15">
        <f t="shared" si="37"/>
        <v>2024</v>
      </c>
      <c r="C17" s="9">
        <f t="shared" si="19"/>
        <v>28.044664285227952</v>
      </c>
      <c r="D17" s="45"/>
      <c r="E17" s="9">
        <f t="shared" ca="1" si="38"/>
        <v>-4.3978031618436837E-2</v>
      </c>
      <c r="F17" s="37"/>
      <c r="G17" s="14">
        <f t="shared" ca="1" si="41"/>
        <v>10.07621165470831</v>
      </c>
      <c r="H17" s="36"/>
      <c r="I17" s="177"/>
      <c r="J17" s="177"/>
      <c r="M17" s="113"/>
      <c r="O17">
        <f t="shared" si="20"/>
        <v>2024</v>
      </c>
      <c r="P17">
        <v>0</v>
      </c>
      <c r="Q17">
        <v>0</v>
      </c>
      <c r="R17" s="355">
        <v>0</v>
      </c>
      <c r="S17" s="355">
        <v>0</v>
      </c>
      <c r="T17" s="177">
        <v>0</v>
      </c>
      <c r="U17" s="355">
        <v>0</v>
      </c>
      <c r="V17" s="355">
        <v>0</v>
      </c>
      <c r="W17" s="355">
        <v>0</v>
      </c>
      <c r="X17" s="355">
        <v>0</v>
      </c>
      <c r="Y17" s="355">
        <v>0</v>
      </c>
      <c r="Z17" s="355">
        <v>7.7627840449499956</v>
      </c>
      <c r="AA17" s="355">
        <v>0</v>
      </c>
      <c r="AB17" s="355">
        <v>0</v>
      </c>
      <c r="AC17" s="355">
        <v>0</v>
      </c>
      <c r="AD17" s="355">
        <v>0</v>
      </c>
      <c r="AE17" s="355">
        <v>0</v>
      </c>
      <c r="AF17" s="355">
        <v>0</v>
      </c>
      <c r="AK17">
        <f t="shared" si="21"/>
        <v>0</v>
      </c>
      <c r="AL17">
        <f t="shared" si="22"/>
        <v>0</v>
      </c>
      <c r="AM17">
        <f t="shared" si="23"/>
        <v>0</v>
      </c>
      <c r="AN17">
        <f t="shared" si="24"/>
        <v>0</v>
      </c>
      <c r="AO17">
        <f t="shared" si="24"/>
        <v>0</v>
      </c>
      <c r="AP17">
        <f t="shared" si="25"/>
        <v>0</v>
      </c>
      <c r="AQ17">
        <f t="shared" si="26"/>
        <v>0</v>
      </c>
      <c r="AR17">
        <f t="shared" si="27"/>
        <v>0</v>
      </c>
      <c r="AS17">
        <f t="shared" si="28"/>
        <v>0</v>
      </c>
      <c r="AT17">
        <f t="shared" si="28"/>
        <v>0</v>
      </c>
      <c r="AU17">
        <f t="shared" si="29"/>
        <v>24.719318748264307</v>
      </c>
      <c r="AV17">
        <f t="shared" si="30"/>
        <v>0</v>
      </c>
      <c r="AW17">
        <f t="shared" si="31"/>
        <v>0</v>
      </c>
      <c r="AX17">
        <f t="shared" si="32"/>
        <v>0</v>
      </c>
      <c r="AY17">
        <f t="shared" si="33"/>
        <v>0</v>
      </c>
      <c r="AZ17">
        <f t="shared" si="34"/>
        <v>0</v>
      </c>
      <c r="BA17">
        <f t="shared" si="34"/>
        <v>0</v>
      </c>
      <c r="BE17">
        <f t="shared" si="39"/>
        <v>2024</v>
      </c>
      <c r="BF17" s="131">
        <f>IFERROR(VLOOKUP($O17,'Table 3 ID Wind_2030'!$B$10:$K$37,10,FALSE),0)</f>
        <v>0</v>
      </c>
      <c r="BG17" s="131">
        <f>IFERROR(VLOOKUP($O17,'Table 3 WYAE Wind_2024'!$B$10:$L$37,11,FALSE),0)</f>
        <v>167.27126747278072</v>
      </c>
      <c r="BH17" s="131">
        <f>IFERROR(VLOOKUP($O17,'Table 3 YK Wind wS_2029'!$B$10:$K$37,10,FALSE),0)</f>
        <v>0</v>
      </c>
      <c r="BI17" s="357"/>
      <c r="BJ17" s="131">
        <f>IFERROR(VLOOKUP($O17,'Table 3 ID Wind wS_2032'!$B$10:$K$38,10,FALSE),0)</f>
        <v>0</v>
      </c>
      <c r="BK17" s="131">
        <f>IFERROR(VLOOKUP($O17,'Table 3 PV wS YK_2024'!$B$10:$K$40,10,FALSE),0)</f>
        <v>94.566445239115708</v>
      </c>
      <c r="BL17" s="357"/>
      <c r="BM17" s="131">
        <f>IFERROR(VLOOKUP($O17,'Table 3 PV wS SO_2024'!$B$10:$K$40,10,FALSE),0)</f>
        <v>94.249635345997291</v>
      </c>
      <c r="BN17" s="357"/>
      <c r="BO17" s="131">
        <f>IFERROR(VLOOKUP($O17,'Table 3 PV wS UTN_2024'!$B$10:$K$40,10,FALSE),0)</f>
        <v>93.448350344380245</v>
      </c>
      <c r="BP17" s="131">
        <f>IFERROR(VLOOKUP($O17,'Table 3 PV wS JB_2024'!$B$10:$K$40,10,FALSE),0)</f>
        <v>90.761932627118654</v>
      </c>
      <c r="BQ17" s="131">
        <f>IFERROR(VLOOKUP($O17,'Table 3 PV wS JB_2029'!$B$10:$K$40,10,FALSE),0)</f>
        <v>28.32</v>
      </c>
      <c r="BR17" s="357"/>
      <c r="BS17" s="131">
        <f>IFERROR(VLOOKUP($O17,'Table 3 PV wS UTS_2024'!$B$10:$K$38,10,FALSE),0)</f>
        <v>92.368768356379377</v>
      </c>
      <c r="BT17" s="131">
        <f>IFERROR(VLOOKUP($O17,'Table 3 PV wS UTS_2030'!$B$10:$K$38,10,FALSE),0)</f>
        <v>28.32</v>
      </c>
      <c r="BU17" s="356"/>
      <c r="BV17" s="131">
        <f>IFERROR(VLOOKUP($O17,'Table 3 185 MW (NTN) 2026)'!$B$13:$L$40,11,FALSE),0)</f>
        <v>0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2.2435731428182364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42"/>
        <v>2.2435731428182364</v>
      </c>
      <c r="CW17">
        <f t="shared" si="36"/>
        <v>2024</v>
      </c>
      <c r="CX17" s="89">
        <f>IFERROR(VLOOKUP($CW17,'Table 3 TransCost'!$B$10:$E$40,4,FALSE),0)</f>
        <v>47.870308055404145</v>
      </c>
      <c r="CY17" s="177">
        <f t="shared" si="40"/>
        <v>0</v>
      </c>
    </row>
    <row r="18" spans="2:103">
      <c r="B18" s="15">
        <f t="shared" si="37"/>
        <v>2025</v>
      </c>
      <c r="C18" s="9">
        <f t="shared" si="19"/>
        <v>28.668229918299527</v>
      </c>
      <c r="D18" s="45"/>
      <c r="E18" s="9">
        <f t="shared" ca="1" si="38"/>
        <v>-0.14526682081845926</v>
      </c>
      <c r="F18" s="37"/>
      <c r="G18" s="14">
        <f t="shared" ca="1" si="41"/>
        <v>10.279931059287252</v>
      </c>
      <c r="H18" s="36"/>
      <c r="I18" s="177"/>
      <c r="J18" s="177"/>
      <c r="M18" s="113"/>
      <c r="O18">
        <f t="shared" si="20"/>
        <v>2025</v>
      </c>
      <c r="P18">
        <v>0</v>
      </c>
      <c r="Q18">
        <v>0</v>
      </c>
      <c r="R18" s="355">
        <v>0</v>
      </c>
      <c r="S18" s="355">
        <v>0</v>
      </c>
      <c r="T18" s="177">
        <v>0</v>
      </c>
      <c r="U18" s="355">
        <v>0</v>
      </c>
      <c r="V18" s="355">
        <v>0</v>
      </c>
      <c r="W18" s="355">
        <v>0</v>
      </c>
      <c r="X18" s="355">
        <v>0</v>
      </c>
      <c r="Y18" s="355">
        <v>0</v>
      </c>
      <c r="Z18" s="355">
        <v>0</v>
      </c>
      <c r="AA18" s="355">
        <v>0</v>
      </c>
      <c r="AB18" s="355">
        <v>0</v>
      </c>
      <c r="AC18" s="355">
        <v>0</v>
      </c>
      <c r="AD18" s="355">
        <v>0</v>
      </c>
      <c r="AE18" s="355">
        <v>0</v>
      </c>
      <c r="AF18" s="355">
        <v>0</v>
      </c>
      <c r="AK18">
        <f t="shared" si="21"/>
        <v>0</v>
      </c>
      <c r="AL18">
        <f t="shared" si="22"/>
        <v>0</v>
      </c>
      <c r="AM18">
        <f t="shared" si="23"/>
        <v>0</v>
      </c>
      <c r="AN18">
        <f t="shared" si="24"/>
        <v>0</v>
      </c>
      <c r="AO18">
        <f t="shared" si="24"/>
        <v>0</v>
      </c>
      <c r="AP18">
        <f t="shared" si="25"/>
        <v>0</v>
      </c>
      <c r="AQ18">
        <f t="shared" si="26"/>
        <v>0</v>
      </c>
      <c r="AR18">
        <f t="shared" si="27"/>
        <v>0</v>
      </c>
      <c r="AS18">
        <f t="shared" si="28"/>
        <v>0</v>
      </c>
      <c r="AT18">
        <f t="shared" si="28"/>
        <v>0</v>
      </c>
      <c r="AU18">
        <f t="shared" si="29"/>
        <v>0</v>
      </c>
      <c r="AV18">
        <f t="shared" si="30"/>
        <v>0</v>
      </c>
      <c r="AW18">
        <f t="shared" si="31"/>
        <v>0</v>
      </c>
      <c r="AX18">
        <f t="shared" si="32"/>
        <v>0</v>
      </c>
      <c r="AY18">
        <f t="shared" si="33"/>
        <v>0</v>
      </c>
      <c r="AZ18">
        <f t="shared" si="34"/>
        <v>0</v>
      </c>
      <c r="BA18">
        <f t="shared" si="34"/>
        <v>0</v>
      </c>
      <c r="BE18">
        <f t="shared" si="39"/>
        <v>2025</v>
      </c>
      <c r="BF18" s="131">
        <f>IFERROR(VLOOKUP($O18,'Table 3 ID Wind_2030'!$B$10:$K$37,10,FALSE),0)</f>
        <v>0</v>
      </c>
      <c r="BG18" s="131">
        <f>IFERROR(VLOOKUP($O18,'Table 3 WYAE Wind_2024'!$B$10:$L$37,11,FALSE),0)</f>
        <v>171.03020833333332</v>
      </c>
      <c r="BH18" s="131">
        <f>IFERROR(VLOOKUP($O18,'Table 3 YK Wind wS_2029'!$B$10:$K$37,10,FALSE),0)</f>
        <v>0</v>
      </c>
      <c r="BI18" s="357"/>
      <c r="BJ18" s="131">
        <f>IFERROR(VLOOKUP($O18,'Table 3 ID Wind wS_2032'!$B$10:$K$38,10,FALSE),0)</f>
        <v>0</v>
      </c>
      <c r="BK18" s="131">
        <f>IFERROR(VLOOKUP($O18,'Table 3 PV wS YK_2024'!$B$10:$K$40,10,FALSE),0)</f>
        <v>96.67</v>
      </c>
      <c r="BL18" s="357"/>
      <c r="BM18" s="131">
        <f>IFERROR(VLOOKUP($O18,'Table 3 PV wS SO_2024'!$B$10:$K$40,10,FALSE),0)</f>
        <v>96.350000000000009</v>
      </c>
      <c r="BN18" s="357"/>
      <c r="BO18" s="131">
        <f>IFERROR(VLOOKUP($O18,'Table 3 PV wS UTN_2024'!$B$10:$K$40,10,FALSE),0)</f>
        <v>95.53</v>
      </c>
      <c r="BP18" s="131">
        <f>IFERROR(VLOOKUP($O18,'Table 3 PV wS JB_2024'!$B$10:$K$40,10,FALSE),0)</f>
        <v>92.78</v>
      </c>
      <c r="BQ18" s="131">
        <f>IFERROR(VLOOKUP($O18,'Table 3 PV wS JB_2029'!$B$10:$K$40,10,FALSE),0)</f>
        <v>28.95</v>
      </c>
      <c r="BR18" s="357"/>
      <c r="BS18" s="131">
        <f>IFERROR(VLOOKUP($O18,'Table 3 PV wS UTS_2024'!$B$10:$K$38,10,FALSE),0)</f>
        <v>94.43</v>
      </c>
      <c r="BT18" s="131">
        <f>IFERROR(VLOOKUP($O18,'Table 3 PV wS UTS_2030'!$B$10:$K$38,10,FALSE),0)</f>
        <v>28.95</v>
      </c>
      <c r="BU18" s="356"/>
      <c r="BV18" s="131">
        <f>IFERROR(VLOOKUP($O18,'Table 3 185 MW (NTN) 2026)'!$B$13:$L$40,11,FALSE),0)</f>
        <v>0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2.2934583934639621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42"/>
        <v>2.2934583934639621</v>
      </c>
      <c r="CW18">
        <f t="shared" si="36"/>
        <v>2025</v>
      </c>
      <c r="CX18" s="89">
        <f>IFERROR(VLOOKUP($CW18,'Table 3 TransCost'!$B$10:$E$40,4,FALSE),0)</f>
        <v>48.94</v>
      </c>
      <c r="CY18" s="177">
        <f t="shared" si="40"/>
        <v>0</v>
      </c>
    </row>
    <row r="19" spans="2:103">
      <c r="B19" s="15">
        <f t="shared" si="37"/>
        <v>2026</v>
      </c>
      <c r="C19" s="9">
        <f t="shared" si="19"/>
        <v>29.301662461223806</v>
      </c>
      <c r="D19" s="45"/>
      <c r="E19" s="9">
        <f t="shared" ca="1" si="38"/>
        <v>1.6717003547744678</v>
      </c>
      <c r="F19" s="37"/>
      <c r="G19" s="14">
        <f t="shared" ca="1" si="41"/>
        <v>12.380791377555145</v>
      </c>
      <c r="H19" s="36"/>
      <c r="I19" s="177"/>
      <c r="J19" s="177"/>
      <c r="M19" s="113"/>
      <c r="O19">
        <f t="shared" si="20"/>
        <v>2026</v>
      </c>
      <c r="P19">
        <v>0</v>
      </c>
      <c r="Q19">
        <v>0</v>
      </c>
      <c r="R19" s="355">
        <v>0</v>
      </c>
      <c r="S19" s="355">
        <v>0</v>
      </c>
      <c r="T19" s="177">
        <v>0</v>
      </c>
      <c r="U19" s="355">
        <v>0</v>
      </c>
      <c r="V19" s="355">
        <v>0</v>
      </c>
      <c r="W19" s="355">
        <v>0</v>
      </c>
      <c r="X19" s="355">
        <v>0</v>
      </c>
      <c r="Y19" s="355">
        <v>0</v>
      </c>
      <c r="Z19" s="355">
        <v>0</v>
      </c>
      <c r="AA19" s="355">
        <v>0</v>
      </c>
      <c r="AB19" s="355">
        <v>0</v>
      </c>
      <c r="AC19" s="355">
        <v>0</v>
      </c>
      <c r="AD19" s="355">
        <v>0</v>
      </c>
      <c r="AE19" s="355">
        <v>0</v>
      </c>
      <c r="AF19" s="355">
        <v>0</v>
      </c>
      <c r="AK19">
        <f t="shared" si="21"/>
        <v>0</v>
      </c>
      <c r="AL19">
        <f t="shared" si="22"/>
        <v>0</v>
      </c>
      <c r="AM19">
        <f t="shared" si="23"/>
        <v>0</v>
      </c>
      <c r="AN19">
        <f t="shared" si="24"/>
        <v>0</v>
      </c>
      <c r="AO19">
        <f t="shared" si="24"/>
        <v>0</v>
      </c>
      <c r="AP19">
        <f t="shared" si="25"/>
        <v>0</v>
      </c>
      <c r="AQ19">
        <f t="shared" si="26"/>
        <v>0</v>
      </c>
      <c r="AR19">
        <f t="shared" si="27"/>
        <v>0</v>
      </c>
      <c r="AS19">
        <f t="shared" si="28"/>
        <v>0</v>
      </c>
      <c r="AT19">
        <f t="shared" si="28"/>
        <v>0</v>
      </c>
      <c r="AU19">
        <f t="shared" si="29"/>
        <v>0</v>
      </c>
      <c r="AV19">
        <f t="shared" si="30"/>
        <v>0</v>
      </c>
      <c r="AW19">
        <f t="shared" si="31"/>
        <v>0</v>
      </c>
      <c r="AX19">
        <f t="shared" si="32"/>
        <v>0</v>
      </c>
      <c r="AY19">
        <f t="shared" si="33"/>
        <v>0</v>
      </c>
      <c r="AZ19">
        <f t="shared" si="34"/>
        <v>0</v>
      </c>
      <c r="BA19">
        <f t="shared" si="34"/>
        <v>0</v>
      </c>
      <c r="BE19">
        <f t="shared" si="39"/>
        <v>2026</v>
      </c>
      <c r="BF19" s="131">
        <f>IFERROR(VLOOKUP($O19,'Table 3 ID Wind_2030'!$B$10:$K$37,10,FALSE),0)</f>
        <v>0</v>
      </c>
      <c r="BG19" s="131">
        <f>IFERROR(VLOOKUP($O19,'Table 3 WYAE Wind_2024'!$B$10:$L$37,11,FALSE),0)</f>
        <v>174.82010416666668</v>
      </c>
      <c r="BH19" s="131">
        <f>IFERROR(VLOOKUP($O19,'Table 3 YK Wind wS_2029'!$B$10:$K$37,10,FALSE),0)</f>
        <v>0</v>
      </c>
      <c r="BI19" s="357"/>
      <c r="BJ19" s="131">
        <f>IFERROR(VLOOKUP($O19,'Table 3 ID Wind wS_2032'!$B$10:$K$38,10,FALSE),0)</f>
        <v>0</v>
      </c>
      <c r="BK19" s="131">
        <f>IFERROR(VLOOKUP($O19,'Table 3 PV wS YK_2024'!$B$10:$K$40,10,FALSE),0)</f>
        <v>98.8</v>
      </c>
      <c r="BL19" s="357"/>
      <c r="BM19" s="131">
        <f>IFERROR(VLOOKUP($O19,'Table 3 PV wS SO_2024'!$B$10:$K$40,10,FALSE),0)</f>
        <v>98.48</v>
      </c>
      <c r="BN19" s="357"/>
      <c r="BO19" s="131">
        <f>IFERROR(VLOOKUP($O19,'Table 3 PV wS UTN_2024'!$B$10:$K$40,10,FALSE),0)</f>
        <v>97.64</v>
      </c>
      <c r="BP19" s="131">
        <f>IFERROR(VLOOKUP($O19,'Table 3 PV wS JB_2024'!$B$10:$K$40,10,FALSE),0)</f>
        <v>94.83</v>
      </c>
      <c r="BQ19" s="131">
        <f>IFERROR(VLOOKUP($O19,'Table 3 PV wS JB_2029'!$B$10:$K$40,10,FALSE),0)</f>
        <v>29.59</v>
      </c>
      <c r="BR19" s="357"/>
      <c r="BS19" s="131">
        <f>IFERROR(VLOOKUP($O19,'Table 3 PV wS UTS_2024'!$B$10:$K$38,10,FALSE),0)</f>
        <v>96.509999999999991</v>
      </c>
      <c r="BT19" s="131">
        <f>IFERROR(VLOOKUP($O19,'Table 3 PV wS UTS_2030'!$B$10:$K$38,10,FALSE),0)</f>
        <v>29.59</v>
      </c>
      <c r="BU19" s="356"/>
      <c r="BV19" s="131">
        <f>IFERROR(VLOOKUP($O19,'Table 3 185 MW (NTN) 2026)'!$B$13:$L$40,11,FALSE),0)</f>
        <v>112.48330989724175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2.3441329968979043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42"/>
        <v>2.3441329968979043</v>
      </c>
      <c r="CW19">
        <f t="shared" si="36"/>
        <v>2026</v>
      </c>
      <c r="CX19" s="89">
        <f>IFERROR(VLOOKUP($CW19,'Table 3 TransCost'!$B$10:$E$40,4,FALSE),0)</f>
        <v>50.02</v>
      </c>
      <c r="CY19" s="177">
        <f t="shared" si="40"/>
        <v>0</v>
      </c>
    </row>
    <row r="20" spans="2:103">
      <c r="B20" s="15">
        <f t="shared" si="37"/>
        <v>2027</v>
      </c>
      <c r="C20" s="9">
        <f t="shared" si="19"/>
        <v>29.953634493209272</v>
      </c>
      <c r="D20" s="45"/>
      <c r="E20" s="9">
        <f t="shared" ca="1" si="38"/>
        <v>-1.7235935119326142</v>
      </c>
      <c r="F20" s="37"/>
      <c r="G20" s="14">
        <f t="shared" ca="1" si="41"/>
        <v>9.2787904002656312</v>
      </c>
      <c r="H20" s="36"/>
      <c r="I20" s="177"/>
      <c r="J20" s="177"/>
      <c r="M20" s="113"/>
      <c r="O20">
        <f t="shared" si="20"/>
        <v>2027</v>
      </c>
      <c r="P20">
        <v>0</v>
      </c>
      <c r="Q20">
        <v>0</v>
      </c>
      <c r="R20" s="355">
        <v>0</v>
      </c>
      <c r="S20" s="355">
        <v>0</v>
      </c>
      <c r="T20" s="177">
        <v>0</v>
      </c>
      <c r="U20" s="355">
        <v>0</v>
      </c>
      <c r="V20" s="355">
        <v>0</v>
      </c>
      <c r="W20" s="355">
        <v>0</v>
      </c>
      <c r="X20" s="355">
        <v>0</v>
      </c>
      <c r="Y20" s="355">
        <v>0</v>
      </c>
      <c r="Z20" s="355">
        <v>0</v>
      </c>
      <c r="AA20" s="355">
        <v>0</v>
      </c>
      <c r="AB20" s="355">
        <v>0</v>
      </c>
      <c r="AC20" s="355">
        <v>0</v>
      </c>
      <c r="AD20" s="355">
        <v>0</v>
      </c>
      <c r="AE20" s="355">
        <v>0</v>
      </c>
      <c r="AF20" s="355">
        <v>0</v>
      </c>
      <c r="AK20">
        <f t="shared" si="21"/>
        <v>0</v>
      </c>
      <c r="AL20">
        <f t="shared" si="22"/>
        <v>0</v>
      </c>
      <c r="AM20">
        <f t="shared" si="23"/>
        <v>0</v>
      </c>
      <c r="AN20">
        <f t="shared" si="24"/>
        <v>0</v>
      </c>
      <c r="AO20">
        <f t="shared" si="24"/>
        <v>0</v>
      </c>
      <c r="AP20">
        <f t="shared" si="25"/>
        <v>0</v>
      </c>
      <c r="AQ20">
        <f t="shared" si="26"/>
        <v>0</v>
      </c>
      <c r="AR20">
        <f t="shared" si="27"/>
        <v>0</v>
      </c>
      <c r="AS20">
        <f t="shared" si="28"/>
        <v>0</v>
      </c>
      <c r="AT20">
        <f t="shared" si="28"/>
        <v>0</v>
      </c>
      <c r="AU20">
        <f t="shared" si="29"/>
        <v>0</v>
      </c>
      <c r="AV20">
        <f t="shared" si="30"/>
        <v>0</v>
      </c>
      <c r="AW20">
        <f t="shared" si="31"/>
        <v>0</v>
      </c>
      <c r="AX20">
        <f t="shared" si="32"/>
        <v>0</v>
      </c>
      <c r="AY20">
        <f t="shared" si="33"/>
        <v>0</v>
      </c>
      <c r="AZ20">
        <f t="shared" si="34"/>
        <v>0</v>
      </c>
      <c r="BA20">
        <f t="shared" si="34"/>
        <v>0</v>
      </c>
      <c r="BE20">
        <f t="shared" si="39"/>
        <v>2027</v>
      </c>
      <c r="BF20" s="131">
        <f>IFERROR(VLOOKUP($O20,'Table 3 ID Wind_2030'!$B$10:$K$37,10,FALSE),0)</f>
        <v>0</v>
      </c>
      <c r="BG20" s="131">
        <f>IFERROR(VLOOKUP($O20,'Table 3 WYAE Wind_2024'!$B$10:$L$37,11,FALSE),0)</f>
        <v>178.72020833333335</v>
      </c>
      <c r="BH20" s="131">
        <f>IFERROR(VLOOKUP($O20,'Table 3 YK Wind wS_2029'!$B$10:$K$37,10,FALSE),0)</f>
        <v>0</v>
      </c>
      <c r="BI20" s="357"/>
      <c r="BJ20" s="131">
        <f>IFERROR(VLOOKUP($O20,'Table 3 ID Wind wS_2032'!$B$10:$K$38,10,FALSE),0)</f>
        <v>0</v>
      </c>
      <c r="BK20" s="131">
        <f>IFERROR(VLOOKUP($O20,'Table 3 PV wS YK_2024'!$B$10:$K$40,10,FALSE),0)</f>
        <v>101</v>
      </c>
      <c r="BL20" s="357"/>
      <c r="BM20" s="131">
        <f>IFERROR(VLOOKUP($O20,'Table 3 PV wS SO_2024'!$B$10:$K$40,10,FALSE),0)</f>
        <v>100.67</v>
      </c>
      <c r="BN20" s="357"/>
      <c r="BO20" s="131">
        <f>IFERROR(VLOOKUP($O20,'Table 3 PV wS UTN_2024'!$B$10:$K$40,10,FALSE),0)</f>
        <v>99.81</v>
      </c>
      <c r="BP20" s="131">
        <f>IFERROR(VLOOKUP($O20,'Table 3 PV wS JB_2024'!$B$10:$K$40,10,FALSE),0)</f>
        <v>96.94</v>
      </c>
      <c r="BQ20" s="131">
        <f>IFERROR(VLOOKUP($O20,'Table 3 PV wS JB_2029'!$B$10:$K$40,10,FALSE),0)</f>
        <v>30.25</v>
      </c>
      <c r="BR20" s="357"/>
      <c r="BS20" s="131">
        <f>IFERROR(VLOOKUP($O20,'Table 3 PV wS UTS_2024'!$B$10:$K$38,10,FALSE),0)</f>
        <v>98.649999999999991</v>
      </c>
      <c r="BT20" s="131">
        <f>IFERROR(VLOOKUP($O20,'Table 3 PV wS UTS_2030'!$B$10:$K$38,10,FALSE),0)</f>
        <v>30.25</v>
      </c>
      <c r="BU20" s="356"/>
      <c r="BV20" s="131">
        <f>IFERROR(VLOOKUP($O20,'Table 3 185 MW (NTN) 2026)'!$B$13:$L$40,11,FALSE),0)</f>
        <v>115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2.396290759456742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42"/>
        <v>2.396290759456742</v>
      </c>
      <c r="CW20">
        <f t="shared" si="36"/>
        <v>2027</v>
      </c>
      <c r="CX20" s="89">
        <f>IFERROR(VLOOKUP($CW20,'Table 3 TransCost'!$B$10:$E$40,4,FALSE),0)</f>
        <v>51.13</v>
      </c>
      <c r="CY20" s="177">
        <f t="shared" si="40"/>
        <v>0</v>
      </c>
    </row>
    <row r="21" spans="2:103">
      <c r="B21" s="15">
        <f t="shared" si="37"/>
        <v>2028</v>
      </c>
      <c r="C21" s="9">
        <f t="shared" si="19"/>
        <v>30.627235929099477</v>
      </c>
      <c r="D21" s="45"/>
      <c r="E21" s="9">
        <f t="shared" ca="1" si="38"/>
        <v>3.6150488393639195</v>
      </c>
      <c r="F21" s="37"/>
      <c r="G21" s="14">
        <f t="shared" ca="1" si="41"/>
        <v>14.891018208298618</v>
      </c>
      <c r="H21" s="36"/>
      <c r="I21" s="177"/>
      <c r="J21" s="177"/>
      <c r="M21" s="113"/>
      <c r="O21">
        <f t="shared" si="20"/>
        <v>2028</v>
      </c>
      <c r="P21">
        <v>0</v>
      </c>
      <c r="Q21">
        <v>0</v>
      </c>
      <c r="R21" s="355">
        <v>0</v>
      </c>
      <c r="S21" s="355">
        <v>0</v>
      </c>
      <c r="T21" s="177">
        <v>0</v>
      </c>
      <c r="U21" s="355">
        <v>0</v>
      </c>
      <c r="V21" s="355">
        <v>0</v>
      </c>
      <c r="W21" s="355">
        <v>0</v>
      </c>
      <c r="X21" s="355">
        <v>0</v>
      </c>
      <c r="Y21" s="355">
        <v>0</v>
      </c>
      <c r="Z21" s="355">
        <v>0</v>
      </c>
      <c r="AA21" s="355">
        <v>0</v>
      </c>
      <c r="AB21" s="355">
        <v>0</v>
      </c>
      <c r="AC21" s="355">
        <v>0</v>
      </c>
      <c r="AD21" s="355">
        <v>0</v>
      </c>
      <c r="AE21" s="355">
        <v>0</v>
      </c>
      <c r="AF21" s="355">
        <v>0</v>
      </c>
      <c r="AK21">
        <f t="shared" si="21"/>
        <v>0</v>
      </c>
      <c r="AL21">
        <f t="shared" si="22"/>
        <v>0</v>
      </c>
      <c r="AM21">
        <f t="shared" si="23"/>
        <v>0</v>
      </c>
      <c r="AN21">
        <f t="shared" si="24"/>
        <v>0</v>
      </c>
      <c r="AO21">
        <f t="shared" si="24"/>
        <v>0</v>
      </c>
      <c r="AP21">
        <f t="shared" si="25"/>
        <v>0</v>
      </c>
      <c r="AQ21">
        <f t="shared" si="26"/>
        <v>0</v>
      </c>
      <c r="AR21">
        <f t="shared" si="27"/>
        <v>0</v>
      </c>
      <c r="AS21">
        <f t="shared" si="28"/>
        <v>0</v>
      </c>
      <c r="AT21">
        <f t="shared" si="28"/>
        <v>0</v>
      </c>
      <c r="AU21">
        <f t="shared" si="29"/>
        <v>0</v>
      </c>
      <c r="AV21">
        <f t="shared" si="30"/>
        <v>0</v>
      </c>
      <c r="AW21">
        <f t="shared" si="31"/>
        <v>0</v>
      </c>
      <c r="AX21">
        <f t="shared" si="32"/>
        <v>0</v>
      </c>
      <c r="AY21">
        <f t="shared" si="33"/>
        <v>0</v>
      </c>
      <c r="AZ21">
        <f t="shared" si="34"/>
        <v>0</v>
      </c>
      <c r="BA21">
        <f t="shared" si="34"/>
        <v>0</v>
      </c>
      <c r="BE21">
        <f t="shared" si="39"/>
        <v>2028</v>
      </c>
      <c r="BF21" s="131">
        <f>IFERROR(VLOOKUP($O21,'Table 3 ID Wind_2030'!$B$10:$K$37,10,FALSE),0)</f>
        <v>0</v>
      </c>
      <c r="BG21" s="131">
        <f>IFERROR(VLOOKUP($O21,'Table 3 WYAE Wind_2024'!$B$10:$L$37,11,FALSE),0)</f>
        <v>182.75010416666666</v>
      </c>
      <c r="BH21" s="131">
        <f>IFERROR(VLOOKUP($O21,'Table 3 YK Wind wS_2029'!$B$10:$K$37,10,FALSE),0)</f>
        <v>0</v>
      </c>
      <c r="BI21" s="357"/>
      <c r="BJ21" s="131">
        <f>IFERROR(VLOOKUP($O21,'Table 3 ID Wind wS_2032'!$B$10:$K$38,10,FALSE),0)</f>
        <v>0</v>
      </c>
      <c r="BK21" s="131">
        <f>IFERROR(VLOOKUP($O21,'Table 3 PV wS YK_2024'!$B$10:$K$40,10,FALSE),0)</f>
        <v>103.27000000000001</v>
      </c>
      <c r="BL21" s="357"/>
      <c r="BM21" s="131">
        <f>IFERROR(VLOOKUP($O21,'Table 3 PV wS SO_2024'!$B$10:$K$40,10,FALSE),0)</f>
        <v>102.93</v>
      </c>
      <c r="BN21" s="357"/>
      <c r="BO21" s="131">
        <f>IFERROR(VLOOKUP($O21,'Table 3 PV wS UTN_2024'!$B$10:$K$40,10,FALSE),0)</f>
        <v>102.04999999999998</v>
      </c>
      <c r="BP21" s="131">
        <f>IFERROR(VLOOKUP($O21,'Table 3 PV wS JB_2024'!$B$10:$K$40,10,FALSE),0)</f>
        <v>99.12</v>
      </c>
      <c r="BQ21" s="131">
        <f>IFERROR(VLOOKUP($O21,'Table 3 PV wS JB_2029'!$B$10:$K$40,10,FALSE),0)</f>
        <v>30.93</v>
      </c>
      <c r="BR21" s="357"/>
      <c r="BS21" s="131">
        <f>IFERROR(VLOOKUP($O21,'Table 3 PV wS UTS_2024'!$B$10:$K$38,10,FALSE),0)</f>
        <v>100.86999999999999</v>
      </c>
      <c r="BT21" s="131">
        <f>IFERROR(VLOOKUP($O21,'Table 3 PV wS UTS_2030'!$B$10:$K$38,10,FALSE),0)</f>
        <v>30.93</v>
      </c>
      <c r="BU21" s="356"/>
      <c r="BV21" s="131">
        <f>IFERROR(VLOOKUP($O21,'Table 3 185 MW (NTN) 2026)'!$B$13:$L$40,11,FALSE),0)</f>
        <v>117.55000000000001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2.4501788743279582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42"/>
        <v>2.4501788743279582</v>
      </c>
      <c r="CW21">
        <f t="shared" si="36"/>
        <v>2028</v>
      </c>
      <c r="CX21" s="89">
        <f>IFERROR(VLOOKUP($CW21,'Table 3 TransCost'!$B$10:$E$40,4,FALSE),0)</f>
        <v>52.28</v>
      </c>
      <c r="CY21" s="177">
        <f t="shared" si="40"/>
        <v>0</v>
      </c>
    </row>
    <row r="22" spans="2:103">
      <c r="B22" s="15">
        <f t="shared" si="37"/>
        <v>2029</v>
      </c>
      <c r="C22" s="9">
        <f t="shared" si="19"/>
        <v>31.322466768894408</v>
      </c>
      <c r="D22" s="45"/>
      <c r="E22" s="9">
        <f t="shared" ca="1" si="38"/>
        <v>3.3735383974705435</v>
      </c>
      <c r="F22" s="37"/>
      <c r="G22" s="14">
        <f t="shared" ca="1" si="41"/>
        <v>14.994633649999715</v>
      </c>
      <c r="H22" s="36"/>
      <c r="I22" s="177"/>
      <c r="J22" s="177"/>
      <c r="M22" s="113"/>
      <c r="O22">
        <f t="shared" si="20"/>
        <v>2029</v>
      </c>
      <c r="P22">
        <v>0</v>
      </c>
      <c r="Q22">
        <v>0</v>
      </c>
      <c r="R22" s="355">
        <v>0</v>
      </c>
      <c r="S22" s="355">
        <v>0</v>
      </c>
      <c r="T22" s="177">
        <v>0</v>
      </c>
      <c r="U22" s="355">
        <v>0</v>
      </c>
      <c r="V22" s="355">
        <v>0</v>
      </c>
      <c r="W22" s="355">
        <v>0</v>
      </c>
      <c r="X22" s="355">
        <v>0</v>
      </c>
      <c r="Y22" s="355">
        <v>0</v>
      </c>
      <c r="Z22" s="355">
        <v>0</v>
      </c>
      <c r="AA22" s="355">
        <v>0</v>
      </c>
      <c r="AB22" s="355">
        <v>0</v>
      </c>
      <c r="AC22" s="355">
        <v>0</v>
      </c>
      <c r="AD22" s="355">
        <v>0</v>
      </c>
      <c r="AE22" s="355">
        <v>0</v>
      </c>
      <c r="AF22" s="355">
        <v>0</v>
      </c>
      <c r="AK22">
        <f t="shared" si="21"/>
        <v>0</v>
      </c>
      <c r="AL22">
        <f t="shared" si="22"/>
        <v>0</v>
      </c>
      <c r="AM22">
        <f t="shared" si="23"/>
        <v>0</v>
      </c>
      <c r="AN22">
        <f t="shared" si="24"/>
        <v>0</v>
      </c>
      <c r="AO22">
        <f t="shared" si="24"/>
        <v>0</v>
      </c>
      <c r="AP22">
        <f t="shared" si="25"/>
        <v>0</v>
      </c>
      <c r="AQ22">
        <f t="shared" si="26"/>
        <v>0</v>
      </c>
      <c r="AR22">
        <f t="shared" si="27"/>
        <v>0</v>
      </c>
      <c r="AS22">
        <f t="shared" si="28"/>
        <v>0</v>
      </c>
      <c r="AT22">
        <f t="shared" si="28"/>
        <v>0</v>
      </c>
      <c r="AU22">
        <f t="shared" si="29"/>
        <v>0</v>
      </c>
      <c r="AV22">
        <f t="shared" si="30"/>
        <v>0</v>
      </c>
      <c r="AW22">
        <f t="shared" si="31"/>
        <v>0</v>
      </c>
      <c r="AX22">
        <f t="shared" si="32"/>
        <v>0</v>
      </c>
      <c r="AY22">
        <f t="shared" si="33"/>
        <v>0</v>
      </c>
      <c r="AZ22">
        <f t="shared" si="34"/>
        <v>0</v>
      </c>
      <c r="BA22">
        <f t="shared" si="34"/>
        <v>0</v>
      </c>
      <c r="BE22">
        <f t="shared" si="39"/>
        <v>2029</v>
      </c>
      <c r="BF22" s="131">
        <f>IFERROR(VLOOKUP($O22,'Table 3 ID Wind_2030'!$B$10:$K$37,10,FALSE),0)</f>
        <v>0</v>
      </c>
      <c r="BG22" s="131">
        <f>IFERROR(VLOOKUP($O22,'Table 3 WYAE Wind_2024'!$B$10:$L$37,11,FALSE),0)</f>
        <v>186.90989583333334</v>
      </c>
      <c r="BH22" s="131">
        <f>IFERROR(VLOOKUP($O22,'Table 3 YK Wind wS_2029'!$B$10:$K$37,10,FALSE),0)</f>
        <v>143.38474081632654</v>
      </c>
      <c r="BI22" s="357"/>
      <c r="BJ22" s="131">
        <f>IFERROR(VLOOKUP($O22,'Table 3 ID Wind wS_2032'!$B$10:$K$38,10,FALSE),0)</f>
        <v>0</v>
      </c>
      <c r="BK22" s="131">
        <f>IFERROR(VLOOKUP($O22,'Table 3 PV wS YK_2024'!$B$10:$K$40,10,FALSE),0)</f>
        <v>105.61999999999999</v>
      </c>
      <c r="BL22" s="357"/>
      <c r="BM22" s="131">
        <f>IFERROR(VLOOKUP($O22,'Table 3 PV wS SO_2024'!$B$10:$K$40,10,FALSE),0)</f>
        <v>105.27</v>
      </c>
      <c r="BN22" s="357"/>
      <c r="BO22" s="131">
        <f>IFERROR(VLOOKUP($O22,'Table 3 PV wS UTN_2024'!$B$10:$K$40,10,FALSE),0)</f>
        <v>104.35999999999999</v>
      </c>
      <c r="BP22" s="131">
        <f>IFERROR(VLOOKUP($O22,'Table 3 PV wS JB_2024'!$B$10:$K$40,10,FALSE),0)</f>
        <v>101.36999999999999</v>
      </c>
      <c r="BQ22" s="131">
        <f>IFERROR(VLOOKUP($O22,'Table 3 PV wS JB_2029'!$B$10:$K$40,10,FALSE),0)</f>
        <v>93.158924457429038</v>
      </c>
      <c r="BR22" s="357"/>
      <c r="BS22" s="131">
        <f>IFERROR(VLOOKUP($O22,'Table 3 PV wS UTS_2024'!$B$10:$K$38,10,FALSE),0)</f>
        <v>103.16</v>
      </c>
      <c r="BT22" s="131">
        <f>IFERROR(VLOOKUP($O22,'Table 3 PV wS UTS_2030'!$B$10:$K$38,10,FALSE),0)</f>
        <v>31.63</v>
      </c>
      <c r="BU22" s="356"/>
      <c r="BV22" s="131">
        <f>IFERROR(VLOOKUP($O22,'Table 3 185 MW (NTN) 2026)'!$B$13:$L$40,11,FALSE),0)</f>
        <v>120.23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2.5057973415115526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42"/>
        <v>2.5057973415115526</v>
      </c>
      <c r="CW22">
        <f t="shared" si="36"/>
        <v>2029</v>
      </c>
      <c r="CX22" s="89">
        <f>IFERROR(VLOOKUP($CW22,'Table 3 TransCost'!$B$10:$E$40,4,FALSE),0)</f>
        <v>53.47</v>
      </c>
      <c r="CY22" s="177">
        <f t="shared" si="40"/>
        <v>0</v>
      </c>
    </row>
    <row r="23" spans="2:103">
      <c r="B23" s="15">
        <f t="shared" si="37"/>
        <v>2030</v>
      </c>
      <c r="C23" s="9">
        <f t="shared" si="19"/>
        <v>32.02387743837641</v>
      </c>
      <c r="D23" s="45"/>
      <c r="E23" s="9">
        <f t="shared" ca="1" si="38"/>
        <v>2.4207517431281929</v>
      </c>
      <c r="F23" s="37"/>
      <c r="G23" s="14">
        <f t="shared" ca="1" si="41"/>
        <v>14.361785937048337</v>
      </c>
      <c r="H23" s="36"/>
      <c r="I23" s="177"/>
      <c r="J23" s="177"/>
      <c r="M23" s="113"/>
      <c r="O23">
        <f t="shared" si="20"/>
        <v>2030</v>
      </c>
      <c r="P23">
        <v>0</v>
      </c>
      <c r="Q23">
        <v>0</v>
      </c>
      <c r="R23" s="355">
        <v>0</v>
      </c>
      <c r="S23" s="355">
        <v>0</v>
      </c>
      <c r="T23" s="177">
        <v>0</v>
      </c>
      <c r="U23" s="355">
        <v>0</v>
      </c>
      <c r="V23" s="355">
        <v>0</v>
      </c>
      <c r="W23" s="355">
        <v>0</v>
      </c>
      <c r="X23" s="355">
        <v>0</v>
      </c>
      <c r="Y23" s="355">
        <v>0</v>
      </c>
      <c r="Z23" s="355">
        <v>0</v>
      </c>
      <c r="AA23" s="355">
        <v>0</v>
      </c>
      <c r="AB23" s="355">
        <v>0</v>
      </c>
      <c r="AC23" s="355">
        <v>0</v>
      </c>
      <c r="AD23" s="355">
        <v>0</v>
      </c>
      <c r="AE23" s="355">
        <v>0</v>
      </c>
      <c r="AF23" s="355">
        <v>0</v>
      </c>
      <c r="AK23">
        <f t="shared" si="21"/>
        <v>0</v>
      </c>
      <c r="AL23">
        <f t="shared" si="22"/>
        <v>0</v>
      </c>
      <c r="AM23">
        <f t="shared" si="23"/>
        <v>0</v>
      </c>
      <c r="AN23">
        <f t="shared" si="24"/>
        <v>0</v>
      </c>
      <c r="AO23">
        <f t="shared" si="24"/>
        <v>0</v>
      </c>
      <c r="AP23">
        <f t="shared" si="25"/>
        <v>0</v>
      </c>
      <c r="AQ23">
        <f t="shared" si="26"/>
        <v>0</v>
      </c>
      <c r="AR23">
        <f t="shared" si="27"/>
        <v>0</v>
      </c>
      <c r="AS23">
        <f t="shared" si="28"/>
        <v>0</v>
      </c>
      <c r="AT23">
        <f t="shared" si="28"/>
        <v>0</v>
      </c>
      <c r="AU23">
        <f t="shared" si="29"/>
        <v>0</v>
      </c>
      <c r="AV23">
        <f t="shared" si="30"/>
        <v>0</v>
      </c>
      <c r="AW23">
        <f t="shared" si="31"/>
        <v>0</v>
      </c>
      <c r="AX23">
        <f t="shared" si="32"/>
        <v>0</v>
      </c>
      <c r="AY23">
        <f t="shared" si="33"/>
        <v>0</v>
      </c>
      <c r="AZ23">
        <f t="shared" si="34"/>
        <v>0</v>
      </c>
      <c r="BA23">
        <f t="shared" si="34"/>
        <v>0</v>
      </c>
      <c r="BE23">
        <f t="shared" si="39"/>
        <v>2030</v>
      </c>
      <c r="BF23" s="131">
        <f>IFERROR(VLOOKUP($O23,'Table 3 ID Wind_2030'!$B$10:$K$37,10,FALSE),0)</f>
        <v>136.2952817537722</v>
      </c>
      <c r="BG23" s="131">
        <f>IFERROR(VLOOKUP($O23,'Table 3 WYAE Wind_2024'!$B$10:$L$37,11,FALSE),0)</f>
        <v>191.11</v>
      </c>
      <c r="BH23" s="131">
        <f>IFERROR(VLOOKUP($O23,'Table 3 YK Wind wS_2029'!$B$10:$K$37,10,FALSE),0)</f>
        <v>146.55020408163264</v>
      </c>
      <c r="BI23" s="357"/>
      <c r="BJ23" s="131">
        <f>IFERROR(VLOOKUP($O23,'Table 3 ID Wind wS_2032'!$B$10:$K$38,10,FALSE),0)</f>
        <v>0</v>
      </c>
      <c r="BK23" s="131">
        <f>IFERROR(VLOOKUP($O23,'Table 3 PV wS YK_2024'!$B$10:$K$40,10,FALSE),0)</f>
        <v>107.99000000000001</v>
      </c>
      <c r="BL23" s="357"/>
      <c r="BM23" s="131">
        <f>IFERROR(VLOOKUP($O23,'Table 3 PV wS SO_2024'!$B$10:$K$40,10,FALSE),0)</f>
        <v>107.63000000000001</v>
      </c>
      <c r="BN23" s="357"/>
      <c r="BO23" s="131">
        <f>IFERROR(VLOOKUP($O23,'Table 3 PV wS UTN_2024'!$B$10:$K$40,10,FALSE),0)</f>
        <v>106.7</v>
      </c>
      <c r="BP23" s="131">
        <f>IFERROR(VLOOKUP($O23,'Table 3 PV wS JB_2024'!$B$10:$K$40,10,FALSE),0)</f>
        <v>103.64</v>
      </c>
      <c r="BQ23" s="131">
        <f>IFERROR(VLOOKUP($O23,'Table 3 PV wS JB_2029'!$B$10:$K$40,10,FALSE),0)</f>
        <v>95.25</v>
      </c>
      <c r="BR23" s="357"/>
      <c r="BS23" s="131">
        <f>IFERROR(VLOOKUP($O23,'Table 3 PV wS UTS_2024'!$B$10:$K$38,10,FALSE),0)</f>
        <v>105.48</v>
      </c>
      <c r="BT23" s="131">
        <f>IFERROR(VLOOKUP($O23,'Table 3 PV wS UTS_2030'!$B$10:$K$38,10,FALSE),0)</f>
        <v>135.51129714599963</v>
      </c>
      <c r="BU23" s="356"/>
      <c r="BV23" s="131">
        <f>IFERROR(VLOOKUP($O23,'Table 3 185 MW (NTN) 2026)'!$B$13:$L$40,11,FALSE),0)</f>
        <v>122.91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2.5619101950701131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42"/>
        <v>2.5619101950701131</v>
      </c>
      <c r="CW23">
        <f t="shared" si="36"/>
        <v>2030</v>
      </c>
      <c r="CX23" s="89">
        <f>IFERROR(VLOOKUP($CW23,'Table 3 TransCost'!$B$10:$E$40,4,FALSE),0)</f>
        <v>54.669999999999995</v>
      </c>
      <c r="CY23" s="177">
        <f t="shared" si="40"/>
        <v>0</v>
      </c>
    </row>
    <row r="24" spans="2:103">
      <c r="B24" s="15">
        <f t="shared" si="37"/>
        <v>2031</v>
      </c>
      <c r="C24" s="9">
        <f t="shared" si="19"/>
        <v>32.725288107858411</v>
      </c>
      <c r="D24" s="45"/>
      <c r="E24" s="9">
        <f t="shared" ca="1" si="38"/>
        <v>3.6654127693911707</v>
      </c>
      <c r="F24" s="37"/>
      <c r="G24" s="14">
        <f t="shared" ca="1" si="41"/>
        <v>15.929307747115232</v>
      </c>
      <c r="H24" s="36"/>
      <c r="I24" s="177"/>
      <c r="J24" s="177"/>
      <c r="M24" s="113"/>
      <c r="O24">
        <f t="shared" si="20"/>
        <v>2031</v>
      </c>
      <c r="P24">
        <v>0</v>
      </c>
      <c r="Q24">
        <v>0</v>
      </c>
      <c r="R24" s="355">
        <v>0</v>
      </c>
      <c r="S24" s="355">
        <v>0</v>
      </c>
      <c r="T24" s="177">
        <v>0</v>
      </c>
      <c r="U24" s="355">
        <v>0</v>
      </c>
      <c r="V24" s="355">
        <v>0</v>
      </c>
      <c r="W24" s="355">
        <v>0</v>
      </c>
      <c r="X24" s="355">
        <v>0</v>
      </c>
      <c r="Y24" s="355">
        <v>0</v>
      </c>
      <c r="Z24" s="355">
        <v>0</v>
      </c>
      <c r="AA24" s="355">
        <v>0</v>
      </c>
      <c r="AB24" s="355">
        <v>0</v>
      </c>
      <c r="AC24" s="355">
        <v>0</v>
      </c>
      <c r="AD24" s="355">
        <v>0</v>
      </c>
      <c r="AE24" s="355">
        <v>0</v>
      </c>
      <c r="AF24" s="355">
        <v>0</v>
      </c>
      <c r="AK24">
        <f t="shared" si="21"/>
        <v>0</v>
      </c>
      <c r="AL24">
        <f t="shared" si="22"/>
        <v>0</v>
      </c>
      <c r="AM24">
        <f t="shared" si="23"/>
        <v>0</v>
      </c>
      <c r="AN24">
        <f t="shared" si="24"/>
        <v>0</v>
      </c>
      <c r="AO24">
        <f t="shared" si="24"/>
        <v>0</v>
      </c>
      <c r="AP24">
        <f t="shared" si="25"/>
        <v>0</v>
      </c>
      <c r="AQ24">
        <f t="shared" si="26"/>
        <v>0</v>
      </c>
      <c r="AR24">
        <f t="shared" si="27"/>
        <v>0</v>
      </c>
      <c r="AS24">
        <f t="shared" si="28"/>
        <v>0</v>
      </c>
      <c r="AT24">
        <f t="shared" si="28"/>
        <v>0</v>
      </c>
      <c r="AU24">
        <f t="shared" si="29"/>
        <v>0</v>
      </c>
      <c r="AV24">
        <f t="shared" si="30"/>
        <v>0</v>
      </c>
      <c r="AW24">
        <f t="shared" si="31"/>
        <v>0</v>
      </c>
      <c r="AX24">
        <f t="shared" si="32"/>
        <v>0</v>
      </c>
      <c r="AY24">
        <f t="shared" si="33"/>
        <v>0</v>
      </c>
      <c r="AZ24">
        <f t="shared" si="34"/>
        <v>0</v>
      </c>
      <c r="BA24">
        <f t="shared" si="34"/>
        <v>0</v>
      </c>
      <c r="BE24">
        <f t="shared" si="39"/>
        <v>2031</v>
      </c>
      <c r="BF24" s="131">
        <f>IFERROR(VLOOKUP($O24,'Table 3 ID Wind_2030'!$B$10:$K$37,10,FALSE),0)</f>
        <v>139.31004232397078</v>
      </c>
      <c r="BG24" s="131">
        <f>IFERROR(VLOOKUP($O24,'Table 3 WYAE Wind_2024'!$B$10:$L$37,11,FALSE),0)</f>
        <v>195.32989583333332</v>
      </c>
      <c r="BH24" s="131">
        <f>IFERROR(VLOOKUP($O24,'Table 3 YK Wind wS_2029'!$B$10:$K$37,10,FALSE),0)</f>
        <v>149.81244897959184</v>
      </c>
      <c r="BI24" s="357"/>
      <c r="BJ24" s="131">
        <f>IFERROR(VLOOKUP($O24,'Table 3 ID Wind wS_2032'!$B$10:$K$38,10,FALSE),0)</f>
        <v>0</v>
      </c>
      <c r="BK24" s="131">
        <f>IFERROR(VLOOKUP($O24,'Table 3 PV wS YK_2024'!$B$10:$K$40,10,FALSE),0)</f>
        <v>110.35999999999999</v>
      </c>
      <c r="BL24" s="357"/>
      <c r="BM24" s="131">
        <f>IFERROR(VLOOKUP($O24,'Table 3 PV wS SO_2024'!$B$10:$K$40,10,FALSE),0)</f>
        <v>109.99</v>
      </c>
      <c r="BN24" s="357"/>
      <c r="BO24" s="131">
        <f>IFERROR(VLOOKUP($O24,'Table 3 PV wS UTN_2024'!$B$10:$K$40,10,FALSE),0)</f>
        <v>109.03</v>
      </c>
      <c r="BP24" s="131">
        <f>IFERROR(VLOOKUP($O24,'Table 3 PV wS JB_2024'!$B$10:$K$40,10,FALSE),0)</f>
        <v>105.91</v>
      </c>
      <c r="BQ24" s="131">
        <f>IFERROR(VLOOKUP($O24,'Table 3 PV wS JB_2029'!$B$10:$K$40,10,FALSE),0)</f>
        <v>97.34</v>
      </c>
      <c r="BR24" s="357"/>
      <c r="BS24" s="131">
        <f>IFERROR(VLOOKUP($O24,'Table 3 PV wS UTS_2024'!$B$10:$K$38,10,FALSE),0)</f>
        <v>107.79</v>
      </c>
      <c r="BT24" s="131">
        <f>IFERROR(VLOOKUP($O24,'Table 3 PV wS UTS_2030'!$B$10:$K$38,10,FALSE),0)</f>
        <v>138.47999999999999</v>
      </c>
      <c r="BU24" s="356"/>
      <c r="BV24" s="131">
        <f>IFERROR(VLOOKUP($O24,'Table 3 185 MW (NTN) 2026)'!$B$13:$L$40,11,FALSE),0)</f>
        <v>125.58000000000001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2.6180230486286726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42"/>
        <v>2.6180230486286726</v>
      </c>
      <c r="CW24">
        <f t="shared" si="36"/>
        <v>2031</v>
      </c>
      <c r="CX24" s="89">
        <f>IFERROR(VLOOKUP($CW24,'Table 3 TransCost'!$B$10:$E$40,4,FALSE),0)</f>
        <v>55.87</v>
      </c>
      <c r="CY24" s="177">
        <f t="shared" si="40"/>
        <v>0</v>
      </c>
    </row>
    <row r="25" spans="2:103">
      <c r="B25" s="15">
        <f t="shared" si="37"/>
        <v>2032</v>
      </c>
      <c r="C25" s="9">
        <f t="shared" si="19"/>
        <v>33.429788692183941</v>
      </c>
      <c r="D25" s="45"/>
      <c r="E25" s="9">
        <f t="shared" ca="1" si="38"/>
        <v>2.6592148443618671</v>
      </c>
      <c r="F25" s="37"/>
      <c r="G25" s="14">
        <f t="shared" ca="1" si="41"/>
        <v>15.216258113605459</v>
      </c>
      <c r="H25" s="36"/>
      <c r="I25" s="177"/>
      <c r="J25" s="177"/>
      <c r="M25" s="113"/>
      <c r="O25">
        <f t="shared" si="20"/>
        <v>2032</v>
      </c>
      <c r="P25">
        <v>0</v>
      </c>
      <c r="Q25">
        <v>0</v>
      </c>
      <c r="R25" s="355">
        <v>0</v>
      </c>
      <c r="S25" s="355">
        <v>0</v>
      </c>
      <c r="T25" s="177">
        <v>0</v>
      </c>
      <c r="U25" s="355">
        <v>0</v>
      </c>
      <c r="V25" s="355">
        <v>0</v>
      </c>
      <c r="W25" s="355">
        <v>0</v>
      </c>
      <c r="X25" s="355">
        <v>0</v>
      </c>
      <c r="Y25" s="355">
        <v>0</v>
      </c>
      <c r="Z25" s="355">
        <v>0</v>
      </c>
      <c r="AA25" s="355">
        <v>0</v>
      </c>
      <c r="AB25" s="355">
        <v>0</v>
      </c>
      <c r="AC25" s="355">
        <v>0</v>
      </c>
      <c r="AD25" s="355">
        <v>0</v>
      </c>
      <c r="AE25" s="355">
        <v>0</v>
      </c>
      <c r="AF25" s="355">
        <v>0</v>
      </c>
      <c r="AK25">
        <f t="shared" si="21"/>
        <v>0</v>
      </c>
      <c r="AL25">
        <f t="shared" si="22"/>
        <v>0</v>
      </c>
      <c r="AM25">
        <f t="shared" si="23"/>
        <v>0</v>
      </c>
      <c r="AN25">
        <f t="shared" si="24"/>
        <v>0</v>
      </c>
      <c r="AO25">
        <f t="shared" si="24"/>
        <v>0</v>
      </c>
      <c r="AP25">
        <f t="shared" si="25"/>
        <v>0</v>
      </c>
      <c r="AQ25">
        <f t="shared" si="26"/>
        <v>0</v>
      </c>
      <c r="AR25">
        <f t="shared" si="27"/>
        <v>0</v>
      </c>
      <c r="AS25">
        <f t="shared" si="28"/>
        <v>0</v>
      </c>
      <c r="AT25">
        <f t="shared" si="28"/>
        <v>0</v>
      </c>
      <c r="AU25">
        <f t="shared" si="29"/>
        <v>0</v>
      </c>
      <c r="AV25">
        <f t="shared" si="30"/>
        <v>0</v>
      </c>
      <c r="AW25">
        <f t="shared" si="31"/>
        <v>0</v>
      </c>
      <c r="AX25">
        <f t="shared" si="32"/>
        <v>0</v>
      </c>
      <c r="AY25">
        <f t="shared" si="33"/>
        <v>0</v>
      </c>
      <c r="AZ25">
        <f t="shared" si="34"/>
        <v>0</v>
      </c>
      <c r="BA25">
        <f t="shared" si="34"/>
        <v>0</v>
      </c>
      <c r="BE25">
        <f t="shared" si="39"/>
        <v>2032</v>
      </c>
      <c r="BF25" s="131">
        <f>IFERROR(VLOOKUP($O25,'Table 3 ID Wind_2030'!$B$10:$K$37,10,FALSE),0)</f>
        <v>142.37018853405155</v>
      </c>
      <c r="BG25" s="131">
        <f>IFERROR(VLOOKUP($O25,'Table 3 WYAE Wind_2024'!$B$10:$L$37,11,FALSE),0)</f>
        <v>199.60010416666665</v>
      </c>
      <c r="BH25" s="131">
        <f>IFERROR(VLOOKUP($O25,'Table 3 YK Wind wS_2029'!$B$10:$K$37,10,FALSE),0)</f>
        <v>153.09469387755101</v>
      </c>
      <c r="BI25" s="357"/>
      <c r="BJ25" s="131">
        <f>IFERROR(VLOOKUP($O25,'Table 3 ID Wind wS_2032'!$B$10:$K$38,10,FALSE),0)</f>
        <v>154.69594420529799</v>
      </c>
      <c r="BK25" s="131">
        <f>IFERROR(VLOOKUP($O25,'Table 3 PV wS YK_2024'!$B$10:$K$40,10,FALSE),0)</f>
        <v>112.74000000000001</v>
      </c>
      <c r="BL25" s="357"/>
      <c r="BM25" s="131">
        <f>IFERROR(VLOOKUP($O25,'Table 3 PV wS SO_2024'!$B$10:$K$40,10,FALSE),0)</f>
        <v>112.35999999999999</v>
      </c>
      <c r="BN25" s="357"/>
      <c r="BO25" s="131">
        <f>IFERROR(VLOOKUP($O25,'Table 3 PV wS UTN_2024'!$B$10:$K$40,10,FALSE),0)</f>
        <v>111.37</v>
      </c>
      <c r="BP25" s="131">
        <f>IFERROR(VLOOKUP($O25,'Table 3 PV wS JB_2024'!$B$10:$K$40,10,FALSE),0)</f>
        <v>108.19</v>
      </c>
      <c r="BQ25" s="131">
        <f>IFERROR(VLOOKUP($O25,'Table 3 PV wS JB_2029'!$B$10:$K$40,10,FALSE),0)</f>
        <v>99.44</v>
      </c>
      <c r="BR25" s="357"/>
      <c r="BS25" s="131">
        <f>IFERROR(VLOOKUP($O25,'Table 3 PV wS UTS_2024'!$B$10:$K$38,10,FALSE),0)</f>
        <v>110.11</v>
      </c>
      <c r="BT25" s="131">
        <f>IFERROR(VLOOKUP($O25,'Table 3 PV wS UTS_2030'!$B$10:$K$38,10,FALSE),0)</f>
        <v>141.47</v>
      </c>
      <c r="BU25" s="356"/>
      <c r="BV25" s="131">
        <f>IFERROR(VLOOKUP($O25,'Table 3 185 MW (NTN) 2026)'!$B$13:$L$40,11,FALSE),0)</f>
        <v>128.28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2.674383095374715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42"/>
        <v>2.674383095374715</v>
      </c>
      <c r="CW25">
        <f t="shared" si="36"/>
        <v>2032</v>
      </c>
      <c r="CX25" s="89">
        <f>IFERROR(VLOOKUP($CW25,'Table 3 TransCost'!$B$10:$E$40,4,FALSE),0)</f>
        <v>57.080000000000005</v>
      </c>
      <c r="CY25" s="177">
        <f t="shared" si="40"/>
        <v>0</v>
      </c>
    </row>
    <row r="26" spans="2:103">
      <c r="B26" s="15">
        <f t="shared" si="37"/>
        <v>2033</v>
      </c>
      <c r="C26" s="9">
        <f t="shared" si="19"/>
        <v>34.146648935883604</v>
      </c>
      <c r="D26" s="45"/>
      <c r="E26" s="9">
        <f t="shared" ca="1" si="38"/>
        <v>7.8324987837292266</v>
      </c>
      <c r="F26" s="37"/>
      <c r="G26" s="14">
        <f t="shared" ca="1" si="41"/>
        <v>20.757984435943289</v>
      </c>
      <c r="H26" s="36"/>
      <c r="I26" s="177"/>
      <c r="J26" s="177"/>
      <c r="M26" s="113"/>
      <c r="O26">
        <f t="shared" si="20"/>
        <v>2033</v>
      </c>
      <c r="P26">
        <v>0</v>
      </c>
      <c r="Q26">
        <v>0</v>
      </c>
      <c r="R26" s="355">
        <v>0</v>
      </c>
      <c r="S26" s="355">
        <v>0</v>
      </c>
      <c r="T26" s="177">
        <v>0</v>
      </c>
      <c r="U26" s="355">
        <v>0</v>
      </c>
      <c r="V26" s="355">
        <v>0</v>
      </c>
      <c r="W26" s="355">
        <v>0</v>
      </c>
      <c r="X26" s="355">
        <v>0</v>
      </c>
      <c r="Y26" s="355">
        <v>0</v>
      </c>
      <c r="Z26" s="355">
        <v>0</v>
      </c>
      <c r="AA26" s="355">
        <v>0</v>
      </c>
      <c r="AB26" s="355">
        <v>0</v>
      </c>
      <c r="AC26" s="355">
        <v>0</v>
      </c>
      <c r="AD26" s="355">
        <v>0</v>
      </c>
      <c r="AE26" s="355">
        <v>0</v>
      </c>
      <c r="AF26" s="355">
        <v>0</v>
      </c>
      <c r="AK26">
        <f t="shared" si="21"/>
        <v>0</v>
      </c>
      <c r="AL26">
        <f t="shared" si="22"/>
        <v>0</v>
      </c>
      <c r="AM26">
        <f t="shared" si="23"/>
        <v>0</v>
      </c>
      <c r="AN26">
        <f t="shared" si="24"/>
        <v>0</v>
      </c>
      <c r="AO26">
        <f t="shared" si="24"/>
        <v>0</v>
      </c>
      <c r="AP26">
        <f t="shared" si="25"/>
        <v>0</v>
      </c>
      <c r="AQ26">
        <f t="shared" si="26"/>
        <v>0</v>
      </c>
      <c r="AR26">
        <f t="shared" si="27"/>
        <v>0</v>
      </c>
      <c r="AS26">
        <f t="shared" si="28"/>
        <v>0</v>
      </c>
      <c r="AT26">
        <f t="shared" si="28"/>
        <v>0</v>
      </c>
      <c r="AU26">
        <f t="shared" si="29"/>
        <v>0</v>
      </c>
      <c r="AV26">
        <f t="shared" si="30"/>
        <v>0</v>
      </c>
      <c r="AW26">
        <f t="shared" si="31"/>
        <v>0</v>
      </c>
      <c r="AX26">
        <f t="shared" si="32"/>
        <v>0</v>
      </c>
      <c r="AY26">
        <f t="shared" si="33"/>
        <v>0</v>
      </c>
      <c r="AZ26">
        <f t="shared" si="34"/>
        <v>0</v>
      </c>
      <c r="BA26">
        <f t="shared" si="34"/>
        <v>0</v>
      </c>
      <c r="BE26">
        <f t="shared" si="39"/>
        <v>2033</v>
      </c>
      <c r="BF26" s="131">
        <f>IFERROR(VLOOKUP($O26,'Table 3 ID Wind_2030'!$B$10:$K$37,10,FALSE),0)</f>
        <v>145.47957291265874</v>
      </c>
      <c r="BG26" s="131">
        <f>IFERROR(VLOOKUP($O26,'Table 3 WYAE Wind_2024'!$B$10:$L$37,11,FALSE),0)</f>
        <v>203.93010416666664</v>
      </c>
      <c r="BH26" s="131">
        <f>IFERROR(VLOOKUP($O26,'Table 3 YK Wind wS_2029'!$B$10:$K$37,10,FALSE),0)</f>
        <v>156.4169387755102</v>
      </c>
      <c r="BI26" s="357"/>
      <c r="BJ26" s="131">
        <f>IFERROR(VLOOKUP($O26,'Table 3 ID Wind wS_2032'!$B$10:$K$38,10,FALSE),0)</f>
        <v>158.047880794702</v>
      </c>
      <c r="BK26" s="131">
        <f>IFERROR(VLOOKUP($O26,'Table 3 PV wS YK_2024'!$B$10:$K$40,10,FALSE),0)</f>
        <v>115.14999999999999</v>
      </c>
      <c r="BL26" s="357"/>
      <c r="BM26" s="131">
        <f>IFERROR(VLOOKUP($O26,'Table 3 PV wS SO_2024'!$B$10:$K$40,10,FALSE),0)</f>
        <v>114.77000000000001</v>
      </c>
      <c r="BN26" s="357"/>
      <c r="BO26" s="131">
        <f>IFERROR(VLOOKUP($O26,'Table 3 PV wS UTN_2024'!$B$10:$K$40,10,FALSE),0)</f>
        <v>113.75999999999999</v>
      </c>
      <c r="BP26" s="131">
        <f>IFERROR(VLOOKUP($O26,'Table 3 PV wS JB_2024'!$B$10:$K$40,10,FALSE),0)</f>
        <v>110.50999999999999</v>
      </c>
      <c r="BQ26" s="131">
        <f>IFERROR(VLOOKUP($O26,'Table 3 PV wS JB_2029'!$B$10:$K$40,10,FALSE),0)</f>
        <v>101.57</v>
      </c>
      <c r="BR26" s="357"/>
      <c r="BS26" s="131">
        <f>IFERROR(VLOOKUP($O26,'Table 3 PV wS UTS_2024'!$B$10:$K$38,10,FALSE),0)</f>
        <v>112.47</v>
      </c>
      <c r="BT26" s="131">
        <f>IFERROR(VLOOKUP($O26,'Table 3 PV wS UTS_2030'!$B$10:$K$38,10,FALSE),0)</f>
        <v>144.5</v>
      </c>
      <c r="BU26" s="356"/>
      <c r="BV26" s="131">
        <f>IFERROR(VLOOKUP($O26,'Table 3 185 MW (NTN) 2026)'!$B$13:$L$40,11,FALSE),0)</f>
        <v>131.03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2.7317319148706884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42"/>
        <v>2.7317319148706884</v>
      </c>
      <c r="CW26">
        <f t="shared" si="36"/>
        <v>2033</v>
      </c>
      <c r="CX26" s="89">
        <f>IFERROR(VLOOKUP($CW26,'Table 3 TransCost'!$B$10:$E$40,4,FALSE),0)</f>
        <v>58.29999999999999</v>
      </c>
      <c r="CY26" s="177">
        <f t="shared" si="40"/>
        <v>0</v>
      </c>
    </row>
    <row r="27" spans="2:103">
      <c r="B27" s="15">
        <f t="shared" si="37"/>
        <v>2034</v>
      </c>
      <c r="C27" s="9">
        <f t="shared" si="19"/>
        <v>34.863509179583268</v>
      </c>
      <c r="D27" s="45"/>
      <c r="E27" s="9">
        <f t="shared" ca="1" si="38"/>
        <v>6.9646659977074954</v>
      </c>
      <c r="F27" s="37"/>
      <c r="G27" s="14">
        <f t="shared" ca="1" si="41"/>
        <v>20.227819651849941</v>
      </c>
      <c r="H27" s="36"/>
      <c r="I27" s="177"/>
      <c r="J27" s="177"/>
      <c r="M27" s="113"/>
      <c r="O27">
        <f t="shared" si="20"/>
        <v>2034</v>
      </c>
      <c r="P27">
        <v>0</v>
      </c>
      <c r="Q27">
        <v>0</v>
      </c>
      <c r="R27" s="355">
        <v>0</v>
      </c>
      <c r="S27" s="355">
        <v>0</v>
      </c>
      <c r="T27" s="177">
        <v>0</v>
      </c>
      <c r="U27" s="355">
        <v>0</v>
      </c>
      <c r="V27" s="355">
        <v>0</v>
      </c>
      <c r="W27" s="355">
        <v>0</v>
      </c>
      <c r="X27" s="355">
        <v>0</v>
      </c>
      <c r="Y27" s="355">
        <v>0</v>
      </c>
      <c r="Z27" s="355">
        <v>0</v>
      </c>
      <c r="AA27" s="355">
        <v>0</v>
      </c>
      <c r="AB27" s="355">
        <v>0</v>
      </c>
      <c r="AC27" s="355">
        <v>0</v>
      </c>
      <c r="AD27" s="355">
        <v>0</v>
      </c>
      <c r="AE27" s="355">
        <v>0</v>
      </c>
      <c r="AF27" s="355">
        <v>0</v>
      </c>
      <c r="AK27">
        <f t="shared" si="21"/>
        <v>0</v>
      </c>
      <c r="AL27">
        <f t="shared" si="22"/>
        <v>0</v>
      </c>
      <c r="AM27">
        <f t="shared" si="23"/>
        <v>0</v>
      </c>
      <c r="AN27">
        <f t="shared" si="24"/>
        <v>0</v>
      </c>
      <c r="AO27">
        <f t="shared" si="24"/>
        <v>0</v>
      </c>
      <c r="AP27">
        <f t="shared" si="25"/>
        <v>0</v>
      </c>
      <c r="AQ27">
        <f t="shared" si="26"/>
        <v>0</v>
      </c>
      <c r="AR27">
        <f t="shared" si="27"/>
        <v>0</v>
      </c>
      <c r="AS27">
        <f t="shared" si="28"/>
        <v>0</v>
      </c>
      <c r="AT27">
        <f t="shared" si="28"/>
        <v>0</v>
      </c>
      <c r="AU27">
        <f t="shared" si="29"/>
        <v>0</v>
      </c>
      <c r="AV27">
        <f t="shared" si="30"/>
        <v>0</v>
      </c>
      <c r="AW27">
        <f t="shared" si="31"/>
        <v>0</v>
      </c>
      <c r="AX27">
        <f t="shared" si="32"/>
        <v>0</v>
      </c>
      <c r="AY27">
        <f t="shared" si="33"/>
        <v>0</v>
      </c>
      <c r="AZ27">
        <f t="shared" si="34"/>
        <v>0</v>
      </c>
      <c r="BA27">
        <f t="shared" si="34"/>
        <v>0</v>
      </c>
      <c r="BE27">
        <f t="shared" si="39"/>
        <v>2034</v>
      </c>
      <c r="BF27" s="131">
        <f>IFERROR(VLOOKUP($O27,'Table 3 ID Wind_2030'!$B$10:$K$37,10,FALSE),0)</f>
        <v>148.61011927664484</v>
      </c>
      <c r="BG27" s="131">
        <f>IFERROR(VLOOKUP($O27,'Table 3 WYAE Wind_2024'!$B$10:$L$37,11,FALSE),0)</f>
        <v>208.27989583333334</v>
      </c>
      <c r="BH27" s="131">
        <f>IFERROR(VLOOKUP($O27,'Table 3 YK Wind wS_2029'!$B$10:$K$37,10,FALSE),0)</f>
        <v>159.7391836734694</v>
      </c>
      <c r="BI27" s="357"/>
      <c r="BJ27" s="131">
        <f>IFERROR(VLOOKUP($O27,'Table 3 ID Wind wS_2032'!$B$10:$K$38,10,FALSE),0)</f>
        <v>161.42701986754966</v>
      </c>
      <c r="BK27" s="131">
        <f>IFERROR(VLOOKUP($O27,'Table 3 PV wS YK_2024'!$B$10:$K$40,10,FALSE),0)</f>
        <v>117.56</v>
      </c>
      <c r="BL27" s="357"/>
      <c r="BM27" s="131">
        <f>IFERROR(VLOOKUP($O27,'Table 3 PV wS SO_2024'!$B$10:$K$40,10,FALSE),0)</f>
        <v>117.18</v>
      </c>
      <c r="BN27" s="357"/>
      <c r="BO27" s="131">
        <f>IFERROR(VLOOKUP($O27,'Table 3 PV wS UTN_2024'!$B$10:$K$40,10,FALSE),0)</f>
        <v>116.15</v>
      </c>
      <c r="BP27" s="131">
        <f>IFERROR(VLOOKUP($O27,'Table 3 PV wS JB_2024'!$B$10:$K$40,10,FALSE),0)</f>
        <v>112.83</v>
      </c>
      <c r="BQ27" s="131">
        <f>IFERROR(VLOOKUP($O27,'Table 3 PV wS JB_2029'!$B$10:$K$40,10,FALSE),0)</f>
        <v>103.7</v>
      </c>
      <c r="BR27" s="357"/>
      <c r="BS27" s="131">
        <f>IFERROR(VLOOKUP($O27,'Table 3 PV wS UTS_2024'!$B$10:$K$38,10,FALSE),0)</f>
        <v>114.83</v>
      </c>
      <c r="BT27" s="131">
        <f>IFERROR(VLOOKUP($O27,'Table 3 PV wS UTS_2030'!$B$10:$K$38,10,FALSE),0)</f>
        <v>147.53</v>
      </c>
      <c r="BU27" s="356"/>
      <c r="BV27" s="131">
        <f>IFERROR(VLOOKUP($O27,'Table 3 185 MW (NTN) 2026)'!$B$13:$L$40,11,FALSE),0)</f>
        <v>133.79000000000002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2.7890807343666615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42"/>
        <v>2.7890807343666615</v>
      </c>
      <c r="CW27">
        <f t="shared" si="36"/>
        <v>2034</v>
      </c>
      <c r="CX27" s="89">
        <f>IFERROR(VLOOKUP($CW27,'Table 3 TransCost'!$B$10:$E$40,4,FALSE),0)</f>
        <v>59.52</v>
      </c>
      <c r="CY27" s="177">
        <f t="shared" si="40"/>
        <v>0</v>
      </c>
    </row>
    <row r="28" spans="2:103">
      <c r="B28" s="15">
        <f t="shared" si="37"/>
        <v>2035</v>
      </c>
      <c r="C28" s="9">
        <f t="shared" si="19"/>
        <v>35.595818997500601</v>
      </c>
      <c r="D28" s="45"/>
      <c r="E28" s="9">
        <f t="shared" ca="1" si="38"/>
        <v>5.6318068062935609</v>
      </c>
      <c r="F28" s="37"/>
      <c r="G28" s="14">
        <f t="shared" ca="1" si="41"/>
        <v>19.241602611761781</v>
      </c>
      <c r="H28" s="36"/>
      <c r="I28" s="177"/>
      <c r="J28" s="177"/>
      <c r="M28" s="113"/>
      <c r="O28">
        <f t="shared" si="20"/>
        <v>2035</v>
      </c>
      <c r="P28">
        <v>0</v>
      </c>
      <c r="Q28">
        <v>0</v>
      </c>
      <c r="R28" s="355">
        <v>0</v>
      </c>
      <c r="S28" s="355">
        <v>0</v>
      </c>
      <c r="T28" s="177">
        <v>0</v>
      </c>
      <c r="U28" s="355">
        <v>0</v>
      </c>
      <c r="V28" s="355">
        <v>0</v>
      </c>
      <c r="W28" s="355">
        <v>0</v>
      </c>
      <c r="X28" s="355">
        <v>0</v>
      </c>
      <c r="Y28" s="355">
        <v>0</v>
      </c>
      <c r="Z28" s="355">
        <v>0</v>
      </c>
      <c r="AA28" s="355">
        <v>0</v>
      </c>
      <c r="AB28" s="355">
        <v>0</v>
      </c>
      <c r="AC28" s="355">
        <v>0</v>
      </c>
      <c r="AD28" s="355">
        <v>0</v>
      </c>
      <c r="AE28" s="355">
        <v>0</v>
      </c>
      <c r="AF28" s="355">
        <v>0</v>
      </c>
      <c r="AK28">
        <f t="shared" si="21"/>
        <v>0</v>
      </c>
      <c r="AL28">
        <f t="shared" si="22"/>
        <v>0</v>
      </c>
      <c r="AM28">
        <f t="shared" si="23"/>
        <v>0</v>
      </c>
      <c r="AN28">
        <f t="shared" si="24"/>
        <v>0</v>
      </c>
      <c r="AO28">
        <f t="shared" si="24"/>
        <v>0</v>
      </c>
      <c r="AP28">
        <f t="shared" si="25"/>
        <v>0</v>
      </c>
      <c r="AQ28">
        <f t="shared" si="26"/>
        <v>0</v>
      </c>
      <c r="AR28">
        <f t="shared" si="27"/>
        <v>0</v>
      </c>
      <c r="AS28">
        <f t="shared" si="28"/>
        <v>0</v>
      </c>
      <c r="AT28">
        <f t="shared" si="28"/>
        <v>0</v>
      </c>
      <c r="AU28">
        <f t="shared" si="29"/>
        <v>0</v>
      </c>
      <c r="AV28">
        <f t="shared" si="30"/>
        <v>0</v>
      </c>
      <c r="AW28">
        <f t="shared" si="31"/>
        <v>0</v>
      </c>
      <c r="AX28">
        <f t="shared" si="32"/>
        <v>0</v>
      </c>
      <c r="AY28">
        <f t="shared" si="33"/>
        <v>0</v>
      </c>
      <c r="AZ28">
        <f t="shared" si="34"/>
        <v>0</v>
      </c>
      <c r="BA28">
        <f t="shared" si="34"/>
        <v>0</v>
      </c>
      <c r="BE28">
        <f t="shared" si="39"/>
        <v>2035</v>
      </c>
      <c r="BF28" s="131">
        <f>IFERROR(VLOOKUP($O28,'Table 3 ID Wind_2030'!$B$10:$K$37,10,FALSE),0)</f>
        <v>151.80990380915736</v>
      </c>
      <c r="BG28" s="131">
        <f>IFERROR(VLOOKUP($O28,'Table 3 WYAE Wind_2024'!$B$10:$L$37,11,FALSE),0)</f>
        <v>212.73</v>
      </c>
      <c r="BH28" s="131">
        <f>IFERROR(VLOOKUP($O28,'Table 3 YK Wind wS_2029'!$B$10:$K$37,10,FALSE),0)</f>
        <v>163.12142857142859</v>
      </c>
      <c r="BI28" s="357"/>
      <c r="BJ28" s="131">
        <f>IFERROR(VLOOKUP($O28,'Table 3 ID Wind wS_2032'!$B$10:$K$38,10,FALSE),0)</f>
        <v>164.86615894039736</v>
      </c>
      <c r="BK28" s="131">
        <f>IFERROR(VLOOKUP($O28,'Table 3 PV wS YK_2024'!$B$10:$K$40,10,FALSE),0)</f>
        <v>120.03</v>
      </c>
      <c r="BL28" s="357"/>
      <c r="BM28" s="131">
        <f>IFERROR(VLOOKUP($O28,'Table 3 PV wS SO_2024'!$B$10:$K$40,10,FALSE),0)</f>
        <v>119.64</v>
      </c>
      <c r="BN28" s="357"/>
      <c r="BO28" s="131">
        <f>IFERROR(VLOOKUP($O28,'Table 3 PV wS UTN_2024'!$B$10:$K$40,10,FALSE),0)</f>
        <v>118.58999999999999</v>
      </c>
      <c r="BP28" s="131">
        <f>IFERROR(VLOOKUP($O28,'Table 3 PV wS JB_2024'!$B$10:$K$40,10,FALSE),0)</f>
        <v>115.2</v>
      </c>
      <c r="BQ28" s="131">
        <f>IFERROR(VLOOKUP($O28,'Table 3 PV wS JB_2029'!$B$10:$K$40,10,FALSE),0)</f>
        <v>105.88</v>
      </c>
      <c r="BR28" s="357"/>
      <c r="BS28" s="131">
        <f>IFERROR(VLOOKUP($O28,'Table 3 PV wS UTS_2024'!$B$10:$K$38,10,FALSE),0)</f>
        <v>117.24</v>
      </c>
      <c r="BT28" s="131">
        <f>IFERROR(VLOOKUP($O28,'Table 3 PV wS UTS_2030'!$B$10:$K$38,10,FALSE),0)</f>
        <v>150.63</v>
      </c>
      <c r="BU28" s="356"/>
      <c r="BV28" s="131">
        <f>IFERROR(VLOOKUP($O28,'Table 3 185 MW (NTN) 2026)'!$B$13:$L$40,11,FALSE),0)</f>
        <v>136.57999999999998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2.847665519800048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42"/>
        <v>2.847665519800048</v>
      </c>
      <c r="CW28">
        <f t="shared" si="36"/>
        <v>2035</v>
      </c>
      <c r="CX28" s="89">
        <f>IFERROR(VLOOKUP($CW28,'Table 3 TransCost'!$B$10:$E$40,4,FALSE),0)</f>
        <v>60.77</v>
      </c>
      <c r="CY28" s="177">
        <f t="shared" si="40"/>
        <v>0</v>
      </c>
    </row>
    <row r="29" spans="2:103">
      <c r="B29" s="15">
        <f t="shared" si="37"/>
        <v>2036</v>
      </c>
      <c r="C29" s="9">
        <f t="shared" si="19"/>
        <v>36.337398559948532</v>
      </c>
      <c r="D29" s="45"/>
      <c r="E29" s="9">
        <f t="shared" ca="1" si="38"/>
        <v>11.881814009107732</v>
      </c>
      <c r="F29" s="37"/>
      <c r="G29" s="14">
        <f t="shared" ca="1" si="41"/>
        <v>25.807457497351162</v>
      </c>
      <c r="H29" s="36"/>
      <c r="I29" s="177"/>
      <c r="J29" s="177"/>
      <c r="M29" s="113"/>
      <c r="O29">
        <f t="shared" si="20"/>
        <v>2036</v>
      </c>
      <c r="P29">
        <v>0</v>
      </c>
      <c r="Q29">
        <v>0</v>
      </c>
      <c r="R29" s="355">
        <v>0</v>
      </c>
      <c r="S29" s="355">
        <v>0</v>
      </c>
      <c r="T29" s="177">
        <v>0</v>
      </c>
      <c r="U29" s="355">
        <v>0</v>
      </c>
      <c r="V29" s="355">
        <v>0</v>
      </c>
      <c r="W29" s="355">
        <v>0</v>
      </c>
      <c r="X29" s="355">
        <v>0</v>
      </c>
      <c r="Y29" s="355">
        <v>0</v>
      </c>
      <c r="Z29" s="355">
        <v>0</v>
      </c>
      <c r="AA29" s="355">
        <v>0</v>
      </c>
      <c r="AB29" s="355">
        <v>0</v>
      </c>
      <c r="AC29" s="355">
        <v>0</v>
      </c>
      <c r="AD29" s="355">
        <v>0</v>
      </c>
      <c r="AE29" s="355">
        <v>0</v>
      </c>
      <c r="AF29" s="355">
        <v>0</v>
      </c>
      <c r="AK29">
        <f t="shared" si="21"/>
        <v>0</v>
      </c>
      <c r="AL29">
        <f t="shared" si="22"/>
        <v>0</v>
      </c>
      <c r="AM29">
        <f t="shared" si="23"/>
        <v>0</v>
      </c>
      <c r="AN29">
        <f t="shared" si="24"/>
        <v>0</v>
      </c>
      <c r="AO29">
        <f t="shared" si="24"/>
        <v>0</v>
      </c>
      <c r="AP29">
        <f t="shared" si="25"/>
        <v>0</v>
      </c>
      <c r="AQ29">
        <f t="shared" si="26"/>
        <v>0</v>
      </c>
      <c r="AR29">
        <f t="shared" si="27"/>
        <v>0</v>
      </c>
      <c r="AS29">
        <f t="shared" si="28"/>
        <v>0</v>
      </c>
      <c r="AT29">
        <f t="shared" si="28"/>
        <v>0</v>
      </c>
      <c r="AU29">
        <f t="shared" si="29"/>
        <v>0</v>
      </c>
      <c r="AV29">
        <f t="shared" si="30"/>
        <v>0</v>
      </c>
      <c r="AW29">
        <f t="shared" si="31"/>
        <v>0</v>
      </c>
      <c r="AX29">
        <f t="shared" si="32"/>
        <v>0</v>
      </c>
      <c r="AY29">
        <f t="shared" si="33"/>
        <v>0</v>
      </c>
      <c r="AZ29">
        <f t="shared" si="34"/>
        <v>0</v>
      </c>
      <c r="BA29">
        <f t="shared" si="34"/>
        <v>0</v>
      </c>
      <c r="BE29">
        <f t="shared" si="39"/>
        <v>2036</v>
      </c>
      <c r="BF29" s="131">
        <f>IFERROR(VLOOKUP($O29,'Table 3 ID Wind_2030'!$B$10:$K$37,10,FALSE),0)</f>
        <v>155.05950750288574</v>
      </c>
      <c r="BG29" s="131">
        <f>IFERROR(VLOOKUP($O29,'Table 3 WYAE Wind_2024'!$B$10:$L$37,11,FALSE),0)</f>
        <v>217.25979166666664</v>
      </c>
      <c r="BH29" s="131">
        <f>IFERROR(VLOOKUP($O29,'Table 3 YK Wind wS_2029'!$B$10:$K$37,10,FALSE),0)</f>
        <v>166.53367346938774</v>
      </c>
      <c r="BI29" s="357"/>
      <c r="BJ29" s="131">
        <f>IFERROR(VLOOKUP($O29,'Table 3 ID Wind wS_2032'!$B$10:$K$38,10,FALSE),0)</f>
        <v>168.35185430463576</v>
      </c>
      <c r="BK29" s="131">
        <f>IFERROR(VLOOKUP($O29,'Table 3 PV wS YK_2024'!$B$10:$K$40,10,FALSE),0)</f>
        <v>122.53</v>
      </c>
      <c r="BL29" s="357"/>
      <c r="BM29" s="131">
        <f>IFERROR(VLOOKUP($O29,'Table 3 PV wS SO_2024'!$B$10:$K$40,10,FALSE),0)</f>
        <v>122.13</v>
      </c>
      <c r="BN29" s="357"/>
      <c r="BO29" s="131">
        <f>IFERROR(VLOOKUP($O29,'Table 3 PV wS UTN_2024'!$B$10:$K$40,10,FALSE),0)</f>
        <v>121.06</v>
      </c>
      <c r="BP29" s="131">
        <f>IFERROR(VLOOKUP($O29,'Table 3 PV wS JB_2024'!$B$10:$K$40,10,FALSE),0)</f>
        <v>117.6</v>
      </c>
      <c r="BQ29" s="131">
        <f>IFERROR(VLOOKUP($O29,'Table 3 PV wS JB_2029'!$B$10:$K$40,10,FALSE),0)</f>
        <v>108.09</v>
      </c>
      <c r="BR29" s="357"/>
      <c r="BS29" s="131">
        <f>IFERROR(VLOOKUP($O29,'Table 3 PV wS UTS_2024'!$B$10:$K$38,10,FALSE),0)</f>
        <v>119.67999999999999</v>
      </c>
      <c r="BT29" s="131">
        <f>IFERROR(VLOOKUP($O29,'Table 3 PV wS UTS_2030'!$B$10:$K$38,10,FALSE),0)</f>
        <v>153.76999999999998</v>
      </c>
      <c r="BU29" s="356"/>
      <c r="BV29" s="131">
        <f>IFERROR(VLOOKUP($O29,'Table 3 185 MW (NTN) 2026)'!$B$13:$L$40,11,FALSE),0)</f>
        <v>139.44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2.9069918847958824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42"/>
        <v>2.9069918847958824</v>
      </c>
      <c r="CW29">
        <f t="shared" si="36"/>
        <v>2036</v>
      </c>
      <c r="CX29" s="89">
        <f>IFERROR(VLOOKUP($CW29,'Table 3 TransCost'!$B$10:$E$40,4,FALSE),0)</f>
        <v>62.04</v>
      </c>
      <c r="CY29" s="177">
        <f t="shared" si="40"/>
        <v>0</v>
      </c>
    </row>
    <row r="30" spans="2:103">
      <c r="B30" s="15">
        <f t="shared" si="37"/>
        <v>2037</v>
      </c>
      <c r="C30" s="9">
        <f t="shared" si="19"/>
        <v>37.097517611457661</v>
      </c>
      <c r="D30" s="45"/>
      <c r="E30" s="9">
        <f t="shared" ca="1" si="38"/>
        <v>7.498839644993418</v>
      </c>
      <c r="F30" s="37"/>
      <c r="G30" s="14">
        <f t="shared" ca="1" si="41"/>
        <v>21.825709300208128</v>
      </c>
      <c r="H30" s="36"/>
      <c r="I30" s="177"/>
      <c r="J30" s="177"/>
      <c r="M30" s="113"/>
      <c r="O30">
        <f t="shared" si="20"/>
        <v>2037</v>
      </c>
      <c r="P30">
        <v>0</v>
      </c>
      <c r="Q30">
        <v>0</v>
      </c>
      <c r="R30" s="355">
        <v>0</v>
      </c>
      <c r="S30" s="355">
        <v>0</v>
      </c>
      <c r="T30" s="177">
        <v>0</v>
      </c>
      <c r="U30" s="355">
        <v>0</v>
      </c>
      <c r="V30" s="355">
        <v>0</v>
      </c>
      <c r="W30" s="355">
        <v>0</v>
      </c>
      <c r="X30" s="355">
        <v>0</v>
      </c>
      <c r="Y30" s="355">
        <v>0</v>
      </c>
      <c r="Z30" s="355">
        <v>0</v>
      </c>
      <c r="AA30" s="355">
        <v>0</v>
      </c>
      <c r="AB30" s="355">
        <v>0</v>
      </c>
      <c r="AC30" s="355">
        <v>0</v>
      </c>
      <c r="AD30" s="355">
        <v>0</v>
      </c>
      <c r="AE30" s="355">
        <v>0</v>
      </c>
      <c r="AF30" s="355">
        <v>0</v>
      </c>
      <c r="AK30">
        <f t="shared" si="21"/>
        <v>0</v>
      </c>
      <c r="AL30">
        <f t="shared" si="22"/>
        <v>0</v>
      </c>
      <c r="AM30">
        <f t="shared" si="23"/>
        <v>0</v>
      </c>
      <c r="AN30">
        <f t="shared" si="24"/>
        <v>0</v>
      </c>
      <c r="AO30">
        <f t="shared" si="24"/>
        <v>0</v>
      </c>
      <c r="AP30">
        <f t="shared" si="25"/>
        <v>0</v>
      </c>
      <c r="AQ30">
        <f t="shared" si="26"/>
        <v>0</v>
      </c>
      <c r="AR30">
        <f t="shared" si="27"/>
        <v>0</v>
      </c>
      <c r="AS30">
        <f t="shared" si="28"/>
        <v>0</v>
      </c>
      <c r="AT30">
        <f t="shared" si="28"/>
        <v>0</v>
      </c>
      <c r="AU30">
        <f t="shared" si="29"/>
        <v>0</v>
      </c>
      <c r="AV30">
        <f t="shared" si="30"/>
        <v>0</v>
      </c>
      <c r="AW30">
        <f t="shared" si="31"/>
        <v>0</v>
      </c>
      <c r="AX30">
        <f t="shared" si="32"/>
        <v>0</v>
      </c>
      <c r="AY30">
        <f t="shared" si="33"/>
        <v>0</v>
      </c>
      <c r="AZ30">
        <f t="shared" si="34"/>
        <v>0</v>
      </c>
      <c r="BA30">
        <f t="shared" si="34"/>
        <v>0</v>
      </c>
      <c r="BE30">
        <f t="shared" si="39"/>
        <v>2037</v>
      </c>
      <c r="BF30" s="131">
        <f>IFERROR(VLOOKUP($O30,'Table 3 ID Wind_2030'!$B$10:$K$37,10,FALSE),0)</f>
        <v>158.3796921893036</v>
      </c>
      <c r="BG30" s="131">
        <f>IFERROR(VLOOKUP($O30,'Table 3 WYAE Wind_2024'!$B$10:$L$37,11,FALSE),0)</f>
        <v>221.87</v>
      </c>
      <c r="BH30" s="131">
        <f>IFERROR(VLOOKUP($O30,'Table 3 YK Wind wS_2029'!$B$10:$K$37,10,FALSE),0)</f>
        <v>170.10795918367347</v>
      </c>
      <c r="BI30" s="357"/>
      <c r="BJ30" s="131">
        <f>IFERROR(VLOOKUP($O30,'Table 3 ID Wind wS_2032'!$B$10:$K$38,10,FALSE),0)</f>
        <v>171.94066225165565</v>
      </c>
      <c r="BK30" s="131">
        <f>IFERROR(VLOOKUP($O30,'Table 3 PV wS YK_2024'!$B$10:$K$40,10,FALSE),0)</f>
        <v>125.08999999999999</v>
      </c>
      <c r="BL30" s="357"/>
      <c r="BM30" s="131">
        <f>IFERROR(VLOOKUP($O30,'Table 3 PV wS SO_2024'!$B$10:$K$40,10,FALSE),0)</f>
        <v>124.68</v>
      </c>
      <c r="BN30" s="357"/>
      <c r="BO30" s="131">
        <f>IFERROR(VLOOKUP($O30,'Table 3 PV wS UTN_2024'!$B$10:$K$40,10,FALSE),0)</f>
        <v>123.59</v>
      </c>
      <c r="BP30" s="131">
        <f>IFERROR(VLOOKUP($O30,'Table 3 PV wS JB_2024'!$B$10:$K$40,10,FALSE),0)</f>
        <v>120.06</v>
      </c>
      <c r="BQ30" s="131">
        <f>IFERROR(VLOOKUP($O30,'Table 3 PV wS JB_2029'!$B$10:$K$40,10,FALSE),0)</f>
        <v>110.35</v>
      </c>
      <c r="BR30" s="357"/>
      <c r="BS30" s="131">
        <f>IFERROR(VLOOKUP($O30,'Table 3 PV wS UTS_2024'!$B$10:$K$38,10,FALSE),0)</f>
        <v>122.18</v>
      </c>
      <c r="BT30" s="131">
        <f>IFERROR(VLOOKUP($O30,'Table 3 PV wS UTS_2030'!$B$10:$K$38,10,FALSE),0)</f>
        <v>156.98000000000002</v>
      </c>
      <c r="BU30" s="356"/>
      <c r="BV30" s="131">
        <f>IFERROR(VLOOKUP($O30,'Table 3 185 MW (NTN) 2026)'!$B$13:$L$40,11,FALSE),0)</f>
        <v>142.33000000000001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2.9678014089166127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42"/>
        <v>2.9678014089166127</v>
      </c>
      <c r="CW30">
        <f t="shared" si="36"/>
        <v>2037</v>
      </c>
      <c r="CX30" s="89">
        <f>IFERROR(VLOOKUP($CW30,'Table 3 TransCost'!$B$10:$E$40,4,FALSE),0)</f>
        <v>63.330000000000005</v>
      </c>
      <c r="CY30" s="177">
        <f t="shared" si="40"/>
        <v>0</v>
      </c>
    </row>
    <row r="31" spans="2:103">
      <c r="B31" s="15">
        <f t="shared" si="37"/>
        <v>2038</v>
      </c>
      <c r="C31" s="9">
        <f t="shared" si="19"/>
        <v>37.873086237184445</v>
      </c>
      <c r="D31" s="45"/>
      <c r="E31" s="9">
        <f t="shared" ca="1" si="38"/>
        <v>15.503275347554379</v>
      </c>
      <c r="F31" s="37"/>
      <c r="G31" s="14">
        <f t="shared" ca="1" si="41"/>
        <v>30.203165063982308</v>
      </c>
      <c r="H31" s="36"/>
      <c r="I31" s="177"/>
      <c r="J31" s="177"/>
      <c r="M31" s="113"/>
      <c r="O31">
        <f t="shared" si="20"/>
        <v>2038</v>
      </c>
      <c r="S31" s="177"/>
      <c r="T31" s="177"/>
      <c r="AK31">
        <f t="shared" si="21"/>
        <v>0</v>
      </c>
      <c r="AL31">
        <f t="shared" si="22"/>
        <v>0</v>
      </c>
      <c r="AM31">
        <f t="shared" si="23"/>
        <v>0</v>
      </c>
      <c r="AN31">
        <f t="shared" si="24"/>
        <v>0</v>
      </c>
      <c r="AO31">
        <f t="shared" si="24"/>
        <v>0</v>
      </c>
      <c r="AP31">
        <f t="shared" si="25"/>
        <v>0</v>
      </c>
      <c r="AQ31">
        <f t="shared" si="26"/>
        <v>0</v>
      </c>
      <c r="AR31">
        <f t="shared" si="27"/>
        <v>0</v>
      </c>
      <c r="AS31">
        <f t="shared" si="28"/>
        <v>0</v>
      </c>
      <c r="AT31">
        <f t="shared" si="28"/>
        <v>0</v>
      </c>
      <c r="AU31">
        <f t="shared" si="29"/>
        <v>0</v>
      </c>
      <c r="AV31">
        <f t="shared" si="30"/>
        <v>0</v>
      </c>
      <c r="AW31">
        <f t="shared" si="31"/>
        <v>0</v>
      </c>
      <c r="AX31">
        <f t="shared" si="32"/>
        <v>0</v>
      </c>
      <c r="AY31">
        <f t="shared" si="33"/>
        <v>0</v>
      </c>
      <c r="AZ31">
        <f t="shared" si="34"/>
        <v>0</v>
      </c>
      <c r="BA31">
        <f t="shared" si="34"/>
        <v>0</v>
      </c>
      <c r="BE31">
        <f t="shared" si="39"/>
        <v>2038</v>
      </c>
      <c r="BF31" s="131">
        <f>IFERROR(VLOOKUP($O31,'Table 3 ID Wind_2030'!$B$10:$K$37,10,FALSE),0)</f>
        <v>161.77065794536361</v>
      </c>
      <c r="BG31" s="131">
        <f>IFERROR(VLOOKUP($O31,'Table 3 WYAE Wind_2024'!$B$10:$L$37,11,FALSE),0)</f>
        <v>226.58989583333334</v>
      </c>
      <c r="BH31" s="131">
        <f>IFERROR(VLOOKUP($O31,'Table 3 YK Wind wS_2029'!$B$10:$K$37,10,FALSE),0)</f>
        <v>173.7522448979592</v>
      </c>
      <c r="BI31" s="357"/>
      <c r="BJ31" s="131">
        <f>IFERROR(VLOOKUP($O31,'Table 3 ID Wind wS_2032'!$B$10:$K$38,10,FALSE),0)</f>
        <v>175.57947019867549</v>
      </c>
      <c r="BK31" s="131">
        <f>IFERROR(VLOOKUP($O31,'Table 3 PV wS YK_2024'!$B$10:$K$40,10,FALSE),0)</f>
        <v>127.70000000000002</v>
      </c>
      <c r="BL31" s="357"/>
      <c r="BM31" s="131">
        <f>IFERROR(VLOOKUP($O31,'Table 3 PV wS SO_2024'!$B$10:$K$40,10,FALSE),0)</f>
        <v>127.28</v>
      </c>
      <c r="BN31" s="357"/>
      <c r="BO31" s="131">
        <f>IFERROR(VLOOKUP($O31,'Table 3 PV wS UTN_2024'!$B$10:$K$40,10,FALSE),0)</f>
        <v>126.17</v>
      </c>
      <c r="BP31" s="131">
        <f>IFERROR(VLOOKUP($O31,'Table 3 PV wS JB_2024'!$B$10:$K$40,10,FALSE),0)</f>
        <v>122.57</v>
      </c>
      <c r="BQ31" s="131">
        <f>IFERROR(VLOOKUP($O31,'Table 3 PV wS JB_2029'!$B$10:$K$40,10,FALSE),0)</f>
        <v>112.65</v>
      </c>
      <c r="BR31" s="357"/>
      <c r="BS31" s="131">
        <f>IFERROR(VLOOKUP($O31,'Table 3 PV wS UTS_2024'!$B$10:$K$38,10,FALSE),0)</f>
        <v>124.73</v>
      </c>
      <c r="BT31" s="131">
        <f>IFERROR(VLOOKUP($O31,'Table 3 PV wS UTS_2030'!$B$10:$K$38,10,FALSE),0)</f>
        <v>160.25</v>
      </c>
      <c r="BU31" s="356"/>
      <c r="BV31" s="131">
        <f>IFERROR(VLOOKUP($O31,'Table 3 185 MW (NTN) 2026)'!$B$13:$L$40,11,FALSE),0)</f>
        <v>145.32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3.0298468989747556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42"/>
        <v>3.0298468989747556</v>
      </c>
      <c r="CW31">
        <f t="shared" si="36"/>
        <v>2038</v>
      </c>
      <c r="CX31" s="89">
        <f>IFERROR(VLOOKUP($CW31,'Table 3 TransCost'!$B$10:$E$40,4,FALSE),0)</f>
        <v>64.650000000000006</v>
      </c>
      <c r="CY31" s="177">
        <f t="shared" si="40"/>
        <v>0</v>
      </c>
    </row>
    <row r="32" spans="2:103">
      <c r="B32" s="15">
        <f t="shared" si="37"/>
        <v>2039</v>
      </c>
      <c r="C32" s="9">
        <f t="shared" si="19"/>
        <v>38.657924607441842</v>
      </c>
      <c r="D32" s="45"/>
      <c r="E32" s="9">
        <f t="shared" ca="1" si="38"/>
        <v>15.825048921030062</v>
      </c>
      <c r="F32" s="37"/>
      <c r="G32" s="14">
        <f t="shared" ca="1" si="41"/>
        <v>30.829562280108945</v>
      </c>
      <c r="H32" s="36"/>
      <c r="I32" s="177"/>
      <c r="J32" s="177"/>
      <c r="M32" s="113"/>
      <c r="O32">
        <f t="shared" si="20"/>
        <v>2039</v>
      </c>
      <c r="AK32">
        <f t="shared" si="21"/>
        <v>0</v>
      </c>
      <c r="AL32">
        <f t="shared" si="22"/>
        <v>0</v>
      </c>
      <c r="AM32">
        <f t="shared" si="23"/>
        <v>0</v>
      </c>
      <c r="AN32">
        <f t="shared" si="24"/>
        <v>0</v>
      </c>
      <c r="AO32">
        <f t="shared" si="24"/>
        <v>0</v>
      </c>
      <c r="AP32">
        <f t="shared" si="25"/>
        <v>0</v>
      </c>
      <c r="AQ32">
        <f t="shared" si="26"/>
        <v>0</v>
      </c>
      <c r="AR32">
        <f t="shared" si="27"/>
        <v>0</v>
      </c>
      <c r="AS32">
        <f t="shared" si="28"/>
        <v>0</v>
      </c>
      <c r="AT32">
        <f t="shared" si="28"/>
        <v>0</v>
      </c>
      <c r="AU32">
        <f t="shared" si="29"/>
        <v>0</v>
      </c>
      <c r="AV32">
        <f t="shared" si="30"/>
        <v>0</v>
      </c>
      <c r="AW32">
        <f t="shared" si="31"/>
        <v>0</v>
      </c>
      <c r="AX32">
        <f t="shared" si="32"/>
        <v>0</v>
      </c>
      <c r="AY32">
        <f t="shared" si="33"/>
        <v>0</v>
      </c>
      <c r="AZ32">
        <f t="shared" si="34"/>
        <v>0</v>
      </c>
      <c r="BA32">
        <f t="shared" si="34"/>
        <v>0</v>
      </c>
      <c r="BE32">
        <f t="shared" si="39"/>
        <v>2039</v>
      </c>
      <c r="BF32" s="131">
        <f>IFERROR(VLOOKUP($O32,'Table 3 ID Wind_2030'!$B$10:$K$37,10,FALSE),0)</f>
        <v>165.13</v>
      </c>
      <c r="BG32" s="131">
        <f>IFERROR(VLOOKUP($O32,'Table 3 WYAE Wind_2024'!$B$10:$L$37,11,FALSE),0)</f>
        <v>231.29000000000002</v>
      </c>
      <c r="BH32" s="131">
        <f>IFERROR(VLOOKUP($O32,'Table 3 YK Wind wS_2029'!$B$10:$K$37,10,FALSE),0)</f>
        <v>177.35999999999999</v>
      </c>
      <c r="BI32" s="357"/>
      <c r="BJ32" s="131">
        <f>IFERROR(VLOOKUP($O32,'Table 3 ID Wind wS_2032'!$B$10:$K$38,10,FALSE),0)</f>
        <v>179.22000000000003</v>
      </c>
      <c r="BK32" s="131">
        <f>IFERROR(VLOOKUP($O32,'Table 3 PV wS YK_2024'!$B$10:$K$40,10,FALSE),0)</f>
        <v>130.35</v>
      </c>
      <c r="BL32" s="357"/>
      <c r="BM32" s="131">
        <f>IFERROR(VLOOKUP($O32,'Table 3 PV wS SO_2024'!$B$10:$K$40,10,FALSE),0)</f>
        <v>129.92000000000002</v>
      </c>
      <c r="BN32" s="357"/>
      <c r="BO32" s="131">
        <f>IFERROR(VLOOKUP($O32,'Table 3 PV wS UTN_2024'!$B$10:$K$40,10,FALSE),0)</f>
        <v>128.78</v>
      </c>
      <c r="BP32" s="131">
        <f>IFERROR(VLOOKUP($O32,'Table 3 PV wS JB_2024'!$B$10:$K$40,10,FALSE),0)</f>
        <v>125.11</v>
      </c>
      <c r="BQ32" s="131">
        <f>IFERROR(VLOOKUP($O32,'Table 3 PV wS JB_2029'!$B$10:$K$40,10,FALSE),0)</f>
        <v>114.98</v>
      </c>
      <c r="BR32" s="357"/>
      <c r="BS32" s="131">
        <f>IFERROR(VLOOKUP($O32,'Table 3 PV wS UTS_2024'!$B$10:$K$38,10,FALSE),0)</f>
        <v>127.31</v>
      </c>
      <c r="BT32" s="131">
        <f>IFERROR(VLOOKUP($O32,'Table 3 PV wS UTS_2030'!$B$10:$K$38,10,FALSE),0)</f>
        <v>163.57</v>
      </c>
      <c r="BU32" s="356"/>
      <c r="BV32" s="131">
        <f>IFERROR(VLOOKUP($O32,'Table 3 185 MW (NTN) 2026)'!$B$13:$L$40,11,FALSE),0)</f>
        <v>148.33000000000001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3.0926339685953477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71">
        <f t="shared" si="42"/>
        <v>3.0926339685953477</v>
      </c>
      <c r="CW32">
        <f t="shared" si="36"/>
        <v>2039</v>
      </c>
      <c r="CX32" s="89">
        <f>IFERROR(VLOOKUP($CW32,'Table 3 TransCost'!$B$10:$E$40,4,FALSE),0)</f>
        <v>65.989999999999995</v>
      </c>
      <c r="CY32" s="177">
        <f t="shared" si="40"/>
        <v>0</v>
      </c>
    </row>
    <row r="33" spans="1:103" hidden="1">
      <c r="B33" s="15">
        <f t="shared" si="37"/>
        <v>2040</v>
      </c>
      <c r="C33" s="9" t="e">
        <f t="shared" si="19"/>
        <v>#REF!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43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77"/>
      <c r="J33" s="177"/>
      <c r="M33" s="113"/>
      <c r="O33">
        <f t="shared" ref="O33" si="44">B33</f>
        <v>2040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21"/>
        <v>0</v>
      </c>
      <c r="AL33">
        <f t="shared" si="22"/>
        <v>0</v>
      </c>
      <c r="AM33">
        <f t="shared" si="23"/>
        <v>0</v>
      </c>
      <c r="AN33">
        <f t="shared" si="24"/>
        <v>0</v>
      </c>
      <c r="AO33">
        <f t="shared" si="24"/>
        <v>0</v>
      </c>
      <c r="AP33">
        <f t="shared" si="25"/>
        <v>0</v>
      </c>
      <c r="AQ33">
        <f t="shared" si="26"/>
        <v>0</v>
      </c>
      <c r="AR33">
        <f t="shared" si="27"/>
        <v>0</v>
      </c>
      <c r="AS33">
        <f t="shared" si="28"/>
        <v>0</v>
      </c>
      <c r="AT33">
        <f t="shared" si="28"/>
        <v>0</v>
      </c>
      <c r="AU33">
        <f t="shared" si="29"/>
        <v>0</v>
      </c>
      <c r="AV33">
        <f t="shared" si="30"/>
        <v>0</v>
      </c>
      <c r="AW33">
        <f t="shared" si="31"/>
        <v>0</v>
      </c>
      <c r="AX33">
        <f t="shared" si="32"/>
        <v>0</v>
      </c>
      <c r="AY33">
        <f t="shared" si="33"/>
        <v>0</v>
      </c>
      <c r="AZ33">
        <f t="shared" si="34"/>
        <v>0</v>
      </c>
      <c r="BA33">
        <f t="shared" ref="BA33" si="45">AF33/AF$5</f>
        <v>0</v>
      </c>
      <c r="BB33" t="e">
        <f t="shared" ref="BB33" si="46">AG33/AG$5</f>
        <v>#DIV/0!</v>
      </c>
      <c r="BC33" t="e">
        <f t="shared" ref="BC33" si="47">AH33/AH$5</f>
        <v>#DIV/0!</v>
      </c>
      <c r="BD33" t="e">
        <f t="shared" ref="BD33" si="48">AI33/AI$5</f>
        <v>#DIV/0!</v>
      </c>
      <c r="BF33">
        <f>VLOOKUP($O33,'Table 3 WYAE Wind_2024'!$B$10:$K$36,10,FALSE)</f>
        <v>239.91</v>
      </c>
      <c r="BG33" t="e">
        <f>VLOOKUP($O33,#REF!,10,FALSE)</f>
        <v>#REF!</v>
      </c>
      <c r="BH33" t="e">
        <f>VLOOKUP($O33,#REF!,9,FALSE)</f>
        <v>#REF!</v>
      </c>
      <c r="BI33" t="e">
        <f>VLOOKUP($O33,#REF!,9,FALSE)</f>
        <v>#REF!</v>
      </c>
      <c r="BJ33" t="e">
        <f>VLOOKUP($O33,#REF!,9,FALSE)</f>
        <v>#REF!</v>
      </c>
      <c r="BK33" t="e">
        <f>VLOOKUP($O33,#REF!,9,FALSE)</f>
        <v>#REF!</v>
      </c>
      <c r="BL33" t="e">
        <f>VLOOKUP($O33,#REF!,9,FALSE)</f>
        <v>#REF!</v>
      </c>
      <c r="BM33" t="e">
        <f>VLOOKUP($O33,#REF!,9,FALSE)</f>
        <v>#REF!</v>
      </c>
      <c r="BN33" t="e">
        <f>VLOOKUP($O33,#REF!,9,FALSE)</f>
        <v>#REF!</v>
      </c>
      <c r="BO33" t="e">
        <f>VLOOKUP($O33,#REF!,9,FALSE)</f>
        <v>#REF!</v>
      </c>
      <c r="BP33" t="e">
        <f>VLOOKUP($O33,#REF!,9,FALSE)</f>
        <v>#REF!</v>
      </c>
      <c r="BQ33" t="e">
        <f>VLOOKUP($O33,#REF!,9,FALSE)</f>
        <v>#REF!</v>
      </c>
      <c r="BR33" t="e">
        <f>VLOOKUP($O33,#REF!,9,FALSE)</f>
        <v>#REF!</v>
      </c>
      <c r="BS33" t="e">
        <f>VLOOKUP($O33,#REF!,9,FALSE)</f>
        <v>#REF!</v>
      </c>
      <c r="BT33" t="e">
        <f>VLOOKUP($O33,#REF!,9,FALSE)</f>
        <v>#REF!</v>
      </c>
      <c r="BU33" t="e">
        <f>VLOOKUP($O33,#REF!,9,FALSE)</f>
        <v>#REF!</v>
      </c>
      <c r="BV33" t="e">
        <f>VLOOKUP($O33,#REF!,9,FALSE)</f>
        <v>#REF!</v>
      </c>
      <c r="BW33" t="e">
        <f>VLOOKUP($O33,#REF!,9,FALSE)</f>
        <v>#REF!</v>
      </c>
      <c r="BX33" t="e">
        <f>VLOOKUP($O33,#REF!,9,FALSE)</f>
        <v>#REF!</v>
      </c>
      <c r="BY33" t="e">
        <f>VLOOKUP($O33,#REF!,9,FALSE)</f>
        <v>#REF!</v>
      </c>
      <c r="CA33">
        <f>SUM(AK$13:AK33)*BF33/1000</f>
        <v>0</v>
      </c>
      <c r="CB33" t="e">
        <f>SUM(AL$13:AL33)*BG33/1000</f>
        <v>#REF!</v>
      </c>
      <c r="CC33" t="e">
        <f>SUM(AM$13:AM33)*BH33/1000</f>
        <v>#REF!</v>
      </c>
      <c r="CD33" t="e">
        <f>SUM(AN$13:AN33)*BI33/1000</f>
        <v>#REF!</v>
      </c>
      <c r="CF33" t="e">
        <f>SUM(AP$13:AP33)*BK33/1000</f>
        <v>#REF!</v>
      </c>
      <c r="CG33" t="e">
        <f>SUM(AQ$13:AQ33)*BL33/1000</f>
        <v>#REF!</v>
      </c>
      <c r="CH33" t="e">
        <f>SUM(AR$13:AR33)*BM33/1000</f>
        <v>#REF!</v>
      </c>
      <c r="CI33" t="e">
        <f>SUM(AS$13:AS33)*BN33/1000</f>
        <v>#REF!</v>
      </c>
      <c r="CJ33" t="e">
        <f>SUM(AT$13:AT33)*BO33/1000</f>
        <v>#REF!</v>
      </c>
      <c r="CK33" t="e">
        <f>SUM(AU$13:AU33)*BP33/1000</f>
        <v>#REF!</v>
      </c>
      <c r="CL33" t="e">
        <f>SUM(AV$13:AV33)*BQ33/1000</f>
        <v>#REF!</v>
      </c>
      <c r="CM33" t="e">
        <f>SUM(AW$13:AW33)*BR33/1000</f>
        <v>#REF!</v>
      </c>
      <c r="CN33" t="e">
        <f>SUM(AX$13:AX33)*BS33/1000</f>
        <v>#REF!</v>
      </c>
      <c r="CO33" t="e">
        <f>SUM(AY$13:AY33)*BT33/1000</f>
        <v>#REF!</v>
      </c>
      <c r="CP33" t="e">
        <f>SUM(AZ$13:AZ33)*BU33/1000</f>
        <v>#REF!</v>
      </c>
      <c r="CQ33" t="e">
        <f>SUM(BA$13:BA33)*BV33/1000</f>
        <v>#REF!</v>
      </c>
      <c r="CR33" t="e">
        <f>SUM(BB$13:BB33)*BW33/1000</f>
        <v>#DIV/0!</v>
      </c>
      <c r="CS33" t="e">
        <f>SUM(BC$13:BC33)*BX33/1000</f>
        <v>#DIV/0!</v>
      </c>
      <c r="CT33" t="e">
        <f>SUM(BD$13:BD33)*BY33/1000</f>
        <v>#DIV/0!</v>
      </c>
      <c r="CU33" s="171" t="e">
        <f t="shared" ref="CU33" si="49">SUM(CA33:CT33)</f>
        <v>#REF!</v>
      </c>
      <c r="CW33">
        <f t="shared" si="36"/>
        <v>2040</v>
      </c>
      <c r="CX33" s="89">
        <f>IFERROR(VLOOKUP($CW33,'Table 3 TransCost'!$B$10:$E$40,4,FALSE),0)</f>
        <v>67.36</v>
      </c>
      <c r="CY33" s="177">
        <f t="shared" si="40"/>
        <v>0</v>
      </c>
    </row>
    <row r="34" spans="1:103" hidden="1">
      <c r="B34" s="15">
        <f t="shared" si="37"/>
        <v>2041</v>
      </c>
      <c r="C34" s="9" t="e">
        <f t="shared" si="19"/>
        <v>#N/A</v>
      </c>
      <c r="D34" s="45"/>
      <c r="E34" s="9" t="e">
        <f t="shared" ref="E34" ca="1" si="50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51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77"/>
      <c r="J34" s="177"/>
      <c r="M34" s="113"/>
      <c r="O34">
        <f t="shared" ref="O34" si="52">B34</f>
        <v>2041</v>
      </c>
      <c r="P34" t="e">
        <v>#N/A</v>
      </c>
      <c r="Q34" t="e">
        <v>#N/A</v>
      </c>
      <c r="R34" t="e">
        <v>#N/A</v>
      </c>
      <c r="S34" s="177" t="e">
        <v>#N/A</v>
      </c>
      <c r="T34" s="177" t="e">
        <v>#N/A</v>
      </c>
      <c r="U34" t="e">
        <v>#N/A</v>
      </c>
      <c r="V34" t="e">
        <v>#N/A</v>
      </c>
      <c r="W34" t="e">
        <v>#N/A</v>
      </c>
      <c r="X34" t="e">
        <v>#N/A</v>
      </c>
      <c r="Y34" t="e">
        <v>#N/A</v>
      </c>
      <c r="Z34" t="e">
        <v>#N/A</v>
      </c>
      <c r="AA34" t="e">
        <v>#N/A</v>
      </c>
      <c r="AB34" t="e">
        <v>#N/A</v>
      </c>
      <c r="AC34" t="e">
        <v>#N/A</v>
      </c>
      <c r="AD34" t="e">
        <v>#N/A</v>
      </c>
      <c r="AE34" t="e">
        <v>#N/A</v>
      </c>
      <c r="AF34" t="e">
        <v>#N/A</v>
      </c>
      <c r="AG34" t="e">
        <v>#N/A</v>
      </c>
      <c r="AH34" t="e">
        <v>#N/A</v>
      </c>
      <c r="AI34" t="e">
        <v>#N/A</v>
      </c>
      <c r="AK34" t="e">
        <f t="shared" ref="AK34" si="53">P34/P$5</f>
        <v>#N/A</v>
      </c>
      <c r="AL34" t="e">
        <f t="shared" ref="AL34" si="54">Q34/Q$5</f>
        <v>#N/A</v>
      </c>
      <c r="AM34" t="e">
        <f t="shared" ref="AM34" si="55">R34/R$5</f>
        <v>#N/A</v>
      </c>
      <c r="AN34" t="e">
        <f t="shared" ref="AN34" si="56">S34/S$5</f>
        <v>#N/A</v>
      </c>
      <c r="AO34" t="e">
        <f t="shared" ref="AO34" si="57">T34/T$5</f>
        <v>#N/A</v>
      </c>
      <c r="AP34" t="e">
        <f t="shared" ref="AP34" si="58">U34/U$5</f>
        <v>#N/A</v>
      </c>
      <c r="AQ34" t="e">
        <f t="shared" ref="AQ34" si="59">V34/V$5</f>
        <v>#N/A</v>
      </c>
      <c r="AR34" t="e">
        <f t="shared" ref="AR34" si="60">W34/W$5</f>
        <v>#N/A</v>
      </c>
      <c r="AS34" t="e">
        <f t="shared" ref="AS34" si="61">X34/X$5</f>
        <v>#N/A</v>
      </c>
      <c r="AT34" t="e">
        <f t="shared" ref="AT34" si="62">Y34/Y$5</f>
        <v>#N/A</v>
      </c>
      <c r="AU34" t="e">
        <f t="shared" ref="AU34" si="63">Z34/Z$5</f>
        <v>#N/A</v>
      </c>
      <c r="AV34" t="e">
        <f t="shared" ref="AV34" si="64">AA34/AA$5</f>
        <v>#N/A</v>
      </c>
      <c r="AW34" t="e">
        <f t="shared" ref="AW34" si="65">AB34/AB$5</f>
        <v>#N/A</v>
      </c>
      <c r="AX34" t="e">
        <f t="shared" ref="AX34" si="66">AC34/AC$5</f>
        <v>#N/A</v>
      </c>
      <c r="AY34" t="e">
        <f t="shared" ref="AY34" si="67">AD34/AD$5</f>
        <v>#N/A</v>
      </c>
      <c r="AZ34" t="e">
        <f t="shared" ref="AZ34" si="68">AE34/AE$5</f>
        <v>#N/A</v>
      </c>
      <c r="BA34" t="e">
        <f t="shared" ref="BA34" si="69">AF34/AF$5</f>
        <v>#N/A</v>
      </c>
      <c r="BB34" t="e">
        <f t="shared" ref="BB34" si="70">AG34/AG$5</f>
        <v>#N/A</v>
      </c>
      <c r="BC34" t="e">
        <f t="shared" ref="BC34" si="71">AH34/AH$5</f>
        <v>#N/A</v>
      </c>
      <c r="BD34" t="e">
        <f t="shared" ref="BD34" si="72">AI34/AI$5</f>
        <v>#N/A</v>
      </c>
      <c r="BF34">
        <f>VLOOKUP($O34,'Table 3 WYAE Wind_2024'!$B$10:$K$36,10,FALSE)</f>
        <v>244.84</v>
      </c>
      <c r="BG34" t="e">
        <f>VLOOKUP($O34,#REF!,10,FALSE)</f>
        <v>#REF!</v>
      </c>
      <c r="BH34" t="e">
        <f>VLOOKUP($O34,#REF!,9,FALSE)</f>
        <v>#REF!</v>
      </c>
      <c r="BI34" t="e">
        <f>VLOOKUP($O34,#REF!,9,FALSE)</f>
        <v>#REF!</v>
      </c>
      <c r="BJ34" t="e">
        <f>VLOOKUP($O34,#REF!,9,FALSE)</f>
        <v>#REF!</v>
      </c>
      <c r="BK34" t="e">
        <f>VLOOKUP($O34,#REF!,9,FALSE)</f>
        <v>#REF!</v>
      </c>
      <c r="BL34" t="e">
        <f>VLOOKUP($O34,#REF!,9,FALSE)</f>
        <v>#REF!</v>
      </c>
      <c r="BM34" t="e">
        <f>VLOOKUP($O34,#REF!,9,FALSE)</f>
        <v>#REF!</v>
      </c>
      <c r="BN34" t="e">
        <f>VLOOKUP($O34,#REF!,9,FALSE)</f>
        <v>#REF!</v>
      </c>
      <c r="BO34" t="e">
        <f>VLOOKUP($O34,#REF!,9,FALSE)</f>
        <v>#REF!</v>
      </c>
      <c r="BP34" t="e">
        <f>VLOOKUP($O34,#REF!,9,FALSE)</f>
        <v>#REF!</v>
      </c>
      <c r="BQ34" t="e">
        <f>VLOOKUP($O34,#REF!,9,FALSE)</f>
        <v>#REF!</v>
      </c>
      <c r="BR34" t="e">
        <f>VLOOKUP($O34,#REF!,9,FALSE)</f>
        <v>#REF!</v>
      </c>
      <c r="BS34" t="e">
        <f>VLOOKUP($O34,#REF!,9,FALSE)</f>
        <v>#REF!</v>
      </c>
      <c r="BT34" t="e">
        <f>VLOOKUP($O34,#REF!,9,FALSE)</f>
        <v>#REF!</v>
      </c>
      <c r="BU34" t="e">
        <f>VLOOKUP($O34,#REF!,9,FALSE)</f>
        <v>#REF!</v>
      </c>
      <c r="BV34" t="e">
        <f>VLOOKUP($O34,#REF!,9,FALSE)</f>
        <v>#REF!</v>
      </c>
      <c r="BW34" t="e">
        <f>VLOOKUP($O34,#REF!,9,FALSE)</f>
        <v>#REF!</v>
      </c>
      <c r="BX34" t="e">
        <f>VLOOKUP($O34,#REF!,9,FALSE)</f>
        <v>#REF!</v>
      </c>
      <c r="BY34" t="e">
        <f>VLOOKUP($O34,#REF!,9,FALSE)</f>
        <v>#REF!</v>
      </c>
      <c r="CA34" t="e">
        <f>SUM(AK$13:AK34)*BF34/1000</f>
        <v>#N/A</v>
      </c>
      <c r="CB34" t="e">
        <f>SUM(AL$13:AL34)*BG34/1000</f>
        <v>#N/A</v>
      </c>
      <c r="CC34" t="e">
        <f>SUM(AM$13:AM34)*BH34/1000</f>
        <v>#N/A</v>
      </c>
      <c r="CD34" t="e">
        <f>SUM(AN$13:AN34)*BI34/1000</f>
        <v>#N/A</v>
      </c>
      <c r="CF34" t="e">
        <f>SUM(AP$13:AP34)*BK34/1000</f>
        <v>#N/A</v>
      </c>
      <c r="CG34" t="e">
        <f>SUM(AQ$13:AQ34)*BL34/1000</f>
        <v>#N/A</v>
      </c>
      <c r="CH34" t="e">
        <f>SUM(AR$13:AR34)*BM34/1000</f>
        <v>#N/A</v>
      </c>
      <c r="CI34" t="e">
        <f>SUM(AS$13:AS34)*BN34/1000</f>
        <v>#N/A</v>
      </c>
      <c r="CJ34" t="e">
        <f>SUM(AT$13:AT34)*BO34/1000</f>
        <v>#N/A</v>
      </c>
      <c r="CK34" t="e">
        <f>SUM(AU$13:AU34)*BP34/1000</f>
        <v>#N/A</v>
      </c>
      <c r="CL34" t="e">
        <f>SUM(AV$13:AV34)*BQ34/1000</f>
        <v>#N/A</v>
      </c>
      <c r="CM34" t="e">
        <f>SUM(AW$13:AW34)*BR34/1000</f>
        <v>#N/A</v>
      </c>
      <c r="CN34" t="e">
        <f>SUM(AX$13:AX34)*BS34/1000</f>
        <v>#N/A</v>
      </c>
      <c r="CO34" t="e">
        <f>SUM(AY$13:AY34)*BT34/1000</f>
        <v>#N/A</v>
      </c>
      <c r="CP34" t="e">
        <f>SUM(AZ$13:AZ34)*BU34/1000</f>
        <v>#N/A</v>
      </c>
      <c r="CQ34" t="e">
        <f>SUM(BA$13:BA34)*BV34/1000</f>
        <v>#N/A</v>
      </c>
      <c r="CR34" t="e">
        <f>SUM(BB$13:BB34)*BW34/1000</f>
        <v>#DIV/0!</v>
      </c>
      <c r="CS34" t="e">
        <f>SUM(BC$13:BC34)*BX34/1000</f>
        <v>#DIV/0!</v>
      </c>
      <c r="CT34" t="e">
        <f>SUM(BD$13:BD34)*BY34/1000</f>
        <v>#DIV/0!</v>
      </c>
      <c r="CU34" s="171" t="e">
        <f t="shared" ref="CU34" si="73">SUM(CA34:CT34)</f>
        <v>#N/A</v>
      </c>
      <c r="CW34">
        <f t="shared" ref="CW34" si="74">O34</f>
        <v>2041</v>
      </c>
      <c r="CX34" s="89">
        <f>IFERROR(VLOOKUP($CW34,'Table 3 TransCost'!$B$10:$E$40,4,FALSE),0)</f>
        <v>68.77</v>
      </c>
      <c r="CY34" s="177">
        <f t="shared" ref="CY34" si="75">$CX$5*CX34/1000</f>
        <v>0</v>
      </c>
    </row>
    <row r="35" spans="1:103">
      <c r="B35" s="168"/>
      <c r="C35" s="9"/>
      <c r="D35" s="45"/>
      <c r="E35" s="9"/>
      <c r="F35" s="37"/>
      <c r="G35" s="9"/>
      <c r="H35" s="36"/>
      <c r="I35" s="49"/>
      <c r="M35" s="113"/>
      <c r="BI35" t="s">
        <v>229</v>
      </c>
      <c r="BL35" t="s">
        <v>229</v>
      </c>
      <c r="BR35" t="s">
        <v>229</v>
      </c>
      <c r="BU35" t="s">
        <v>229</v>
      </c>
    </row>
    <row r="36" spans="1:103" ht="12" customHeight="1">
      <c r="B36" s="168"/>
      <c r="C36" s="9"/>
      <c r="D36" s="45"/>
      <c r="E36" s="9"/>
      <c r="F36" s="37"/>
      <c r="G36" s="9"/>
      <c r="H36" s="36"/>
      <c r="I36" s="49"/>
      <c r="M36" s="113"/>
      <c r="N36" t="s">
        <v>95</v>
      </c>
      <c r="P36">
        <v>2030</v>
      </c>
      <c r="Q36">
        <v>2024</v>
      </c>
      <c r="R36">
        <v>2029</v>
      </c>
      <c r="S36">
        <v>2037</v>
      </c>
      <c r="T36">
        <v>2032</v>
      </c>
      <c r="U36">
        <v>2024</v>
      </c>
      <c r="V36">
        <v>2036</v>
      </c>
      <c r="W36">
        <v>2024</v>
      </c>
      <c r="X36">
        <v>2033</v>
      </c>
      <c r="Y36">
        <v>2024</v>
      </c>
      <c r="Z36">
        <v>2024</v>
      </c>
      <c r="AA36">
        <v>2029</v>
      </c>
      <c r="AB36">
        <v>2038</v>
      </c>
      <c r="AC36">
        <v>2024</v>
      </c>
      <c r="AD36">
        <v>2030</v>
      </c>
      <c r="AE36">
        <v>2037</v>
      </c>
      <c r="AF36">
        <v>2026</v>
      </c>
    </row>
    <row r="37" spans="1:103" hidden="1">
      <c r="A37" s="405" t="str">
        <f>'Table 5'!A9</f>
        <v>20 Year Starting 2020</v>
      </c>
      <c r="B37" s="405"/>
      <c r="D37" s="9"/>
      <c r="F37" s="37"/>
      <c r="H37" s="36"/>
      <c r="I37"/>
      <c r="N37" t="s">
        <v>230</v>
      </c>
      <c r="P37">
        <v>1</v>
      </c>
      <c r="Q37">
        <v>1</v>
      </c>
      <c r="R37" s="212">
        <v>0</v>
      </c>
      <c r="S37" s="212">
        <v>0</v>
      </c>
      <c r="T37" s="212">
        <v>1</v>
      </c>
      <c r="U37" s="212">
        <v>0</v>
      </c>
      <c r="V37" s="212">
        <v>0</v>
      </c>
      <c r="W37" s="212">
        <v>0</v>
      </c>
      <c r="X37" s="212">
        <v>0</v>
      </c>
      <c r="Y37" s="212">
        <v>0</v>
      </c>
      <c r="Z37" s="212">
        <v>1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/>
      <c r="AH37" s="212"/>
      <c r="AI37" s="212"/>
    </row>
    <row r="38" spans="1:103" hidden="1">
      <c r="A38" s="195"/>
      <c r="B38" s="55" t="str">
        <f>"15 year Levelized Prices (Nominal) @ "&amp;TEXT(I39,"0.00%")&amp;" Discount Rate (1) (3) "</f>
        <v xml:space="preserve">15 year Levelized Prices (Nominal) @ 6.92% Discount Rate (1) (3) </v>
      </c>
      <c r="E38" s="5"/>
      <c r="I38" s="49" t="s">
        <v>164</v>
      </c>
      <c r="P38" s="170"/>
      <c r="Q38" s="170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</row>
    <row r="39" spans="1:103" hidden="1">
      <c r="B39" s="47" t="s">
        <v>8</v>
      </c>
      <c r="C39" s="9">
        <f ca="1">'Table 5'!$D$9*(Study_CF*8.76)/'Table 5'!$F$9</f>
        <v>22.725720010613493</v>
      </c>
      <c r="D39" s="9"/>
      <c r="H39" s="36"/>
      <c r="I39" s="109">
        <v>6.9199999999999998E-2</v>
      </c>
    </row>
    <row r="40" spans="1:103" hidden="1">
      <c r="B40" s="48" t="s">
        <v>33</v>
      </c>
      <c r="E40" s="9">
        <f ca="1">'Table 5'!$C$9/'Table 5'!$F$9</f>
        <v>6.6191529312074611</v>
      </c>
      <c r="G40" s="197">
        <f ca="1">'Table 5'!$G$9</f>
        <v>14.679181900461835</v>
      </c>
      <c r="H40" s="36"/>
    </row>
    <row r="41" spans="1:103" hidden="1">
      <c r="B41" s="48"/>
      <c r="E41" s="9"/>
      <c r="G41" s="197"/>
      <c r="H41" s="36"/>
      <c r="P41" t="s">
        <v>116</v>
      </c>
    </row>
    <row r="42" spans="1:103" ht="13.5" hidden="1" customHeight="1">
      <c r="A42" s="406"/>
      <c r="B42" s="406"/>
      <c r="E42" s="9"/>
      <c r="G42" s="108"/>
      <c r="H42" s="36"/>
      <c r="P42" t="s">
        <v>115</v>
      </c>
      <c r="Q42" s="281">
        <v>2.2799999999999997E-2</v>
      </c>
    </row>
    <row r="43" spans="1:103">
      <c r="B43" s="55"/>
      <c r="E43" s="5"/>
      <c r="H43" s="36"/>
    </row>
    <row r="44" spans="1:103">
      <c r="B44" s="47"/>
      <c r="C44" s="9"/>
      <c r="D44" s="9"/>
      <c r="E44" s="9"/>
      <c r="G44" s="197"/>
      <c r="H44" s="36"/>
    </row>
    <row r="45" spans="1:103">
      <c r="B45" s="48"/>
      <c r="E45" s="9"/>
      <c r="G45" s="197"/>
      <c r="H45" s="36"/>
      <c r="I45" s="218"/>
    </row>
    <row r="46" spans="1:103" ht="21" customHeight="1">
      <c r="A46" s="406" t="str">
        <f>'Table 5'!A7</f>
        <v>15 Year Starting 2020</v>
      </c>
      <c r="B46" s="406"/>
      <c r="E46" s="9"/>
      <c r="G46" s="108"/>
      <c r="H46" s="36"/>
    </row>
    <row r="47" spans="1:103">
      <c r="B47" s="55" t="str">
        <f>"15 year Levelized Prices (Nominal) @ "&amp;TEXT(Discount_Rate,"0.00%")&amp;" Discount Rate (1) (3) "</f>
        <v xml:space="preserve">15 year Levelized Prices (Nominal) @ 6.92% Discount Rate (1) (3) </v>
      </c>
      <c r="E47" s="5"/>
      <c r="H47" s="36"/>
      <c r="I47"/>
      <c r="M47" s="113"/>
    </row>
    <row r="48" spans="1:103">
      <c r="B48" s="47" t="s">
        <v>8</v>
      </c>
      <c r="C48" s="9">
        <f ca="1">'Table 5'!$D$7*(Study_CF*8.76)/'Table 5'!$F$7</f>
        <v>20.004160418066228</v>
      </c>
      <c r="D48" s="9"/>
      <c r="H48" s="36"/>
      <c r="I48"/>
    </row>
    <row r="49" spans="1:18">
      <c r="B49" s="48" t="s">
        <v>33</v>
      </c>
      <c r="E49" s="9">
        <f ca="1">'Table 5'!$C$7/'Table 5'!$F$7</f>
        <v>5.9464166989018477</v>
      </c>
      <c r="G49" s="197">
        <f ca="1">'Table 5'!$G$7</f>
        <v>13.041202360254932</v>
      </c>
      <c r="H49" s="36"/>
      <c r="I49" s="218"/>
      <c r="R49" s="177"/>
    </row>
    <row r="50" spans="1:18" ht="21" customHeight="1">
      <c r="A50" s="406"/>
      <c r="B50" s="406"/>
      <c r="E50" s="9"/>
      <c r="G50" s="108"/>
      <c r="H50" s="36"/>
    </row>
    <row r="51" spans="1:18" hidden="1">
      <c r="B51" s="55"/>
      <c r="E51" s="5"/>
      <c r="H51" s="36"/>
      <c r="I51"/>
      <c r="M51" s="113"/>
    </row>
    <row r="52" spans="1:18" hidden="1">
      <c r="B52" s="47"/>
      <c r="C52" s="9"/>
      <c r="D52" s="9"/>
      <c r="H52" s="36"/>
      <c r="I52"/>
    </row>
    <row r="53" spans="1:18" hidden="1">
      <c r="B53" s="48"/>
      <c r="E53" s="9"/>
      <c r="G53" s="197"/>
      <c r="H53" s="36"/>
      <c r="I53"/>
      <c r="R53" s="177"/>
    </row>
    <row r="54" spans="1:18" hidden="1">
      <c r="B54" s="55"/>
      <c r="E54" s="5"/>
      <c r="H54" s="36"/>
    </row>
    <row r="55" spans="1:18" hidden="1">
      <c r="B55" s="47"/>
      <c r="C55" s="9"/>
      <c r="D55" s="9"/>
      <c r="H55" s="36"/>
    </row>
    <row r="56" spans="1:18" hidden="1">
      <c r="B56" s="48"/>
      <c r="E56" s="9"/>
      <c r="G56" s="108"/>
      <c r="H56" s="36"/>
    </row>
    <row r="57" spans="1:18" hidden="1">
      <c r="B57" s="47"/>
      <c r="C57" s="9"/>
      <c r="D57" s="9"/>
      <c r="H57" s="36"/>
    </row>
    <row r="58" spans="1:18" hidden="1">
      <c r="B58" s="55"/>
      <c r="E58" s="5"/>
      <c r="H58" s="36"/>
    </row>
    <row r="59" spans="1:18" hidden="1">
      <c r="B59" s="47"/>
      <c r="C59" s="9"/>
      <c r="D59" s="9"/>
      <c r="H59" s="36"/>
    </row>
    <row r="60" spans="1:18" hidden="1">
      <c r="A60" s="406"/>
      <c r="B60" s="406"/>
      <c r="E60" s="9"/>
      <c r="G60" s="108"/>
      <c r="H60" s="36"/>
    </row>
    <row r="61" spans="1:18" hidden="1">
      <c r="B61" s="55"/>
      <c r="E61" s="5"/>
      <c r="H61" s="36"/>
    </row>
    <row r="62" spans="1:18" hidden="1">
      <c r="B62" s="47"/>
      <c r="C62" s="9"/>
      <c r="D62" s="9"/>
      <c r="H62" s="36"/>
    </row>
    <row r="63" spans="1:18" hidden="1">
      <c r="B63" s="48"/>
      <c r="E63" s="9"/>
      <c r="G63" s="197"/>
      <c r="H63" s="36"/>
    </row>
    <row r="64" spans="1:18">
      <c r="B64" s="3" t="s">
        <v>16</v>
      </c>
      <c r="E64" s="38"/>
      <c r="G64" s="38"/>
      <c r="H64" s="36"/>
      <c r="I64" s="108"/>
    </row>
    <row r="65" spans="1:13">
      <c r="B65" s="50" t="str">
        <f>"(1)   "&amp;I38</f>
        <v>(1)   Discount Rate - 2019 IRP Update</v>
      </c>
      <c r="E65" s="36"/>
      <c r="F65" s="38"/>
      <c r="G65" s="36"/>
      <c r="H65" s="36"/>
      <c r="I65" s="108"/>
    </row>
    <row r="66" spans="1:13">
      <c r="B66" s="3" t="s">
        <v>22</v>
      </c>
      <c r="F66" s="38"/>
      <c r="H66" s="36"/>
      <c r="I66" s="108"/>
    </row>
    <row r="67" spans="1:13">
      <c r="G67" s="5"/>
    </row>
    <row r="68" spans="1:13">
      <c r="B68" s="3" t="str">
        <f>IF(Study_Cap_Adj&gt;0,"(4)  The capacity payment is derived from:","")</f>
        <v/>
      </c>
    </row>
    <row r="69" spans="1:13">
      <c r="B69" s="94" t="str">
        <f>IF(AND(Study_Cap_Adj&gt;0,_30_Geo_West&lt;&gt;0),"       2028 - "&amp;#REF!&amp;"   ("&amp;TEXT(_30_Geo_West," 0.0%")&amp;")","")</f>
        <v/>
      </c>
    </row>
    <row r="70" spans="1:13" ht="12.75" customHeight="1">
      <c r="B70" s="94"/>
    </row>
    <row r="71" spans="1:13" ht="12.75" customHeight="1">
      <c r="A71" s="3" t="b">
        <f>SUM(P13:AI28)&gt;0</f>
        <v>1</v>
      </c>
      <c r="B71" s="94"/>
    </row>
    <row r="72" spans="1:13">
      <c r="A72" s="3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10</v>
      </c>
      <c r="B72" s="10"/>
      <c r="C72" s="7"/>
      <c r="D72" s="7"/>
      <c r="E72" s="7"/>
      <c r="G72" s="7"/>
    </row>
    <row r="73" spans="1:13">
      <c r="A73">
        <f>INDEX($O$13:$AI$33,IF(SUM($P$13:$AI$33)&gt;0,SUM($P$13:$AI$33),FALSE)-1,1)</f>
        <v>2025</v>
      </c>
      <c r="I73" t="s">
        <v>59</v>
      </c>
    </row>
    <row r="74" spans="1:13" s="53" customFormat="1">
      <c r="A74" s="54"/>
      <c r="B74" s="10"/>
      <c r="C74" s="54"/>
      <c r="D74" s="54"/>
      <c r="E74" s="54"/>
      <c r="F74" s="54"/>
      <c r="G74" s="54"/>
      <c r="I74" t="str">
        <f ca="1">"       Avoided Costs calculated annually are  "&amp;TEXT(PMT(Discount_Rate,COUNT($G$13:$G$27),-NPV(Discount_Rate,$G$13:$G$27)),"$0.00")&amp;"/MWH"</f>
        <v xml:space="preserve">       Avoided Costs calculated annually are  $13.10/MWH</v>
      </c>
      <c r="J74"/>
      <c r="K74"/>
      <c r="L74"/>
      <c r="M74"/>
    </row>
    <row r="75" spans="1:13" s="53" customFormat="1">
      <c r="A75" s="54"/>
      <c r="B75" s="10"/>
      <c r="C75" s="54"/>
      <c r="D75" s="54"/>
      <c r="E75" s="54"/>
      <c r="F75" s="54"/>
      <c r="G75" s="54"/>
      <c r="I75" s="10" t="str">
        <f ca="1">"       Avoided Costs calculated monthly are  "&amp;TEXT($G$40,"$0.00")&amp;"/MWH"</f>
        <v xml:space="preserve">       Avoided Costs calculated monthly are  $14.68/MWH</v>
      </c>
      <c r="J75"/>
      <c r="K75"/>
    </row>
    <row r="76" spans="1:13">
      <c r="A76"/>
      <c r="B76" s="51"/>
      <c r="I76" s="53"/>
      <c r="L76" s="53"/>
      <c r="M76" s="53"/>
    </row>
    <row r="77" spans="1:13">
      <c r="A77"/>
      <c r="F77" s="7"/>
    </row>
    <row r="80" spans="1:13">
      <c r="A80"/>
      <c r="J80" s="53"/>
      <c r="K80" s="53"/>
    </row>
    <row r="81" spans="1:11">
      <c r="A81"/>
      <c r="J81" s="53"/>
      <c r="K81" s="53"/>
    </row>
  </sheetData>
  <mergeCells count="5">
    <mergeCell ref="A37:B37"/>
    <mergeCell ref="A50:B50"/>
    <mergeCell ref="A60:B60"/>
    <mergeCell ref="A46:B46"/>
    <mergeCell ref="A42:B42"/>
  </mergeCells>
  <phoneticPr fontId="8" type="noConversion"/>
  <printOptions horizontalCentered="1"/>
  <pageMargins left="0.25" right="0.25" top="0.75" bottom="0.75" header="0.3" footer="0.3"/>
  <pageSetup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opLeftCell="A2" zoomScaleNormal="100" workbookViewId="0">
      <selection activeCell="F48" sqref="F48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5" customFormat="1" ht="15.75" hidden="1">
      <c r="B1" s="1" t="s">
        <v>37</v>
      </c>
      <c r="C1" s="1"/>
      <c r="D1" s="1"/>
      <c r="E1" s="1"/>
      <c r="F1" s="1"/>
      <c r="G1" s="222"/>
      <c r="H1" s="1"/>
      <c r="I1" s="1"/>
      <c r="J1" s="1"/>
      <c r="K1" s="1"/>
      <c r="L1" s="223"/>
      <c r="M1" s="224"/>
      <c r="N1" s="224"/>
      <c r="O1" s="224"/>
      <c r="P1" s="224"/>
    </row>
    <row r="2" spans="2:16" s="225" customFormat="1" ht="5.25" customHeight="1">
      <c r="B2" s="1"/>
      <c r="C2" s="1"/>
      <c r="D2" s="1"/>
      <c r="E2" s="1"/>
      <c r="F2" s="1"/>
      <c r="G2" s="222"/>
      <c r="H2" s="1"/>
      <c r="I2" s="1"/>
      <c r="J2" s="1"/>
      <c r="K2" s="1"/>
      <c r="L2" s="223"/>
      <c r="M2" s="224"/>
      <c r="N2" s="224"/>
      <c r="O2" s="224"/>
      <c r="P2" s="224"/>
    </row>
    <row r="3" spans="2:16" s="225" customFormat="1" ht="15.75">
      <c r="B3" s="1" t="s">
        <v>97</v>
      </c>
      <c r="C3" s="1"/>
      <c r="D3" s="1"/>
      <c r="E3" s="1"/>
      <c r="F3" s="1"/>
      <c r="G3" s="222"/>
      <c r="H3" s="1"/>
      <c r="I3" s="1"/>
      <c r="J3" s="1"/>
      <c r="K3" s="1"/>
      <c r="L3" s="223"/>
      <c r="M3" s="224"/>
      <c r="N3" s="224"/>
      <c r="O3" s="224"/>
      <c r="P3" s="224"/>
    </row>
    <row r="4" spans="2:16" s="227" customFormat="1" ht="15">
      <c r="B4" s="4" t="s">
        <v>98</v>
      </c>
      <c r="C4" s="4"/>
      <c r="D4" s="4"/>
      <c r="E4" s="4"/>
      <c r="F4" s="4"/>
      <c r="G4" s="4"/>
      <c r="H4" s="4"/>
      <c r="I4" s="4"/>
      <c r="J4" s="4"/>
      <c r="K4" s="4"/>
      <c r="L4" s="4"/>
      <c r="M4" s="226"/>
      <c r="N4" s="226"/>
      <c r="O4" s="226"/>
      <c r="P4" s="226"/>
    </row>
    <row r="5" spans="2:16" s="227" customFormat="1" ht="15">
      <c r="B5" s="4" t="str">
        <f ca="1">'Table 1'!B5</f>
        <v>Utah 2019.Q3_Solar - 80.0 MW and 32.2%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7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6"/>
      <c r="N6" s="226"/>
      <c r="O6" s="226"/>
      <c r="P6" s="226"/>
    </row>
    <row r="7" spans="2:16">
      <c r="D7" s="228"/>
      <c r="E7" s="228"/>
      <c r="F7" s="228"/>
      <c r="G7" s="229"/>
      <c r="H7" s="229"/>
      <c r="I7" s="229"/>
      <c r="J7" s="229"/>
      <c r="K7" s="229"/>
      <c r="L7" s="229"/>
      <c r="M7" s="230"/>
    </row>
    <row r="8" spans="2:16">
      <c r="B8" s="231"/>
      <c r="C8" s="231"/>
      <c r="D8" s="232" t="s">
        <v>99</v>
      </c>
      <c r="E8" s="233"/>
      <c r="F8" s="233"/>
      <c r="G8" s="232"/>
      <c r="H8" s="232"/>
      <c r="I8" s="234" t="s">
        <v>100</v>
      </c>
      <c r="J8" s="235"/>
      <c r="K8" s="235"/>
      <c r="L8" s="236"/>
      <c r="M8" s="237" t="s">
        <v>99</v>
      </c>
      <c r="N8" s="238"/>
      <c r="O8" s="239"/>
    </row>
    <row r="9" spans="2:16">
      <c r="B9" s="240" t="s">
        <v>0</v>
      </c>
      <c r="C9" s="240" t="s">
        <v>246</v>
      </c>
      <c r="D9" s="241" t="s">
        <v>247</v>
      </c>
      <c r="E9" s="242" t="s">
        <v>248</v>
      </c>
      <c r="F9" s="242" t="s">
        <v>249</v>
      </c>
      <c r="G9" s="242" t="s">
        <v>250</v>
      </c>
      <c r="H9" s="243" t="s">
        <v>251</v>
      </c>
      <c r="I9" s="172" t="s">
        <v>252</v>
      </c>
      <c r="J9" s="172" t="s">
        <v>253</v>
      </c>
      <c r="K9" s="172" t="s">
        <v>254</v>
      </c>
      <c r="L9" s="172" t="s">
        <v>255</v>
      </c>
      <c r="M9" s="241" t="s">
        <v>256</v>
      </c>
      <c r="N9" s="242" t="s">
        <v>257</v>
      </c>
      <c r="O9" s="243" t="s">
        <v>258</v>
      </c>
    </row>
    <row r="10" spans="2:16" ht="12.75" customHeight="1">
      <c r="B10" s="221"/>
      <c r="C10" s="221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5"/>
    </row>
    <row r="11" spans="2:16" ht="12.75" customHeight="1">
      <c r="B11" s="245" t="s">
        <v>101</v>
      </c>
      <c r="C11" s="245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5"/>
    </row>
    <row r="12" spans="2:16" ht="12.75" hidden="1" customHeight="1">
      <c r="B12" s="246"/>
      <c r="C12" s="247"/>
      <c r="D12" s="8"/>
      <c r="E12" s="8"/>
      <c r="F12" s="8"/>
      <c r="G12" s="8"/>
      <c r="H12" s="13"/>
      <c r="I12" s="248"/>
      <c r="J12" s="249"/>
      <c r="K12" s="249"/>
      <c r="L12" s="250"/>
      <c r="M12" s="248"/>
      <c r="N12" s="249"/>
      <c r="O12" s="250"/>
    </row>
    <row r="13" spans="2:16" ht="12.75" customHeight="1">
      <c r="B13" s="251">
        <v>2020</v>
      </c>
      <c r="C13" s="252">
        <v>12.418197925842659</v>
      </c>
      <c r="D13" s="253">
        <v>15.698718790727423</v>
      </c>
      <c r="E13" s="253">
        <v>3.4154034645345615</v>
      </c>
      <c r="F13" s="253">
        <v>12.836506529922946</v>
      </c>
      <c r="G13" s="253">
        <v>11.888906768301684</v>
      </c>
      <c r="H13" s="254">
        <v>11.831690514137984</v>
      </c>
      <c r="I13" s="255">
        <v>13.36350901080681</v>
      </c>
      <c r="J13" s="253">
        <v>15.708732592964635</v>
      </c>
      <c r="K13" s="253">
        <v>14.862289570122671</v>
      </c>
      <c r="L13" s="254">
        <v>8.852856822912532</v>
      </c>
      <c r="M13" s="255">
        <v>11.991444457393904</v>
      </c>
      <c r="N13" s="253">
        <v>12.720465041208177</v>
      </c>
      <c r="O13" s="254">
        <v>13.640993367188562</v>
      </c>
    </row>
    <row r="14" spans="2:16" ht="12.75" customHeight="1">
      <c r="B14" s="268">
        <v>2021</v>
      </c>
      <c r="C14" s="256">
        <v>12.587620397282981</v>
      </c>
      <c r="D14" s="257">
        <v>13.7718619950942</v>
      </c>
      <c r="E14" s="257">
        <v>12.69221640832048</v>
      </c>
      <c r="F14" s="257">
        <v>11.707791121370349</v>
      </c>
      <c r="G14" s="257">
        <v>9.8588354341879807</v>
      </c>
      <c r="H14" s="258">
        <v>11.068816534797076</v>
      </c>
      <c r="I14" s="259">
        <v>12.057584009611483</v>
      </c>
      <c r="J14" s="257">
        <v>14.237011948445705</v>
      </c>
      <c r="K14" s="257">
        <v>15.257811224387696</v>
      </c>
      <c r="L14" s="258">
        <v>12.876476945702764</v>
      </c>
      <c r="M14" s="259">
        <v>11.437445924071282</v>
      </c>
      <c r="N14" s="257">
        <v>12.602345561404976</v>
      </c>
      <c r="O14" s="258">
        <v>14.682367242314264</v>
      </c>
    </row>
    <row r="15" spans="2:16" ht="12.75" customHeight="1">
      <c r="B15" s="268">
        <v>2022</v>
      </c>
      <c r="C15" s="256">
        <v>11.575499626087185</v>
      </c>
      <c r="D15" s="257">
        <v>14.488818934336285</v>
      </c>
      <c r="E15" s="257">
        <v>8.9795957077672526</v>
      </c>
      <c r="F15" s="257">
        <v>13.85151857572785</v>
      </c>
      <c r="G15" s="257">
        <v>9.9803111346258007</v>
      </c>
      <c r="H15" s="258">
        <v>11.220778180860115</v>
      </c>
      <c r="I15" s="259">
        <v>12.484188686185377</v>
      </c>
      <c r="J15" s="257">
        <v>12.35106836993177</v>
      </c>
      <c r="K15" s="257">
        <v>13.996941532132771</v>
      </c>
      <c r="L15" s="258">
        <v>7.4554195139711901</v>
      </c>
      <c r="M15" s="259">
        <v>7.8890187538478456</v>
      </c>
      <c r="N15" s="257">
        <v>14.297877532978138</v>
      </c>
      <c r="O15" s="258">
        <v>14.038778700627715</v>
      </c>
    </row>
    <row r="16" spans="2:16" ht="12.75" customHeight="1">
      <c r="B16" s="268">
        <v>2023</v>
      </c>
      <c r="C16" s="256">
        <v>11.430162782287836</v>
      </c>
      <c r="D16" s="257">
        <v>14.110991046394357</v>
      </c>
      <c r="E16" s="257">
        <v>11.771405798586565</v>
      </c>
      <c r="F16" s="257">
        <v>8.4207970605485318</v>
      </c>
      <c r="G16" s="257">
        <v>5.9221733737749149</v>
      </c>
      <c r="H16" s="258">
        <v>11.218083656716493</v>
      </c>
      <c r="I16" s="259">
        <v>11.604735578583625</v>
      </c>
      <c r="J16" s="257">
        <v>13.698063617722395</v>
      </c>
      <c r="K16" s="257">
        <v>14.325807237652125</v>
      </c>
      <c r="L16" s="258">
        <v>12.512512973228016</v>
      </c>
      <c r="M16" s="259">
        <v>7.5347882525796859</v>
      </c>
      <c r="N16" s="257">
        <v>13.811552353803512</v>
      </c>
      <c r="O16" s="258">
        <v>13.297846957194441</v>
      </c>
    </row>
    <row r="17" spans="2:15" ht="12.75" customHeight="1">
      <c r="B17" s="268">
        <v>2024</v>
      </c>
      <c r="C17" s="256">
        <v>-4.3978031618067154E-2</v>
      </c>
      <c r="D17" s="257">
        <v>7.7464580041544444</v>
      </c>
      <c r="E17" s="257">
        <v>-4.1791774535152237</v>
      </c>
      <c r="F17" s="257">
        <v>-3.684482405197858</v>
      </c>
      <c r="G17" s="257">
        <v>-5.7052471296901217</v>
      </c>
      <c r="H17" s="258">
        <v>-0.68937058234077087</v>
      </c>
      <c r="I17" s="259">
        <v>3.7275367957009014</v>
      </c>
      <c r="J17" s="257">
        <v>7.7366618732469119</v>
      </c>
      <c r="K17" s="257">
        <v>1.0416483109080696</v>
      </c>
      <c r="L17" s="258">
        <v>-6.9237700045455215</v>
      </c>
      <c r="M17" s="259">
        <v>-3.3000248797305183</v>
      </c>
      <c r="N17" s="257">
        <v>1.3089270116831269</v>
      </c>
      <c r="O17" s="258">
        <v>2.3883210176338996</v>
      </c>
    </row>
    <row r="18" spans="2:15" ht="12.75" customHeight="1">
      <c r="B18" s="268">
        <v>2025</v>
      </c>
      <c r="C18" s="256">
        <v>-0.14526682081873021</v>
      </c>
      <c r="D18" s="257">
        <v>5.3393137406280706</v>
      </c>
      <c r="E18" s="257">
        <v>-9.504036417630946</v>
      </c>
      <c r="F18" s="257">
        <v>-2.5116853986517</v>
      </c>
      <c r="G18" s="257">
        <v>-8.172458281528252</v>
      </c>
      <c r="H18" s="258">
        <v>2.4209382576423399</v>
      </c>
      <c r="I18" s="259">
        <v>2.8438878611341822</v>
      </c>
      <c r="J18" s="257">
        <v>4.2276852759208152</v>
      </c>
      <c r="K18" s="257">
        <v>5.6014110992107478</v>
      </c>
      <c r="L18" s="258">
        <v>-6.4522008350941036</v>
      </c>
      <c r="M18" s="259">
        <v>-2.8069604995148603</v>
      </c>
      <c r="N18" s="257">
        <v>0.53985002089532763</v>
      </c>
      <c r="O18" s="258">
        <v>3.6105368961969422</v>
      </c>
    </row>
    <row r="19" spans="2:15" ht="12.75" customHeight="1">
      <c r="B19" s="268">
        <v>2026</v>
      </c>
      <c r="C19" s="256">
        <v>1.6717003547739913</v>
      </c>
      <c r="D19" s="257">
        <v>2.6063521068408209</v>
      </c>
      <c r="E19" s="257">
        <v>-4.4685776995377733</v>
      </c>
      <c r="F19" s="257">
        <v>-1.2123091682983083</v>
      </c>
      <c r="G19" s="257">
        <v>-7.6631423558352925</v>
      </c>
      <c r="H19" s="258">
        <v>2.869695944518202</v>
      </c>
      <c r="I19" s="259">
        <v>-1.1749768286887525</v>
      </c>
      <c r="J19" s="257">
        <v>6.3770209864257188</v>
      </c>
      <c r="K19" s="257">
        <v>9.2256479250173999</v>
      </c>
      <c r="L19" s="258">
        <v>-4.517670612624582</v>
      </c>
      <c r="M19" s="259">
        <v>-3.2978008998767048</v>
      </c>
      <c r="N19" s="257">
        <v>10.194957286744819</v>
      </c>
      <c r="O19" s="258">
        <v>18.889750625922868</v>
      </c>
    </row>
    <row r="20" spans="2:15" ht="12.75" customHeight="1">
      <c r="B20" s="268">
        <v>2027</v>
      </c>
      <c r="C20" s="256">
        <v>-1.723593511932751</v>
      </c>
      <c r="D20" s="257">
        <v>-0.21308597786617925</v>
      </c>
      <c r="E20" s="257">
        <v>-2.9527289336153051</v>
      </c>
      <c r="F20" s="257">
        <v>-0.41530603843856939</v>
      </c>
      <c r="G20" s="257">
        <v>-10.388573025283875</v>
      </c>
      <c r="H20" s="258">
        <v>3.2587673277889717</v>
      </c>
      <c r="I20" s="259">
        <v>-6.7933932063395535</v>
      </c>
      <c r="J20" s="257">
        <v>4.2535174643985139</v>
      </c>
      <c r="K20" s="257">
        <v>-1.4086686205570624</v>
      </c>
      <c r="L20" s="258">
        <v>-3.2425530503856907</v>
      </c>
      <c r="M20" s="259">
        <v>-2.293863676541545</v>
      </c>
      <c r="N20" s="257">
        <v>-4.698301317095007</v>
      </c>
      <c r="O20" s="258">
        <v>4.7880879705263082</v>
      </c>
    </row>
    <row r="21" spans="2:15" ht="12.75" customHeight="1">
      <c r="B21" s="268">
        <v>2028</v>
      </c>
      <c r="C21" s="256">
        <v>3.6150488393635425</v>
      </c>
      <c r="D21" s="257">
        <v>7.4754501179907686</v>
      </c>
      <c r="E21" s="257">
        <v>2.3727599050271273</v>
      </c>
      <c r="F21" s="257">
        <v>7.0676168990751824</v>
      </c>
      <c r="G21" s="257">
        <v>-2.0150199061652749</v>
      </c>
      <c r="H21" s="258">
        <v>3.3708406275433398</v>
      </c>
      <c r="I21" s="259">
        <v>-0.42874068174115471</v>
      </c>
      <c r="J21" s="257">
        <v>4.9865108244954088</v>
      </c>
      <c r="K21" s="257">
        <v>9.3925179289868357</v>
      </c>
      <c r="L21" s="258">
        <v>1.5554105510784648</v>
      </c>
      <c r="M21" s="259">
        <v>-3.3607528662693835</v>
      </c>
      <c r="N21" s="257">
        <v>5.9588821948860353</v>
      </c>
      <c r="O21" s="258">
        <v>14.980855620480668</v>
      </c>
    </row>
    <row r="22" spans="2:15" ht="12.75" customHeight="1">
      <c r="B22" s="268">
        <v>2029</v>
      </c>
      <c r="C22" s="256">
        <v>3.3735383974706128</v>
      </c>
      <c r="D22" s="257">
        <v>8.3257341544807169</v>
      </c>
      <c r="E22" s="257">
        <v>1.8985538374563196</v>
      </c>
      <c r="F22" s="257">
        <v>0.62451208270111336</v>
      </c>
      <c r="G22" s="257">
        <v>-12.890576698862729</v>
      </c>
      <c r="H22" s="258">
        <v>5.4166540761571982</v>
      </c>
      <c r="I22" s="259">
        <v>-6.5656627395641518</v>
      </c>
      <c r="J22" s="257">
        <v>15.744555504135162</v>
      </c>
      <c r="K22" s="257">
        <v>7.2061793457902557</v>
      </c>
      <c r="L22" s="258">
        <v>4.1650059541895912</v>
      </c>
      <c r="M22" s="259">
        <v>1.4337272164620631</v>
      </c>
      <c r="N22" s="257">
        <v>9.0803361252399029</v>
      </c>
      <c r="O22" s="258">
        <v>10.006416596382412</v>
      </c>
    </row>
    <row r="23" spans="2:15" ht="12.75" customHeight="1">
      <c r="B23" s="268">
        <v>2030</v>
      </c>
      <c r="C23" s="256">
        <v>2.4207517431280543</v>
      </c>
      <c r="D23" s="257">
        <v>6.0418368052501403</v>
      </c>
      <c r="E23" s="257">
        <v>4.6176316261441093</v>
      </c>
      <c r="F23" s="257">
        <v>-4.7078648332801274</v>
      </c>
      <c r="G23" s="257">
        <v>1.0385003515142832</v>
      </c>
      <c r="H23" s="258">
        <v>3.0126417772294318</v>
      </c>
      <c r="I23" s="259">
        <v>-11.497764830821753</v>
      </c>
      <c r="J23" s="257">
        <v>3.7406301265865753</v>
      </c>
      <c r="K23" s="257">
        <v>18.84432956097821</v>
      </c>
      <c r="L23" s="258">
        <v>-0.24738352833092497</v>
      </c>
      <c r="M23" s="259">
        <v>-6.7877345277814953</v>
      </c>
      <c r="N23" s="257">
        <v>15.252215869914238</v>
      </c>
      <c r="O23" s="258">
        <v>8.8482107989120244</v>
      </c>
    </row>
    <row r="24" spans="2:15" ht="12.75" customHeight="1">
      <c r="B24" s="268">
        <v>2031</v>
      </c>
      <c r="C24" s="256">
        <v>3.6654127693908913</v>
      </c>
      <c r="D24" s="257">
        <v>15.107861506896256</v>
      </c>
      <c r="E24" s="257">
        <v>6.3167569029544985</v>
      </c>
      <c r="F24" s="257">
        <v>13.011206562260359</v>
      </c>
      <c r="G24" s="257">
        <v>1.5168448681456481</v>
      </c>
      <c r="H24" s="258">
        <v>-0.83014747365414732</v>
      </c>
      <c r="I24" s="259">
        <v>-9.3616306423953262</v>
      </c>
      <c r="J24" s="257">
        <v>10.469905602687723</v>
      </c>
      <c r="K24" s="257">
        <v>9.496066868669141</v>
      </c>
      <c r="L24" s="258">
        <v>-6.7722116353521704</v>
      </c>
      <c r="M24" s="259">
        <v>7.2660353612968045</v>
      </c>
      <c r="N24" s="257">
        <v>5.4420813394618364</v>
      </c>
      <c r="O24" s="258">
        <v>2.8833945711021309</v>
      </c>
    </row>
    <row r="25" spans="2:15" ht="12.75" customHeight="1">
      <c r="B25" s="268">
        <v>2032</v>
      </c>
      <c r="C25" s="256">
        <v>2.6592148443607475</v>
      </c>
      <c r="D25" s="257">
        <v>19.165077724871828</v>
      </c>
      <c r="E25" s="257">
        <v>3.2453010401751743</v>
      </c>
      <c r="F25" s="257">
        <v>8.5003754646898422</v>
      </c>
      <c r="G25" s="257">
        <v>-4.4724479891019326</v>
      </c>
      <c r="H25" s="258">
        <v>2.1801602861823026</v>
      </c>
      <c r="I25" s="259">
        <v>-17.854551735549876</v>
      </c>
      <c r="J25" s="257">
        <v>12.267585213245335</v>
      </c>
      <c r="K25" s="257">
        <v>8.2739823419998011</v>
      </c>
      <c r="L25" s="258">
        <v>1.686348656985166</v>
      </c>
      <c r="M25" s="259">
        <v>-5.2139636800167484</v>
      </c>
      <c r="N25" s="257">
        <v>8.2260289156686675</v>
      </c>
      <c r="O25" s="258">
        <v>11.103292213659351</v>
      </c>
    </row>
    <row r="26" spans="2:15" ht="12.75" customHeight="1">
      <c r="B26" s="268">
        <v>2033</v>
      </c>
      <c r="C26" s="256">
        <v>7.8324987837308484</v>
      </c>
      <c r="D26" s="257">
        <v>11.285927422203081</v>
      </c>
      <c r="E26" s="257">
        <v>7.5365582928063697</v>
      </c>
      <c r="F26" s="257">
        <v>7.1722578963582295</v>
      </c>
      <c r="G26" s="257">
        <v>4.4803988449594971</v>
      </c>
      <c r="H26" s="258">
        <v>3.3356968706631851</v>
      </c>
      <c r="I26" s="259">
        <v>1.1955087954557393</v>
      </c>
      <c r="J26" s="257">
        <v>13.80926509582201</v>
      </c>
      <c r="K26" s="257">
        <v>12.48749521827199</v>
      </c>
      <c r="L26" s="258">
        <v>3.7148214930031411</v>
      </c>
      <c r="M26" s="259">
        <v>10.032741339274461</v>
      </c>
      <c r="N26" s="257">
        <v>6.6422234498501727</v>
      </c>
      <c r="O26" s="258">
        <v>22.326783913050715</v>
      </c>
    </row>
    <row r="27" spans="2:15" ht="12.75" customHeight="1">
      <c r="B27" s="268">
        <v>2034</v>
      </c>
      <c r="C27" s="256">
        <v>6.9646659977075656</v>
      </c>
      <c r="D27" s="257">
        <v>9.6500118143534319</v>
      </c>
      <c r="E27" s="257">
        <v>1.5474210147208693</v>
      </c>
      <c r="F27" s="257">
        <v>8.4406109321578846</v>
      </c>
      <c r="G27" s="257">
        <v>5.0420056460649469</v>
      </c>
      <c r="H27" s="258">
        <v>4.2817033368795814</v>
      </c>
      <c r="I27" s="259">
        <v>1.1015569456830512</v>
      </c>
      <c r="J27" s="257">
        <v>14.262361790443116</v>
      </c>
      <c r="K27" s="257">
        <v>12.154868136997933</v>
      </c>
      <c r="L27" s="258">
        <v>-0.69188499498856915</v>
      </c>
      <c r="M27" s="259">
        <v>9.0224879545543679</v>
      </c>
      <c r="N27" s="257">
        <v>9.1566791107859267</v>
      </c>
      <c r="O27" s="258">
        <v>13.685536629497621</v>
      </c>
    </row>
    <row r="28" spans="2:15" ht="12.75" customHeight="1">
      <c r="B28" s="268">
        <v>2035</v>
      </c>
      <c r="C28" s="256">
        <v>5.6318068062944162</v>
      </c>
      <c r="D28" s="257">
        <v>12.655674871210969</v>
      </c>
      <c r="E28" s="257">
        <v>10.556851075107614</v>
      </c>
      <c r="F28" s="257">
        <v>8.2959828907425166</v>
      </c>
      <c r="G28" s="257">
        <v>4.0387419993308695</v>
      </c>
      <c r="H28" s="258">
        <v>5.9409158429688853</v>
      </c>
      <c r="I28" s="259">
        <v>-8.0815283442043793</v>
      </c>
      <c r="J28" s="257">
        <v>14.794512111778278</v>
      </c>
      <c r="K28" s="257">
        <v>12.423201455888124</v>
      </c>
      <c r="L28" s="258">
        <v>-2.1447300299705669</v>
      </c>
      <c r="M28" s="259">
        <v>-4.3113280950597703</v>
      </c>
      <c r="N28" s="257">
        <v>10.440464758645076</v>
      </c>
      <c r="O28" s="258">
        <v>13.788897557344706</v>
      </c>
    </row>
    <row r="29" spans="2:15" ht="12.75" customHeight="1">
      <c r="B29" s="268">
        <v>2036</v>
      </c>
      <c r="C29" s="256">
        <v>11.881814009108231</v>
      </c>
      <c r="D29" s="257">
        <v>15.060890570241051</v>
      </c>
      <c r="E29" s="257">
        <v>10.471463260112495</v>
      </c>
      <c r="F29" s="257">
        <v>10.034139493725009</v>
      </c>
      <c r="G29" s="257">
        <v>5.4508595795670445</v>
      </c>
      <c r="H29" s="258">
        <v>7.5366829684126486</v>
      </c>
      <c r="I29" s="259">
        <v>9.6932730880428792</v>
      </c>
      <c r="J29" s="257">
        <v>21.863870058732449</v>
      </c>
      <c r="K29" s="257">
        <v>14.249946006749948</v>
      </c>
      <c r="L29" s="258">
        <v>10.614429233884806</v>
      </c>
      <c r="M29" s="259">
        <v>5.986402548036394</v>
      </c>
      <c r="N29" s="257">
        <v>17.796995670362776</v>
      </c>
      <c r="O29" s="258">
        <v>18.538351438334924</v>
      </c>
    </row>
    <row r="30" spans="2:15" ht="12.75" customHeight="1">
      <c r="B30" s="269">
        <v>2037</v>
      </c>
      <c r="C30" s="261">
        <v>7.4988396449952885</v>
      </c>
      <c r="D30" s="262">
        <v>16.023674928225319</v>
      </c>
      <c r="E30" s="262">
        <v>15.569849239145721</v>
      </c>
      <c r="F30" s="262">
        <v>10.771850799140587</v>
      </c>
      <c r="G30" s="262">
        <v>4.9677078215645034</v>
      </c>
      <c r="H30" s="263">
        <v>1.6379130019885</v>
      </c>
      <c r="I30" s="264">
        <v>-2.1703905239813031</v>
      </c>
      <c r="J30" s="262">
        <v>18.008244718976218</v>
      </c>
      <c r="K30" s="262">
        <v>5.6844719302650537</v>
      </c>
      <c r="L30" s="263">
        <v>-3.2906036095092674</v>
      </c>
      <c r="M30" s="264">
        <v>5.6552415620678413</v>
      </c>
      <c r="N30" s="262">
        <v>15.201218713024616</v>
      </c>
      <c r="O30" s="263">
        <v>22.437505372876274</v>
      </c>
    </row>
    <row r="31" spans="2:15" ht="12.75" hidden="1" customHeight="1">
      <c r="B31" s="15"/>
      <c r="C31" s="256"/>
      <c r="D31" s="257"/>
      <c r="E31" s="257"/>
      <c r="F31" s="257"/>
      <c r="G31" s="257"/>
      <c r="H31" s="258"/>
      <c r="I31" s="259"/>
      <c r="J31" s="257"/>
      <c r="K31" s="257"/>
      <c r="L31" s="258"/>
      <c r="M31" s="259"/>
      <c r="N31" s="257"/>
      <c r="O31" s="258"/>
    </row>
    <row r="32" spans="2:15" ht="12.75" hidden="1" customHeight="1">
      <c r="B32" s="260"/>
      <c r="C32" s="261"/>
      <c r="D32" s="262"/>
      <c r="E32" s="262"/>
      <c r="F32" s="262"/>
      <c r="G32" s="262"/>
      <c r="H32" s="263"/>
      <c r="I32" s="264"/>
      <c r="J32" s="262"/>
      <c r="K32" s="262"/>
      <c r="L32" s="263"/>
      <c r="M32" s="264"/>
      <c r="N32" s="262"/>
      <c r="O32" s="263"/>
    </row>
    <row r="33" spans="2:16" ht="12.75" customHeight="1">
      <c r="D33" s="10"/>
      <c r="E33" s="10"/>
      <c r="F33" s="10"/>
      <c r="M33" s="265"/>
    </row>
    <row r="34" spans="2:16">
      <c r="B34" s="266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</row>
    <row r="38" spans="2:16" hidden="1">
      <c r="C38" s="267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7"/>
    </row>
    <row r="40" spans="2:16">
      <c r="C40" s="267"/>
    </row>
    <row r="41" spans="2:16">
      <c r="C41" s="267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scale="8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60" zoomScaleNormal="100" workbookViewId="0">
      <selection activeCell="F48" sqref="F48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23" width="0" style="3" hidden="1" customWidth="1"/>
    <col min="24" max="16384" width="9.33203125" style="3"/>
  </cols>
  <sheetData>
    <row r="1" spans="2:18" ht="15.75" hidden="1">
      <c r="B1" s="1" t="s">
        <v>37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57</v>
      </c>
      <c r="C3" s="1"/>
      <c r="D3" s="1"/>
      <c r="H3" s="29"/>
    </row>
    <row r="4" spans="2:18" ht="15.75">
      <c r="B4" s="1" t="s">
        <v>32</v>
      </c>
      <c r="C4" s="1"/>
      <c r="D4" s="1"/>
      <c r="H4" s="95" t="s">
        <v>31</v>
      </c>
    </row>
    <row r="5" spans="2:18" ht="15.75">
      <c r="B5" s="1" t="str">
        <f ca="1">'Table 1'!$B$5</f>
        <v>Utah 2019.Q3_Solar - 80.0 MW and 32.2% CF</v>
      </c>
      <c r="C5" s="1"/>
      <c r="D5" s="1"/>
      <c r="H5" s="96">
        <v>43738</v>
      </c>
    </row>
    <row r="6" spans="2:18">
      <c r="B6" s="11"/>
      <c r="C6" s="11"/>
      <c r="D6" s="11"/>
      <c r="H6" s="29"/>
    </row>
    <row r="7" spans="2:18" ht="14.25">
      <c r="B7" s="21"/>
      <c r="C7" s="28" t="s">
        <v>28</v>
      </c>
      <c r="D7" s="226"/>
      <c r="H7" s="29"/>
    </row>
    <row r="8" spans="2:18">
      <c r="B8" s="22"/>
      <c r="C8" s="16" t="s">
        <v>29</v>
      </c>
      <c r="D8" s="16" t="s">
        <v>29</v>
      </c>
      <c r="E8" s="16" t="s">
        <v>29</v>
      </c>
      <c r="F8" s="16" t="s">
        <v>29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23</v>
      </c>
      <c r="D10" s="24" t="s">
        <v>23</v>
      </c>
      <c r="E10" s="24" t="s">
        <v>23</v>
      </c>
      <c r="F10" s="24" t="s">
        <v>23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61</v>
      </c>
      <c r="J15" s="34"/>
      <c r="K15" s="3" t="s">
        <v>62</v>
      </c>
      <c r="L15" s="3" t="s">
        <v>63</v>
      </c>
      <c r="P15" s="3" t="s">
        <v>62</v>
      </c>
      <c r="R15" s="3" t="s">
        <v>145</v>
      </c>
    </row>
    <row r="16" spans="2:18" ht="13.5" thickBot="1">
      <c r="B16" s="26"/>
      <c r="C16" s="27"/>
      <c r="D16" s="27"/>
      <c r="E16" s="27"/>
      <c r="F16" s="27"/>
      <c r="H16" s="30" t="s">
        <v>30</v>
      </c>
      <c r="I16" s="34" t="s">
        <v>29</v>
      </c>
      <c r="J16" s="3" t="s">
        <v>144</v>
      </c>
      <c r="K16" s="34" t="s">
        <v>29</v>
      </c>
      <c r="L16" s="34" t="s">
        <v>29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92</v>
      </c>
      <c r="Q16" s="103" t="s">
        <v>63</v>
      </c>
      <c r="R16" s="3" t="s">
        <v>144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2.35</v>
      </c>
      <c r="D17" s="27">
        <f t="shared" ref="D17:D38" si="1">ROUND(SUMIF($M$17:$M$340,$B17,$J$17:$J$340)/COUNTIF($M$17:$M$340,$B17),2)</f>
        <v>2.36</v>
      </c>
      <c r="E17" s="27">
        <f t="shared" ref="E17:E38" si="2">ROUND(SUMIF($M$17:$M$340,$B17,$K$17:$K$340)/COUNTIF($M$17:$M$340,$B17),2)</f>
        <v>4.1500000000000004</v>
      </c>
      <c r="F17" s="27">
        <f t="shared" ref="F17:F38" si="3">ROUND(SUMIF($M$17:$M$340,$B17,$L$17:$L$340)/COUNTIF($M$17:$M$340,$B17),2)</f>
        <v>2.1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2.04</v>
      </c>
      <c r="D18" s="27">
        <f t="shared" si="1"/>
        <v>2.0499999999999998</v>
      </c>
      <c r="E18" s="27">
        <f t="shared" si="2"/>
        <v>2.1</v>
      </c>
      <c r="F18" s="27">
        <f t="shared" si="3"/>
        <v>1.89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2.0499999999999998</v>
      </c>
      <c r="D19" s="27">
        <f t="shared" si="1"/>
        <v>2.06</v>
      </c>
      <c r="E19" s="27">
        <f t="shared" si="2"/>
        <v>2.06</v>
      </c>
      <c r="F19" s="27">
        <f t="shared" si="3"/>
        <v>1.94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2.16</v>
      </c>
      <c r="D20" s="27">
        <f t="shared" si="1"/>
        <v>2.17</v>
      </c>
      <c r="E20" s="27">
        <f t="shared" si="2"/>
        <v>2.16</v>
      </c>
      <c r="F20" s="27">
        <f t="shared" si="3"/>
        <v>2.0299999999999998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2.42</v>
      </c>
      <c r="D21" s="27">
        <f t="shared" si="1"/>
        <v>2.4300000000000002</v>
      </c>
      <c r="E21" s="27">
        <f t="shared" si="2"/>
        <v>2.44</v>
      </c>
      <c r="F21" s="27">
        <f t="shared" si="3"/>
        <v>2.29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2.71</v>
      </c>
      <c r="D22" s="27">
        <f t="shared" si="1"/>
        <v>2.72</v>
      </c>
      <c r="E22" s="27">
        <f t="shared" si="2"/>
        <v>2.75</v>
      </c>
      <c r="F22" s="27">
        <f t="shared" si="3"/>
        <v>2.58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2.98</v>
      </c>
      <c r="D23" s="27">
        <f t="shared" si="1"/>
        <v>2.99</v>
      </c>
      <c r="E23" s="27">
        <f t="shared" si="2"/>
        <v>3.06</v>
      </c>
      <c r="F23" s="27">
        <f t="shared" si="3"/>
        <v>2.85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3.16</v>
      </c>
      <c r="D24" s="27">
        <f t="shared" si="1"/>
        <v>3.17</v>
      </c>
      <c r="E24" s="27">
        <f t="shared" si="2"/>
        <v>3.1</v>
      </c>
      <c r="F24" s="27">
        <f t="shared" si="3"/>
        <v>3.02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3.37</v>
      </c>
      <c r="D25" s="27">
        <f t="shared" si="1"/>
        <v>3.38</v>
      </c>
      <c r="E25" s="27">
        <f t="shared" si="2"/>
        <v>3.35</v>
      </c>
      <c r="F25" s="27">
        <f t="shared" si="3"/>
        <v>3.24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3.7</v>
      </c>
      <c r="D26" s="27">
        <f t="shared" si="1"/>
        <v>3.71</v>
      </c>
      <c r="E26" s="27">
        <f t="shared" si="2"/>
        <v>3.7</v>
      </c>
      <c r="F26" s="27">
        <f t="shared" si="3"/>
        <v>3.57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4.04</v>
      </c>
      <c r="D27" s="27">
        <f t="shared" si="1"/>
        <v>4.05</v>
      </c>
      <c r="E27" s="27">
        <f t="shared" si="2"/>
        <v>4.04</v>
      </c>
      <c r="F27" s="27">
        <f t="shared" si="3"/>
        <v>3.9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4.3099999999999996</v>
      </c>
      <c r="D28" s="27">
        <f t="shared" si="1"/>
        <v>4.32</v>
      </c>
      <c r="E28" s="27">
        <f t="shared" si="2"/>
        <v>4.32</v>
      </c>
      <c r="F28" s="27">
        <f t="shared" si="3"/>
        <v>4.17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4.63</v>
      </c>
      <c r="D29" s="27">
        <f t="shared" si="1"/>
        <v>4.6399999999999997</v>
      </c>
      <c r="E29" s="27">
        <f t="shared" si="2"/>
        <v>4.62</v>
      </c>
      <c r="F29" s="27">
        <f t="shared" si="3"/>
        <v>4.4800000000000004</v>
      </c>
      <c r="H29" s="31">
        <v>42736</v>
      </c>
      <c r="I29" s="35">
        <v>2.9365659189280224</v>
      </c>
      <c r="J29" s="35">
        <v>2.9467048218987211</v>
      </c>
      <c r="K29" s="35">
        <v>2.8135887402859616</v>
      </c>
      <c r="L29" s="35">
        <v>3.0826510126176525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4.91</v>
      </c>
      <c r="D30" s="27">
        <f t="shared" si="1"/>
        <v>4.92</v>
      </c>
      <c r="E30" s="27">
        <f t="shared" si="2"/>
        <v>4.87</v>
      </c>
      <c r="F30" s="27">
        <f t="shared" si="3"/>
        <v>4.76</v>
      </c>
      <c r="H30" s="31">
        <v>42767</v>
      </c>
      <c r="I30" s="35">
        <v>2.2424949344592338</v>
      </c>
      <c r="J30" s="35">
        <v>2.2526338374299324</v>
      </c>
      <c r="K30" s="35">
        <v>2.2559061081726517</v>
      </c>
      <c r="L30" s="35">
        <v>2.2490598127356938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4.9800000000000004</v>
      </c>
      <c r="D31" s="27">
        <f t="shared" si="1"/>
        <v>4.99</v>
      </c>
      <c r="E31" s="27">
        <f t="shared" si="2"/>
        <v>4.9400000000000004</v>
      </c>
      <c r="F31" s="27">
        <f t="shared" si="3"/>
        <v>4.83</v>
      </c>
      <c r="H31" s="31">
        <v>42795</v>
      </c>
      <c r="I31" s="35">
        <v>2.1136794713706815</v>
      </c>
      <c r="J31" s="35">
        <v>2.1238183743413801</v>
      </c>
      <c r="K31" s="35">
        <v>2.1843639754367272</v>
      </c>
      <c r="L31" s="35">
        <v>2.1613389321133352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5.26</v>
      </c>
      <c r="D32" s="27">
        <f t="shared" si="1"/>
        <v>5.27</v>
      </c>
      <c r="E32" s="27">
        <f t="shared" si="2"/>
        <v>5.26</v>
      </c>
      <c r="F32" s="27">
        <f t="shared" si="3"/>
        <v>5.0999999999999996</v>
      </c>
      <c r="H32" s="31">
        <v>42826</v>
      </c>
      <c r="I32" s="35">
        <v>1.9776764449626556</v>
      </c>
      <c r="J32" s="35">
        <v>1.987815347933354</v>
      </c>
      <c r="K32" s="35">
        <v>2.02262576128114</v>
      </c>
      <c r="L32" s="35">
        <v>2.0694667469637662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5.48</v>
      </c>
      <c r="D33" s="27">
        <f t="shared" si="1"/>
        <v>5.49</v>
      </c>
      <c r="E33" s="27">
        <f t="shared" si="2"/>
        <v>5.43</v>
      </c>
      <c r="F33" s="27">
        <f t="shared" si="3"/>
        <v>5.32</v>
      </c>
      <c r="H33" s="31">
        <v>42856</v>
      </c>
      <c r="I33" s="35">
        <v>1.7831839406645238</v>
      </c>
      <c r="J33" s="35">
        <v>1.7933228436352224</v>
      </c>
      <c r="K33" s="35">
        <v>1.5708405984016238</v>
      </c>
      <c r="L33" s="35">
        <v>1.8794896381126289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5.55</v>
      </c>
      <c r="D34" s="27">
        <f t="shared" si="1"/>
        <v>5.56</v>
      </c>
      <c r="E34" s="27">
        <f t="shared" si="2"/>
        <v>5.45</v>
      </c>
      <c r="F34" s="27">
        <f t="shared" si="3"/>
        <v>5.39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5.95</v>
      </c>
      <c r="D35" s="27">
        <f t="shared" si="1"/>
        <v>5.96</v>
      </c>
      <c r="E35" s="27">
        <f t="shared" si="2"/>
        <v>5.85</v>
      </c>
      <c r="F35" s="27">
        <f t="shared" si="3"/>
        <v>5.79</v>
      </c>
      <c r="H35" s="31">
        <v>42917</v>
      </c>
      <c r="I35" s="35">
        <v>2.421637499285668</v>
      </c>
      <c r="J35" s="35">
        <v>2.4317764022563666</v>
      </c>
      <c r="K35" s="35">
        <v>2.353571484540065</v>
      </c>
      <c r="L35" s="35">
        <v>2.4674716230698741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6.24</v>
      </c>
      <c r="D36" s="27">
        <f t="shared" si="1"/>
        <v>6.25</v>
      </c>
      <c r="E36" s="27">
        <f t="shared" si="2"/>
        <v>6.13</v>
      </c>
      <c r="F36" s="27">
        <f t="shared" si="3"/>
        <v>6.08</v>
      </c>
      <c r="H36" s="31">
        <v>42948</v>
      </c>
      <c r="I36" s="35">
        <v>2.4788435090089065</v>
      </c>
      <c r="J36" s="35">
        <v>2.4889824119796051</v>
      </c>
      <c r="K36" s="35">
        <v>2.5401507418632927</v>
      </c>
      <c r="L36" s="35">
        <v>2.4624530543656684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6.37</v>
      </c>
      <c r="D37" s="27">
        <f t="shared" si="1"/>
        <v>6.38</v>
      </c>
      <c r="E37" s="27">
        <f t="shared" si="2"/>
        <v>6.25</v>
      </c>
      <c r="F37" s="27">
        <f t="shared" si="3"/>
        <v>6.2</v>
      </c>
      <c r="H37" s="31">
        <v>42979</v>
      </c>
      <c r="I37" s="35">
        <v>2.2194892808138165</v>
      </c>
      <c r="J37" s="35">
        <v>2.2296281837845155</v>
      </c>
      <c r="K37" s="35">
        <v>2.3919118237202426</v>
      </c>
      <c r="L37" s="35">
        <v>2.224504673004402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6.68</v>
      </c>
      <c r="D38" s="27">
        <f t="shared" si="1"/>
        <v>6.69</v>
      </c>
      <c r="E38" s="27">
        <f t="shared" si="2"/>
        <v>6.53</v>
      </c>
      <c r="F38" s="27">
        <f t="shared" si="3"/>
        <v>6.51</v>
      </c>
      <c r="H38" s="31">
        <v>43009</v>
      </c>
      <c r="I38" s="35">
        <v>2.9128539684320356</v>
      </c>
      <c r="J38" s="35">
        <v>2.9229928714027342</v>
      </c>
      <c r="K38" s="35">
        <v>4.6218921162427922</v>
      </c>
      <c r="L38" s="35">
        <v>2.9275610507263972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3.9745333850417399</v>
      </c>
      <c r="J39" s="35">
        <v>3.984672288012439</v>
      </c>
      <c r="K39" s="35">
        <v>8.6680488460990404</v>
      </c>
      <c r="L39" s="35">
        <v>3.8702964836561957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3.9079382357981771</v>
      </c>
      <c r="J40" s="35">
        <v>3.9180771387688758</v>
      </c>
      <c r="K40" s="35">
        <v>5.443905271233902</v>
      </c>
      <c r="L40" s="35">
        <v>3.5768990853253793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Sep 30, 2019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1.9810560792862213</v>
      </c>
      <c r="J62" s="35">
        <v>1.9911949822569199</v>
      </c>
      <c r="K62" s="35">
        <v>2.2312175848182538</v>
      </c>
      <c r="L62" s="35">
        <v>1.8210475961055907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2.0672367545371593</v>
      </c>
      <c r="J63" s="35">
        <v>2.0773756575078579</v>
      </c>
      <c r="K63" s="35">
        <v>2.4875343890818984</v>
      </c>
      <c r="L63" s="35">
        <v>1.74827834989461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2.537681852377573</v>
      </c>
      <c r="J64" s="35">
        <v>2.5478207553482717</v>
      </c>
      <c r="K64" s="35">
        <v>3.0858658382266291</v>
      </c>
      <c r="L64" s="35">
        <v>2.2692057813911473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2.6370431014904185</v>
      </c>
      <c r="J65" s="35">
        <v>2.6471820044611176</v>
      </c>
      <c r="K65" s="35">
        <v>3.0799110033800998</v>
      </c>
      <c r="L65" s="35">
        <v>2.3148747565994179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2.4707650927709621</v>
      </c>
      <c r="J66" s="35">
        <v>2.4809039957416608</v>
      </c>
      <c r="K66" s="35">
        <v>2.7514630257145845</v>
      </c>
      <c r="L66" s="35">
        <v>2.2230349493124559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2.1143826533509076</v>
      </c>
      <c r="J67" s="35">
        <v>2.1245215563216062</v>
      </c>
      <c r="K67" s="35">
        <v>2.2385705113244025</v>
      </c>
      <c r="L67" s="35">
        <v>1.9655823747867107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1.6378542137280747</v>
      </c>
      <c r="J68" s="35">
        <v>1.6479931166987734</v>
      </c>
      <c r="K68" s="35">
        <v>1.6405497492151437</v>
      </c>
      <c r="L68" s="35">
        <v>1.5490411723376492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1.6114930660042583</v>
      </c>
      <c r="J69" s="35">
        <v>1.621631968974957</v>
      </c>
      <c r="K69" s="35">
        <v>1.4860865114134365</v>
      </c>
      <c r="L69" s="35">
        <v>1.5254538994278832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1.6702987032343102</v>
      </c>
      <c r="J70" s="35">
        <v>1.6804376062050088</v>
      </c>
      <c r="K70" s="35">
        <v>1.5131680646719992</v>
      </c>
      <c r="L70" s="35">
        <v>1.5661043059319482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1.9977852691878739</v>
      </c>
      <c r="J71" s="35">
        <v>2.0079241721585723</v>
      </c>
      <c r="K71" s="35">
        <v>1.8799858912181928</v>
      </c>
      <c r="L71" s="35">
        <v>1.8451367258857774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2.046958948595762</v>
      </c>
      <c r="J72" s="35">
        <v>2.0570978515664606</v>
      </c>
      <c r="K72" s="35">
        <v>1.9282977252339468</v>
      </c>
      <c r="L72" s="35">
        <v>1.8887982736123656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1.9617921636418942</v>
      </c>
      <c r="J73" s="35">
        <v>1.9719310666125927</v>
      </c>
      <c r="K73" s="35">
        <v>1.8937596831240777</v>
      </c>
      <c r="L73" s="35">
        <v>1.8270698785506374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1.8010905515563218</v>
      </c>
      <c r="J74" s="35">
        <v>1.8112294545270202</v>
      </c>
      <c r="K74" s="35">
        <v>1.825408535320439</v>
      </c>
      <c r="L74" s="35">
        <v>1.7156576533172738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2.0576047967149953</v>
      </c>
      <c r="J75" s="35">
        <v>2.0677436996856944</v>
      </c>
      <c r="K75" s="35">
        <v>2.2653931587200731</v>
      </c>
      <c r="L75" s="35">
        <v>1.9194115427080196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2.4494733965324951</v>
      </c>
      <c r="J76" s="35">
        <v>2.4596122995031937</v>
      </c>
      <c r="K76" s="35">
        <v>2.7135592073871124</v>
      </c>
      <c r="L76" s="35">
        <v>2.2847633443741842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2.5402165781202473</v>
      </c>
      <c r="J77" s="35">
        <v>2.5503554810909463</v>
      </c>
      <c r="K77" s="35">
        <v>2.7046010645310297</v>
      </c>
      <c r="L77" s="35">
        <v>2.3871421459399778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2.4768484345533812</v>
      </c>
      <c r="J78" s="35">
        <v>2.4869873375240803</v>
      </c>
      <c r="K78" s="35">
        <v>2.5266291743786766</v>
      </c>
      <c r="L78" s="35">
        <v>2.3419750276021278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2.1777507969177736</v>
      </c>
      <c r="J79" s="35">
        <v>2.1878896998884723</v>
      </c>
      <c r="K79" s="35">
        <v>2.2295605872957416</v>
      </c>
      <c r="L79" s="35">
        <v>2.0759908862792331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1.6946320703639868</v>
      </c>
      <c r="J80" s="35">
        <v>1.7047709733346854</v>
      </c>
      <c r="K80" s="35">
        <v>1.6272937690350444</v>
      </c>
      <c r="L80" s="35">
        <v>1.6704905349794237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1.6642153614518911</v>
      </c>
      <c r="J81" s="35">
        <v>1.6743542644225895</v>
      </c>
      <c r="K81" s="35">
        <v>1.6001086534313242</v>
      </c>
      <c r="L81" s="35">
        <v>1.5600820234869015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1.7164307117509887</v>
      </c>
      <c r="J82" s="35">
        <v>1.7265696147216874</v>
      </c>
      <c r="K82" s="35">
        <v>1.6288472042123998</v>
      </c>
      <c r="L82" s="35">
        <v>1.6293382716049383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2.0074172270100377</v>
      </c>
      <c r="J83" s="35">
        <v>2.0175561299807359</v>
      </c>
      <c r="K83" s="35">
        <v>1.8607232950189858</v>
      </c>
      <c r="L83" s="35">
        <v>1.8571812907758707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2.0170491848322012</v>
      </c>
      <c r="J84" s="35">
        <v>2.0271880878028998</v>
      </c>
      <c r="K84" s="35">
        <v>1.8841283850244741</v>
      </c>
      <c r="L84" s="35">
        <v>1.8642072869617583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1.9952505434451995</v>
      </c>
      <c r="J85" s="35">
        <v>2.0053894464158977</v>
      </c>
      <c r="K85" s="35">
        <v>1.8826267310196971</v>
      </c>
      <c r="L85" s="35">
        <v>1.8702295694068052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1.8507711761127446</v>
      </c>
      <c r="J86" s="35">
        <v>1.8609100790834432</v>
      </c>
      <c r="K86" s="35">
        <v>1.8547684601724568</v>
      </c>
      <c r="L86" s="35">
        <v>1.7874231857874132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2.0464520034472269</v>
      </c>
      <c r="J87" s="35">
        <v>2.0565909064179255</v>
      </c>
      <c r="K87" s="35">
        <v>2.299309826759</v>
      </c>
      <c r="L87" s="35">
        <v>1.925935682023487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2.4312233711852378</v>
      </c>
      <c r="J88" s="35">
        <v>2.4413622741559369</v>
      </c>
      <c r="K88" s="35">
        <v>2.6677328696551275</v>
      </c>
      <c r="L88" s="35">
        <v>2.2968079092642775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2.5209526624759202</v>
      </c>
      <c r="J89" s="35">
        <v>2.5310915654466188</v>
      </c>
      <c r="K89" s="35">
        <v>2.7005103518973272</v>
      </c>
      <c r="L89" s="35">
        <v>2.3705808692160995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2.4986470759403834</v>
      </c>
      <c r="J90" s="35">
        <v>2.508785978911082</v>
      </c>
      <c r="K90" s="35">
        <v>2.6019707804804146</v>
      </c>
      <c r="L90" s="35">
        <v>2.3434805982133895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2.2482161725641285</v>
      </c>
      <c r="J91" s="35">
        <v>2.2583550755348272</v>
      </c>
      <c r="K91" s="35">
        <v>2.3545603379002746</v>
      </c>
      <c r="L91" s="35">
        <v>2.1407304225634847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1.8071738933387409</v>
      </c>
      <c r="J92" s="35">
        <v>1.8173127963094395</v>
      </c>
      <c r="K92" s="35">
        <v>1.7098847392977743</v>
      </c>
      <c r="L92" s="35">
        <v>1.7593192010438621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1.8157919608638347</v>
      </c>
      <c r="J93" s="35">
        <v>1.8259308638345333</v>
      </c>
      <c r="K93" s="35">
        <v>1.6714631092445169</v>
      </c>
      <c r="L93" s="35">
        <v>1.7176650807989562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1.8928476234411438</v>
      </c>
      <c r="J94" s="35">
        <v>1.9029865264118424</v>
      </c>
      <c r="K94" s="35">
        <v>1.7475814329349326</v>
      </c>
      <c r="L94" s="35">
        <v>1.8014751781591889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2.0697714802798339</v>
      </c>
      <c r="J95" s="35">
        <v>2.0799103832505326</v>
      </c>
      <c r="K95" s="35">
        <v>1.8959344923723753</v>
      </c>
      <c r="L95" s="35">
        <v>1.9013446953728796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2.0829520541417419</v>
      </c>
      <c r="J96" s="35">
        <v>2.0930909571124405</v>
      </c>
      <c r="K96" s="35">
        <v>1.9184593024440288</v>
      </c>
      <c r="L96" s="35">
        <v>1.9143929740038141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2.0616603579032748</v>
      </c>
      <c r="J97" s="35">
        <v>2.0717992608739739</v>
      </c>
      <c r="K97" s="35">
        <v>1.9219804221793679</v>
      </c>
      <c r="L97" s="35">
        <v>1.9008428385024589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1.9572296573050798</v>
      </c>
      <c r="J98" s="35">
        <v>1.9673685602757784</v>
      </c>
      <c r="K98" s="35">
        <v>1.9182003965811363</v>
      </c>
      <c r="L98" s="35">
        <v>1.8802667068152161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2.3343968478150665</v>
      </c>
      <c r="J99" s="35">
        <v>2.3445357507857656</v>
      </c>
      <c r="K99" s="35">
        <v>2.5122857895744284</v>
      </c>
      <c r="L99" s="35">
        <v>2.2109903844223626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2.5891874794687215</v>
      </c>
      <c r="J100" s="35">
        <v>2.5993263824394202</v>
      </c>
      <c r="K100" s="35">
        <v>2.9355450942312022</v>
      </c>
      <c r="L100" s="35">
        <v>2.4531865100873231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2.646573670282875</v>
      </c>
      <c r="J101" s="35">
        <v>2.6567125732535741</v>
      </c>
      <c r="K101" s="35">
        <v>2.9266905137202768</v>
      </c>
      <c r="L101" s="35">
        <v>2.4949410017063132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2.6162583504004866</v>
      </c>
      <c r="J102" s="35">
        <v>2.6263972533711852</v>
      </c>
      <c r="K102" s="35">
        <v>2.6916039902138227</v>
      </c>
      <c r="L102" s="35">
        <v>2.4599113921509583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2.4591053543546586</v>
      </c>
      <c r="J103" s="35">
        <v>2.4692442573253577</v>
      </c>
      <c r="K103" s="35">
        <v>2.4830812082401463</v>
      </c>
      <c r="L103" s="35">
        <v>2.3495028806584362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2.1428729706985701</v>
      </c>
      <c r="J104" s="35">
        <v>2.1530118736692692</v>
      </c>
      <c r="K104" s="35">
        <v>2.0760294106004471</v>
      </c>
      <c r="L104" s="35">
        <v>2.0916488206363546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2.1535188188178038</v>
      </c>
      <c r="J105" s="35">
        <v>2.1636577217885025</v>
      </c>
      <c r="K105" s="35">
        <v>2.0600290282736862</v>
      </c>
      <c r="L105" s="35">
        <v>2.0520021278731302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2.1984341589779985</v>
      </c>
      <c r="J106" s="35">
        <v>2.2085730619486976</v>
      </c>
      <c r="K106" s="35">
        <v>2.1046643990363654</v>
      </c>
      <c r="L106" s="35">
        <v>2.1039944996486999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2.3572093794991384</v>
      </c>
      <c r="J107" s="35">
        <v>2.3673482824698371</v>
      </c>
      <c r="K107" s="35">
        <v>2.2016505352759221</v>
      </c>
      <c r="L107" s="35">
        <v>2.185897540901335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2.3764732951434655</v>
      </c>
      <c r="J108" s="35">
        <v>2.3866121981141641</v>
      </c>
      <c r="K108" s="35">
        <v>2.2455091884499239</v>
      </c>
      <c r="L108" s="35">
        <v>2.204968101977316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2.3786024647673121</v>
      </c>
      <c r="J109" s="35">
        <v>2.3887413677380107</v>
      </c>
      <c r="K109" s="35">
        <v>2.2407453205727004</v>
      </c>
      <c r="L109" s="35">
        <v>2.2146037538893908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2.3455496410828345</v>
      </c>
      <c r="J110" s="35">
        <v>2.3556885440535336</v>
      </c>
      <c r="K110" s="35">
        <v>2.2812381975290985</v>
      </c>
      <c r="L110" s="35">
        <v>2.2646890695573623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2.6222403031531987</v>
      </c>
      <c r="J111" s="35">
        <v>2.6323792061238973</v>
      </c>
      <c r="K111" s="35">
        <v>2.7253135335624354</v>
      </c>
      <c r="L111" s="35">
        <v>2.4959447154471546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2.7470501987224982</v>
      </c>
      <c r="J112" s="35">
        <v>2.7571891016931969</v>
      </c>
      <c r="K112" s="35">
        <v>3.203357318807277</v>
      </c>
      <c r="L112" s="35">
        <v>2.6094647395362842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2.7721946780898308</v>
      </c>
      <c r="J113" s="35">
        <v>2.7823335810605299</v>
      </c>
      <c r="K113" s="35">
        <v>3.1529224567158041</v>
      </c>
      <c r="L113" s="35">
        <v>2.6193011341965273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2.7339710138902973</v>
      </c>
      <c r="J114" s="35">
        <v>2.7441099168609959</v>
      </c>
      <c r="K114" s="35">
        <v>2.7811854187746521</v>
      </c>
      <c r="L114" s="35">
        <v>2.5764425574626117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2.6700959251748961</v>
      </c>
      <c r="J115" s="35">
        <v>2.6802348281455948</v>
      </c>
      <c r="K115" s="35">
        <v>2.6116538597525967</v>
      </c>
      <c r="L115" s="35">
        <v>2.5583757101274713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2.4785720480584001</v>
      </c>
      <c r="J116" s="35">
        <v>2.4887109510290988</v>
      </c>
      <c r="K116" s="35">
        <v>2.4421223007305422</v>
      </c>
      <c r="L116" s="35">
        <v>2.4239784402288467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2.4913470658014805</v>
      </c>
      <c r="J117" s="35">
        <v>2.5014859687721791</v>
      </c>
      <c r="K117" s="35">
        <v>2.4486467284754343</v>
      </c>
      <c r="L117" s="35">
        <v>2.3864395463213892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2.5041220835445603</v>
      </c>
      <c r="J118" s="35">
        <v>2.5142609865152594</v>
      </c>
      <c r="K118" s="35">
        <v>2.4616955839652199</v>
      </c>
      <c r="L118" s="35">
        <v>2.4066141925122957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2.6445458896887359</v>
      </c>
      <c r="J119" s="35">
        <v>2.6546847926594346</v>
      </c>
      <c r="K119" s="35">
        <v>2.5073147970068912</v>
      </c>
      <c r="L119" s="35">
        <v>2.4703500150557063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2.6700959251748961</v>
      </c>
      <c r="J120" s="35">
        <v>2.6802348281455948</v>
      </c>
      <c r="K120" s="35">
        <v>2.5725590744558189</v>
      </c>
      <c r="L120" s="35">
        <v>2.4956436013249021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2.6956459606610563</v>
      </c>
      <c r="J121" s="35">
        <v>2.705784863631755</v>
      </c>
      <c r="K121" s="35">
        <v>2.5594584377934551</v>
      </c>
      <c r="L121" s="35">
        <v>2.5284650406504063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2.7339710138902973</v>
      </c>
      <c r="J122" s="35">
        <v>2.7441099168609959</v>
      </c>
      <c r="K122" s="35">
        <v>2.6442759984770605</v>
      </c>
      <c r="L122" s="35">
        <v>2.6492118036735923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3.0020436084355673</v>
      </c>
      <c r="J123" s="35">
        <v>3.0121825114062659</v>
      </c>
      <c r="K123" s="35">
        <v>3.2442126639717248</v>
      </c>
      <c r="L123" s="35">
        <v>2.8719358827662353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3.1680174500659026</v>
      </c>
      <c r="J124" s="35">
        <v>3.1781563530366017</v>
      </c>
      <c r="K124" s="35">
        <v>3.6093734929954064</v>
      </c>
      <c r="L124" s="35">
        <v>3.0262066847335136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3.1857605302646252</v>
      </c>
      <c r="J125" s="35">
        <v>3.1958994332353239</v>
      </c>
      <c r="K125" s="35">
        <v>3.561941938913487</v>
      </c>
      <c r="L125" s="35">
        <v>3.0287159690856167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3.1857605302646252</v>
      </c>
      <c r="J126" s="35">
        <v>3.1958994332353239</v>
      </c>
      <c r="K126" s="35">
        <v>3.3753225929405222</v>
      </c>
      <c r="L126" s="35">
        <v>3.023697400381411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3.0292158683970394</v>
      </c>
      <c r="J127" s="35">
        <v>3.0393547713677385</v>
      </c>
      <c r="K127" s="35">
        <v>3.1487281817369448</v>
      </c>
      <c r="L127" s="35">
        <v>2.9138911171333937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2.7029459707999592</v>
      </c>
      <c r="J128" s="35">
        <v>2.7130848737706583</v>
      </c>
      <c r="K128" s="35">
        <v>2.7621817284383372</v>
      </c>
      <c r="L128" s="35">
        <v>2.6461002910769849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2.6899681749974653</v>
      </c>
      <c r="J129" s="35">
        <v>2.700107077968164</v>
      </c>
      <c r="K129" s="35">
        <v>2.7222066632077242</v>
      </c>
      <c r="L129" s="35">
        <v>2.5830670681521628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2.8073766713981549</v>
      </c>
      <c r="J130" s="35">
        <v>2.8175155743688536</v>
      </c>
      <c r="K130" s="35">
        <v>2.7822210422262224</v>
      </c>
      <c r="L130" s="35">
        <v>2.7068249723978721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2.9509435374632464</v>
      </c>
      <c r="J131" s="35">
        <v>2.9610824404339455</v>
      </c>
      <c r="K131" s="35">
        <v>2.8155163361942064</v>
      </c>
      <c r="L131" s="35">
        <v>2.7736723075378902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3.016136683564838</v>
      </c>
      <c r="J132" s="35">
        <v>3.0262755865355371</v>
      </c>
      <c r="K132" s="35">
        <v>2.9021462379180609</v>
      </c>
      <c r="L132" s="35">
        <v>2.8382111010739735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2.8595920216972526</v>
      </c>
      <c r="J133" s="35">
        <v>2.8697309246679512</v>
      </c>
      <c r="K133" s="35">
        <v>2.6889113692397397</v>
      </c>
      <c r="L133" s="35">
        <v>2.6907655525444141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2.8856490023319479</v>
      </c>
      <c r="J134" s="35">
        <v>2.8957879053026465</v>
      </c>
      <c r="K134" s="35">
        <v>2.8221961074568354</v>
      </c>
      <c r="L134" s="35">
        <v>2.7993673793034226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3.1336465689952351</v>
      </c>
      <c r="J135" s="35">
        <v>3.1437854719659337</v>
      </c>
      <c r="K135" s="35">
        <v>3.4086696680810853</v>
      </c>
      <c r="L135" s="35">
        <v>3.0022179263274116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3.3293273963297172</v>
      </c>
      <c r="J136" s="35">
        <v>3.3394662993004158</v>
      </c>
      <c r="K136" s="35">
        <v>3.7618690462391298</v>
      </c>
      <c r="L136" s="35">
        <v>3.1858975409013346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3.3495038132414074</v>
      </c>
      <c r="J137" s="35">
        <v>3.3596427162121061</v>
      </c>
      <c r="K137" s="35">
        <v>3.5447505896174207</v>
      </c>
      <c r="L137" s="35">
        <v>3.1908157382314561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3.3627857761330224</v>
      </c>
      <c r="J138" s="35">
        <v>3.3729246791037215</v>
      </c>
      <c r="K138" s="35">
        <v>3.4562047845081616</v>
      </c>
      <c r="L138" s="35">
        <v>3.1989458195322693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3.1360799057082023</v>
      </c>
      <c r="J139" s="35">
        <v>3.1462188086789014</v>
      </c>
      <c r="K139" s="35">
        <v>3.1020215640711255</v>
      </c>
      <c r="L139" s="35">
        <v>3.0196825454180467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2.8426600537361857</v>
      </c>
      <c r="J140" s="35">
        <v>2.8527989567068843</v>
      </c>
      <c r="K140" s="35">
        <v>2.632055641748531</v>
      </c>
      <c r="L140" s="35">
        <v>2.7844120445648901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2.8560434056575081</v>
      </c>
      <c r="J141" s="35">
        <v>2.8661823086282068</v>
      </c>
      <c r="K141" s="35">
        <v>2.638890756528895</v>
      </c>
      <c r="L141" s="35">
        <v>2.747475378901937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2.962704664909257</v>
      </c>
      <c r="J142" s="35">
        <v>2.9728435678799556</v>
      </c>
      <c r="K142" s="35">
        <v>2.8500025971314971</v>
      </c>
      <c r="L142" s="35">
        <v>2.8605939174947301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3.0694673131907129</v>
      </c>
      <c r="J143" s="35">
        <v>3.0796062161614115</v>
      </c>
      <c r="K143" s="35">
        <v>2.8908579422959444</v>
      </c>
      <c r="L143" s="35">
        <v>2.8910064438422158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3.1094145908952653</v>
      </c>
      <c r="J144" s="35">
        <v>3.1195534938659639</v>
      </c>
      <c r="K144" s="35">
        <v>2.9657852990170546</v>
      </c>
      <c r="L144" s="35">
        <v>2.9305527652313561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3.1360799057082023</v>
      </c>
      <c r="J145" s="35">
        <v>3.1462188086789014</v>
      </c>
      <c r="K145" s="35">
        <v>2.8567859307392824</v>
      </c>
      <c r="L145" s="35">
        <v>2.9644782896717854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3.1627452205211397</v>
      </c>
      <c r="J146" s="35">
        <v>3.1728841234918383</v>
      </c>
      <c r="K146" s="35">
        <v>3.0338775409578007</v>
      </c>
      <c r="L146" s="35">
        <v>3.0736823446752983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3.3361204613200854</v>
      </c>
      <c r="J147" s="35">
        <v>3.3462593642907841</v>
      </c>
      <c r="K147" s="35">
        <v>3.4221327729514992</v>
      </c>
      <c r="L147" s="35">
        <v>3.2026595603733816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3.5495443688532902</v>
      </c>
      <c r="J148" s="35">
        <v>3.5596832718239888</v>
      </c>
      <c r="K148" s="35">
        <v>3.7831511081688998</v>
      </c>
      <c r="L148" s="35">
        <v>3.4039041654120243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3.5869569208151679</v>
      </c>
      <c r="J149" s="35">
        <v>3.5970958237858666</v>
      </c>
      <c r="K149" s="35">
        <v>3.8243689215413963</v>
      </c>
      <c r="L149" s="35">
        <v>3.4258854963364449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3.5596832718239888</v>
      </c>
      <c r="J150" s="35">
        <v>3.5698221747946874</v>
      </c>
      <c r="K150" s="35">
        <v>3.6920680256032932</v>
      </c>
      <c r="L150" s="35">
        <v>3.3938670280036134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3.3825566369258846</v>
      </c>
      <c r="J151" s="35">
        <v>3.3926955398965837</v>
      </c>
      <c r="K151" s="35">
        <v>3.3579759001267204</v>
      </c>
      <c r="L151" s="35">
        <v>3.2636853558165209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3.0417881080807057</v>
      </c>
      <c r="J152" s="35">
        <v>3.0519270110514043</v>
      </c>
      <c r="K152" s="35">
        <v>2.8985215558375645</v>
      </c>
      <c r="L152" s="35">
        <v>2.9815414232660844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3.0553742380614417</v>
      </c>
      <c r="J153" s="35">
        <v>3.0655131410321403</v>
      </c>
      <c r="K153" s="35">
        <v>2.8916346598846228</v>
      </c>
      <c r="L153" s="35">
        <v>2.9448055003513001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3.1236090550542435</v>
      </c>
      <c r="J154" s="35">
        <v>3.1337479580249421</v>
      </c>
      <c r="K154" s="35">
        <v>3.0238837746501472</v>
      </c>
      <c r="L154" s="35">
        <v>3.019883288166215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3.3415954689242624</v>
      </c>
      <c r="J155" s="35">
        <v>3.3517343718949615</v>
      </c>
      <c r="K155" s="35">
        <v>3.1491424311175731</v>
      </c>
      <c r="L155" s="35">
        <v>3.1604032118839704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3.3688691179154415</v>
      </c>
      <c r="J156" s="35">
        <v>3.3790080208861402</v>
      </c>
      <c r="K156" s="35">
        <v>3.2257267853611951</v>
      </c>
      <c r="L156" s="35">
        <v>3.1874031115125967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3.3280093389435264</v>
      </c>
      <c r="J157" s="35">
        <v>3.3381482419142254</v>
      </c>
      <c r="K157" s="35">
        <v>3.0656193997484298</v>
      </c>
      <c r="L157" s="35">
        <v>3.1544813008130079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3.3552829879347055</v>
      </c>
      <c r="J158" s="35">
        <v>3.3654218909054046</v>
      </c>
      <c r="K158" s="35">
        <v>3.2465945979103363</v>
      </c>
      <c r="L158" s="35">
        <v>3.2642875840610257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3.5460971418432523</v>
      </c>
      <c r="J159" s="35">
        <v>3.5562360448139514</v>
      </c>
      <c r="K159" s="35">
        <v>3.6851293484777718</v>
      </c>
      <c r="L159" s="35">
        <v>3.4105286761015758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3.7777710747237152</v>
      </c>
      <c r="J160" s="35">
        <v>3.7879099776944138</v>
      </c>
      <c r="K160" s="35">
        <v>4.0958058281979675</v>
      </c>
      <c r="L160" s="35">
        <v>3.6298401284753585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3.8193405769035791</v>
      </c>
      <c r="J161" s="35">
        <v>3.8294794798742782</v>
      </c>
      <c r="K161" s="35">
        <v>4.1572700800486633</v>
      </c>
      <c r="L161" s="35">
        <v>3.6559366857372275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3.763677999594444</v>
      </c>
      <c r="J162" s="35">
        <v>3.7738169025651431</v>
      </c>
      <c r="K162" s="35">
        <v>4.0434550627210895</v>
      </c>
      <c r="L162" s="35">
        <v>3.5958142326608447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3.6382597698469024</v>
      </c>
      <c r="J163" s="35">
        <v>3.6483986728176014</v>
      </c>
      <c r="K163" s="35">
        <v>3.7232920726681371</v>
      </c>
      <c r="L163" s="35">
        <v>3.5168219612566491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3.4154066825509481</v>
      </c>
      <c r="J164" s="35">
        <v>3.4255455855216468</v>
      </c>
      <c r="K164" s="35">
        <v>3.2680320033578414</v>
      </c>
      <c r="L164" s="35">
        <v>3.3514099367660344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3.443288665720369</v>
      </c>
      <c r="J165" s="35">
        <v>3.4534275686910676</v>
      </c>
      <c r="K165" s="35">
        <v>3.2609379827145846</v>
      </c>
      <c r="L165" s="35">
        <v>3.328826377597109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3.6103777866774815</v>
      </c>
      <c r="J166" s="35">
        <v>3.6205166896481802</v>
      </c>
      <c r="K166" s="35">
        <v>3.367658979398902</v>
      </c>
      <c r="L166" s="35">
        <v>3.5017662551440329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3.6103777866774815</v>
      </c>
      <c r="J167" s="35">
        <v>3.6205166896481802</v>
      </c>
      <c r="K167" s="35">
        <v>3.4174206862468548</v>
      </c>
      <c r="L167" s="35">
        <v>3.4264877245809493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3.5825971925377673</v>
      </c>
      <c r="J168" s="35">
        <v>3.592736095508466</v>
      </c>
      <c r="K168" s="35">
        <v>3.4814222155538976</v>
      </c>
      <c r="L168" s="35">
        <v>3.3989859680819028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3.6103777866774815</v>
      </c>
      <c r="J169" s="35">
        <v>3.6205166896481802</v>
      </c>
      <c r="K169" s="35">
        <v>3.3107514707351156</v>
      </c>
      <c r="L169" s="35">
        <v>3.4340155776372576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3.763677999594444</v>
      </c>
      <c r="J170" s="35">
        <v>3.7738169025651431</v>
      </c>
      <c r="K170" s="35">
        <v>3.6166228571563979</v>
      </c>
      <c r="L170" s="35">
        <v>3.6685834788718257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3.9725394007908346</v>
      </c>
      <c r="J171" s="35">
        <v>3.9826783037615336</v>
      </c>
      <c r="K171" s="35">
        <v>4.1216964144872241</v>
      </c>
      <c r="L171" s="35">
        <v>3.8326906754993475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4.22327447125621</v>
      </c>
      <c r="J172" s="35">
        <v>4.2334133742269087</v>
      </c>
      <c r="K172" s="35">
        <v>4.5983421080724467</v>
      </c>
      <c r="L172" s="35">
        <v>4.0708719462009437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4.3591357710635705</v>
      </c>
      <c r="J173" s="35">
        <v>4.3692746740342692</v>
      </c>
      <c r="K173" s="35">
        <v>4.7138141229225328</v>
      </c>
      <c r="L173" s="35">
        <v>4.1903138813610354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4.2879606722092669</v>
      </c>
      <c r="J174" s="35">
        <v>4.2980995751799655</v>
      </c>
      <c r="K174" s="35">
        <v>4.6484145019558696</v>
      </c>
      <c r="L174" s="35">
        <v>4.1148346080497848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4.1171201571529963</v>
      </c>
      <c r="J175" s="35">
        <v>4.127259060123694</v>
      </c>
      <c r="K175" s="35">
        <v>4.1830571039927644</v>
      </c>
      <c r="L175" s="35">
        <v>3.9908759610559068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3.8039294443881171</v>
      </c>
      <c r="J176" s="35">
        <v>3.8140683473588162</v>
      </c>
      <c r="K176" s="35">
        <v>3.7178032683748148</v>
      </c>
      <c r="L176" s="35">
        <v>3.7360330422563486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3.83241976173578</v>
      </c>
      <c r="J177" s="35">
        <v>3.8425586647064787</v>
      </c>
      <c r="K177" s="35">
        <v>3.703252758880252</v>
      </c>
      <c r="L177" s="35">
        <v>3.714051711331928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4.0175561299807363</v>
      </c>
      <c r="J178" s="35">
        <v>4.0276950329514349</v>
      </c>
      <c r="K178" s="35">
        <v>3.8704541651362745</v>
      </c>
      <c r="L178" s="35">
        <v>3.9048576934658232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3.8039294443881171</v>
      </c>
      <c r="J179" s="35">
        <v>3.8140683473588162</v>
      </c>
      <c r="K179" s="35">
        <v>3.6014509735908935</v>
      </c>
      <c r="L179" s="35">
        <v>3.6180966777075176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3.7185598813748353</v>
      </c>
      <c r="J180" s="35">
        <v>3.7286987843455339</v>
      </c>
      <c r="K180" s="35">
        <v>3.6450507209020024</v>
      </c>
      <c r="L180" s="35">
        <v>3.5335839807286962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3.8752059322721282</v>
      </c>
      <c r="J181" s="35">
        <v>3.8853448352428273</v>
      </c>
      <c r="K181" s="35">
        <v>3.5287502072906598</v>
      </c>
      <c r="L181" s="35">
        <v>3.6961856067449563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4.0602409114873774</v>
      </c>
      <c r="J182" s="35">
        <v>4.0703798144580761</v>
      </c>
      <c r="K182" s="35">
        <v>3.7977533988360404</v>
      </c>
      <c r="L182" s="35">
        <v>3.962169748067851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4.1883966450370078</v>
      </c>
      <c r="J183" s="35">
        <v>4.1985355480077056</v>
      </c>
      <c r="K183" s="35">
        <v>4.2994093987766853</v>
      </c>
      <c r="L183" s="35">
        <v>4.0463813309244205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4.4446067231065607</v>
      </c>
      <c r="J184" s="35">
        <v>4.4547456260772584</v>
      </c>
      <c r="K184" s="35">
        <v>4.7574138702336413</v>
      </c>
      <c r="L184" s="35">
        <v>4.2899826558265577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4.498951243029504</v>
      </c>
      <c r="J185" s="35">
        <v>4.5090901460002026</v>
      </c>
      <c r="K185" s="35">
        <v>4.817324686906983</v>
      </c>
      <c r="L185" s="35">
        <v>4.3287260062230253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4.498951243029504</v>
      </c>
      <c r="J186" s="35">
        <v>4.5090901460002026</v>
      </c>
      <c r="K186" s="35">
        <v>4.817324686906983</v>
      </c>
      <c r="L186" s="35">
        <v>4.32370743751882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4.2661620308222652</v>
      </c>
      <c r="J187" s="35">
        <v>4.2763009337929638</v>
      </c>
      <c r="K187" s="35">
        <v>4.3417663979459089</v>
      </c>
      <c r="L187" s="35">
        <v>4.1384218809595499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4.0042741670891209</v>
      </c>
      <c r="J188" s="35">
        <v>4.0144130700598195</v>
      </c>
      <c r="K188" s="35">
        <v>3.7919021263346684</v>
      </c>
      <c r="L188" s="35">
        <v>3.9343668774465521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4.0333728186150264</v>
      </c>
      <c r="J189" s="35">
        <v>4.043511721585725</v>
      </c>
      <c r="K189" s="35">
        <v>3.8142198117160078</v>
      </c>
      <c r="L189" s="35">
        <v>3.9129877747666364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4.0770714904187368</v>
      </c>
      <c r="J190" s="35">
        <v>4.0872103933894346</v>
      </c>
      <c r="K190" s="35">
        <v>3.9553752881650373</v>
      </c>
      <c r="L190" s="35">
        <v>3.9637756900531964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4.2661620308222652</v>
      </c>
      <c r="J191" s="35">
        <v>4.2763009337929638</v>
      </c>
      <c r="K191" s="35">
        <v>4.1039872534653732</v>
      </c>
      <c r="L191" s="35">
        <v>4.0756897721569807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4.3389593541518812</v>
      </c>
      <c r="J192" s="35">
        <v>4.3490982571225789</v>
      </c>
      <c r="K192" s="35">
        <v>4.2080156291756081</v>
      </c>
      <c r="L192" s="35">
        <v>4.1477564187493732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4.3389593541518812</v>
      </c>
      <c r="J193" s="35">
        <v>4.3490982571225789</v>
      </c>
      <c r="K193" s="35">
        <v>4.0073635854338656</v>
      </c>
      <c r="L193" s="35">
        <v>4.1552842718056802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4.3389593541518812</v>
      </c>
      <c r="J194" s="35">
        <v>4.3490982571225789</v>
      </c>
      <c r="K194" s="35">
        <v>4.066808371554</v>
      </c>
      <c r="L194" s="35">
        <v>4.238090655425073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4.4262553087295959</v>
      </c>
      <c r="J195" s="35">
        <v>4.4363942117002937</v>
      </c>
      <c r="K195" s="35">
        <v>4.6463950362253073</v>
      </c>
      <c r="L195" s="35">
        <v>4.281852574525745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4.6881431724627394</v>
      </c>
      <c r="J196" s="35">
        <v>4.698282075433438</v>
      </c>
      <c r="K196" s="35">
        <v>5.30774417239809</v>
      </c>
      <c r="L196" s="35">
        <v>4.5310746963765931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4.7617516080300106</v>
      </c>
      <c r="J197" s="35">
        <v>4.7718905110007093</v>
      </c>
      <c r="K197" s="35">
        <v>5.378736160003232</v>
      </c>
      <c r="L197" s="35">
        <v>4.5888886078490412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4.7320446223258639</v>
      </c>
      <c r="J198" s="35">
        <v>4.7421835252965625</v>
      </c>
      <c r="K198" s="35">
        <v>5.3331687281341402</v>
      </c>
      <c r="L198" s="35">
        <v>4.5544612265381916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4.5238929443374234</v>
      </c>
      <c r="J199" s="35">
        <v>4.5340318473081211</v>
      </c>
      <c r="K199" s="35">
        <v>4.6344853665322496</v>
      </c>
      <c r="L199" s="35">
        <v>4.3935659138813605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4.2413217185440528</v>
      </c>
      <c r="J200" s="35">
        <v>4.2514606215147515</v>
      </c>
      <c r="K200" s="35">
        <v>4.0345487010375853</v>
      </c>
      <c r="L200" s="35">
        <v>4.1690351500552039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4.3602510503903478</v>
      </c>
      <c r="J201" s="35">
        <v>4.3703899533610464</v>
      </c>
      <c r="K201" s="35">
        <v>4.0193768174720805</v>
      </c>
      <c r="L201" s="35">
        <v>4.2365850848138109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4.3900594251242016</v>
      </c>
      <c r="J202" s="35">
        <v>4.4001983280948993</v>
      </c>
      <c r="K202" s="35">
        <v>4.1409072295138527</v>
      </c>
      <c r="L202" s="35">
        <v>4.2736221218508481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4.6428222761837175</v>
      </c>
      <c r="J203" s="35">
        <v>4.6529611791544161</v>
      </c>
      <c r="K203" s="35">
        <v>4.338348840555728</v>
      </c>
      <c r="L203" s="35">
        <v>4.4485694268794536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4.7320446223258639</v>
      </c>
      <c r="J204" s="35">
        <v>4.7421835252965625</v>
      </c>
      <c r="K204" s="35">
        <v>4.475051136163005</v>
      </c>
      <c r="L204" s="35">
        <v>4.5368962360734715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4.6725292618878633</v>
      </c>
      <c r="J205" s="35">
        <v>4.682668164858562</v>
      </c>
      <c r="K205" s="35">
        <v>4.2472139768175428</v>
      </c>
      <c r="L205" s="35">
        <v>4.4855060925424075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4.6131152904795707</v>
      </c>
      <c r="J206" s="35">
        <v>4.6232541934502684</v>
      </c>
      <c r="K206" s="35">
        <v>4.3535207241212319</v>
      </c>
      <c r="L206" s="35">
        <v>4.5094948509485091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4.8212669684680112</v>
      </c>
      <c r="J207" s="35">
        <v>4.8314058714387098</v>
      </c>
      <c r="K207" s="35">
        <v>5.0293685886159976</v>
      </c>
      <c r="L207" s="35">
        <v>4.6728994479574428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5.074029819527528</v>
      </c>
      <c r="J208" s="35">
        <v>5.0841687224982257</v>
      </c>
      <c r="K208" s="35">
        <v>5.4394754754378294</v>
      </c>
      <c r="L208" s="35">
        <v>4.9130881461407201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5.120060439014499</v>
      </c>
      <c r="J209" s="35">
        <v>5.1301993419851977</v>
      </c>
      <c r="K209" s="35">
        <v>5.4992309485934339</v>
      </c>
      <c r="L209" s="35">
        <v>4.9436010438622899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5.0290130903376253</v>
      </c>
      <c r="J210" s="35">
        <v>5.039151993308324</v>
      </c>
      <c r="K210" s="35">
        <v>5.3906458296962905</v>
      </c>
      <c r="L210" s="35">
        <v>4.8484489812305522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4.9075490327486566</v>
      </c>
      <c r="J211" s="35">
        <v>4.9176879357193553</v>
      </c>
      <c r="K211" s="35">
        <v>5.0107273664877319</v>
      </c>
      <c r="L211" s="35">
        <v>4.7733711934156373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4.5583652144377984</v>
      </c>
      <c r="J212" s="35">
        <v>4.5685041174084962</v>
      </c>
      <c r="K212" s="35">
        <v>4.3129242848196769</v>
      </c>
      <c r="L212" s="35">
        <v>4.4828964368162199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4.5735735688938455</v>
      </c>
      <c r="J213" s="35">
        <v>4.5837124718645441</v>
      </c>
      <c r="K213" s="35">
        <v>4.3052088901054786</v>
      </c>
      <c r="L213" s="35">
        <v>4.4477664558867813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4.6038888887762344</v>
      </c>
      <c r="J214" s="35">
        <v>4.614027791746933</v>
      </c>
      <c r="K214" s="35">
        <v>4.436991974317797</v>
      </c>
      <c r="L214" s="35">
        <v>4.4853053497942383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4.8316086494981247</v>
      </c>
      <c r="J215" s="35">
        <v>4.8417475524688225</v>
      </c>
      <c r="K215" s="35">
        <v>4.6076109379640009</v>
      </c>
      <c r="L215" s="35">
        <v>4.6354609254240691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4.9075490327486566</v>
      </c>
      <c r="J216" s="35">
        <v>4.9176879357193553</v>
      </c>
      <c r="K216" s="35">
        <v>4.661877606826283</v>
      </c>
      <c r="L216" s="35">
        <v>4.7106390846130681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4.9378643526310455</v>
      </c>
      <c r="J217" s="35">
        <v>4.9480032556017433</v>
      </c>
      <c r="K217" s="35">
        <v>4.5610596638159162</v>
      </c>
      <c r="L217" s="35">
        <v>4.7481779785205251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4.9530727070870935</v>
      </c>
      <c r="J218" s="35">
        <v>4.9632116100577921</v>
      </c>
      <c r="K218" s="35">
        <v>4.646343255052729</v>
      </c>
      <c r="L218" s="35">
        <v>4.8460400682525338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5.1655841133529359</v>
      </c>
      <c r="J219" s="35">
        <v>5.1757230163236345</v>
      </c>
      <c r="K219" s="35">
        <v>5.3363791608340074</v>
      </c>
      <c r="L219" s="35">
        <v>5.0137606343470846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5.3325718452803414</v>
      </c>
      <c r="J220" s="35">
        <v>5.3427107482510392</v>
      </c>
      <c r="K220" s="35">
        <v>5.6542637792935055</v>
      </c>
      <c r="L220" s="35">
        <v>5.1690351500552048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5.0883256727162127</v>
      </c>
      <c r="J221" s="35">
        <v>5.0984645756869114</v>
      </c>
      <c r="K221" s="35">
        <v>5.3928724201171665</v>
      </c>
      <c r="L221" s="35">
        <v>4.9121848037739637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5.0573006296258747</v>
      </c>
      <c r="J222" s="35">
        <v>5.0674395325965724</v>
      </c>
      <c r="K222" s="35">
        <v>5.3057764878401059</v>
      </c>
      <c r="L222" s="35">
        <v>4.8764525946000203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4.8403281060529251</v>
      </c>
      <c r="J223" s="35">
        <v>4.8504670090236237</v>
      </c>
      <c r="K223" s="35">
        <v>4.92580624345897</v>
      </c>
      <c r="L223" s="35">
        <v>4.7068249723978717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4.5923305393896383</v>
      </c>
      <c r="J224" s="35">
        <v>4.6024694423603369</v>
      </c>
      <c r="K224" s="35">
        <v>4.4666625862052856</v>
      </c>
      <c r="L224" s="35">
        <v>4.5165208471343972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4.6233555824799755</v>
      </c>
      <c r="J225" s="35">
        <v>4.6334944854506741</v>
      </c>
      <c r="K225" s="35">
        <v>4.4508175473962597</v>
      </c>
      <c r="L225" s="35">
        <v>4.4970488005620801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4.6542792365406065</v>
      </c>
      <c r="J226" s="35">
        <v>4.6644181395113042</v>
      </c>
      <c r="K226" s="35">
        <v>4.5062234020552694</v>
      </c>
      <c r="L226" s="35">
        <v>4.535189922714042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4.8868656706884313</v>
      </c>
      <c r="J227" s="35">
        <v>4.8970045736591299</v>
      </c>
      <c r="K227" s="35">
        <v>4.6804152666093914</v>
      </c>
      <c r="L227" s="35">
        <v>4.6901633242999097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4.9488143678394003</v>
      </c>
      <c r="J228" s="35">
        <v>4.958953270810099</v>
      </c>
      <c r="K228" s="35">
        <v>4.6962085242458382</v>
      </c>
      <c r="L228" s="35">
        <v>4.7514902338653018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4.9798394109297375</v>
      </c>
      <c r="J229" s="35">
        <v>4.9899783139004361</v>
      </c>
      <c r="K229" s="35">
        <v>4.6091643731413559</v>
      </c>
      <c r="L229" s="35">
        <v>4.7897317273913478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4.9953519324749065</v>
      </c>
      <c r="J230" s="35">
        <v>5.0054908354456051</v>
      </c>
      <c r="K230" s="35">
        <v>4.6566477083958535</v>
      </c>
      <c r="L230" s="35">
        <v>4.8878949312456088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5.3208107178343305</v>
      </c>
      <c r="J231" s="35">
        <v>5.3309496208050282</v>
      </c>
      <c r="K231" s="35">
        <v>5.4719940518171359</v>
      </c>
      <c r="L231" s="35">
        <v>5.1674292080698576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5.8013947186454429</v>
      </c>
      <c r="J232" s="35">
        <v>5.8115336216161415</v>
      </c>
      <c r="K232" s="35">
        <v>6.1448903894749263</v>
      </c>
      <c r="L232" s="35">
        <v>5.6331523838201347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5.844282278211498</v>
      </c>
      <c r="J233" s="35">
        <v>5.8544211811821958</v>
      </c>
      <c r="K233" s="35">
        <v>6.2090990434722846</v>
      </c>
      <c r="L233" s="35">
        <v>5.6605537689450971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5.5593791047348686</v>
      </c>
      <c r="J234" s="35">
        <v>5.5695180077055664</v>
      </c>
      <c r="K234" s="35">
        <v>5.9504003052700281</v>
      </c>
      <c r="L234" s="35">
        <v>5.3734916390645386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5.0688589790124707</v>
      </c>
      <c r="J235" s="35">
        <v>5.0789978819831694</v>
      </c>
      <c r="K235" s="35">
        <v>5.1502776265868278</v>
      </c>
      <c r="L235" s="35">
        <v>4.9330620495834587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4.7839558055358413</v>
      </c>
      <c r="J236" s="35">
        <v>4.79409470850654</v>
      </c>
      <c r="K236" s="35">
        <v>4.6006204796659018</v>
      </c>
      <c r="L236" s="35">
        <v>4.7062227441533677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4.7681391169015512</v>
      </c>
      <c r="J237" s="35">
        <v>4.7782780198722499</v>
      </c>
      <c r="K237" s="35">
        <v>4.5683090279769081</v>
      </c>
      <c r="L237" s="35">
        <v>4.6403791227541911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4.7997724941701314</v>
      </c>
      <c r="J238" s="35">
        <v>4.8099113971408292</v>
      </c>
      <c r="K238" s="35">
        <v>4.6410615754497204</v>
      </c>
      <c r="L238" s="35">
        <v>4.679222844524741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5.1163090449153401</v>
      </c>
      <c r="J239" s="35">
        <v>5.1264479478860387</v>
      </c>
      <c r="K239" s="35">
        <v>4.8997085324793987</v>
      </c>
      <c r="L239" s="35">
        <v>4.9173037438522531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5.227127254385076</v>
      </c>
      <c r="J240" s="35">
        <v>5.2372661573557746</v>
      </c>
      <c r="K240" s="35">
        <v>4.9805389428744586</v>
      </c>
      <c r="L240" s="35">
        <v>5.0270096557261867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5.1953924880867897</v>
      </c>
      <c r="J241" s="35">
        <v>5.2055313910574874</v>
      </c>
      <c r="K241" s="35">
        <v>4.7623330816286007</v>
      </c>
      <c r="L241" s="35">
        <v>5.0031212686941684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5.1479424221839203</v>
      </c>
      <c r="J242" s="35">
        <v>5.158081325154618</v>
      </c>
      <c r="K242" s="35">
        <v>4.8189299032569171</v>
      </c>
      <c r="L242" s="35">
        <v>5.0389538492421968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5.4802956615634191</v>
      </c>
      <c r="J243" s="35">
        <v>5.4904345645341177</v>
      </c>
      <c r="K243" s="35">
        <v>5.8614920319527188</v>
      </c>
      <c r="L243" s="35">
        <v>5.3253133795041654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6.1132673740241303</v>
      </c>
      <c r="J244" s="35">
        <v>6.123406276994829</v>
      </c>
      <c r="K244" s="35">
        <v>6.7101854505145653</v>
      </c>
      <c r="L244" s="35">
        <v>5.9418947305028604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6.1450021403224175</v>
      </c>
      <c r="J245" s="35">
        <v>6.1551410432931153</v>
      </c>
      <c r="K245" s="35">
        <v>6.7518692944402687</v>
      </c>
      <c r="L245" s="35">
        <v>5.9582552644785709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5.9996102717225996</v>
      </c>
      <c r="J246" s="35">
        <v>6.0097491746932983</v>
      </c>
      <c r="K246" s="35">
        <v>6.5043035083423923</v>
      </c>
      <c r="L246" s="35">
        <v>5.809304145337749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5.4501831197404442</v>
      </c>
      <c r="J247" s="35">
        <v>5.4603220227111429</v>
      </c>
      <c r="K247" s="35">
        <v>5.4315011748607382</v>
      </c>
      <c r="L247" s="35">
        <v>5.3105587875138012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5.0139061249112844</v>
      </c>
      <c r="J248" s="35">
        <v>5.024045027881983</v>
      </c>
      <c r="K248" s="35">
        <v>4.7465398239921539</v>
      </c>
      <c r="L248" s="35">
        <v>4.9338650205761319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5.0139061249112844</v>
      </c>
      <c r="J249" s="35">
        <v>5.024045027881983</v>
      </c>
      <c r="K249" s="35">
        <v>4.6888038165671109</v>
      </c>
      <c r="L249" s="35">
        <v>4.8836793335340767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5.0462492253878137</v>
      </c>
      <c r="J250" s="35">
        <v>5.0563881283585115</v>
      </c>
      <c r="K250" s="35">
        <v>4.779576212097246</v>
      </c>
      <c r="L250" s="35">
        <v>4.9232256549232156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5.3370329625874477</v>
      </c>
      <c r="J251" s="35">
        <v>5.3471718655581464</v>
      </c>
      <c r="K251" s="35">
        <v>5.0023905977025915</v>
      </c>
      <c r="L251" s="35">
        <v>5.1358122252333631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5.4178400192639158</v>
      </c>
      <c r="J252" s="35">
        <v>5.4279789222346135</v>
      </c>
      <c r="K252" s="35">
        <v>5.0766965803527588</v>
      </c>
      <c r="L252" s="35">
        <v>5.2158082103784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5.4017191635405055</v>
      </c>
      <c r="J253" s="35">
        <v>5.4118580665112042</v>
      </c>
      <c r="K253" s="35">
        <v>4.8951000081199112</v>
      </c>
      <c r="L253" s="35">
        <v>5.2073770149553349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5.3370329625874477</v>
      </c>
      <c r="J254" s="35">
        <v>5.3471718655581464</v>
      </c>
      <c r="K254" s="35">
        <v>5.0436601922476676</v>
      </c>
      <c r="L254" s="35">
        <v>5.2261464619090638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5.5471110321403225</v>
      </c>
      <c r="J255" s="35">
        <v>5.5572499351110212</v>
      </c>
      <c r="K255" s="35">
        <v>5.811108951033825</v>
      </c>
      <c r="L255" s="35">
        <v>5.3914581150255945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6.0318519831694211</v>
      </c>
      <c r="J256" s="35">
        <v>6.0419908861401188</v>
      </c>
      <c r="K256" s="35">
        <v>6.4548007073573341</v>
      </c>
      <c r="L256" s="35">
        <v>5.8612965171133187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6.0762603781810807</v>
      </c>
      <c r="J257" s="35">
        <v>6.0863992811517793</v>
      </c>
      <c r="K257" s="35">
        <v>6.5058569435197491</v>
      </c>
      <c r="L257" s="35">
        <v>5.8902034728495432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5.7628668873567879</v>
      </c>
      <c r="J258" s="35">
        <v>5.7730057903274865</v>
      </c>
      <c r="K258" s="35">
        <v>6.0846171045935362</v>
      </c>
      <c r="L258" s="35">
        <v>5.5749369868513501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5.4824248311872665</v>
      </c>
      <c r="J259" s="35">
        <v>5.4925637341579643</v>
      </c>
      <c r="K259" s="35">
        <v>5.4611200055756477</v>
      </c>
      <c r="L259" s="35">
        <v>5.3424768844725481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5.1029256929940177</v>
      </c>
      <c r="J260" s="35">
        <v>5.1130645959647163</v>
      </c>
      <c r="K260" s="35">
        <v>4.7786441509908322</v>
      </c>
      <c r="L260" s="35">
        <v>5.0219910870219806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5.0865006701814863</v>
      </c>
      <c r="J261" s="35">
        <v>5.096639573152185</v>
      </c>
      <c r="K261" s="35">
        <v>4.7533749387725184</v>
      </c>
      <c r="L261" s="35">
        <v>4.9555452373782991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5.1194521048362569</v>
      </c>
      <c r="J262" s="35">
        <v>5.1295910078069555</v>
      </c>
      <c r="K262" s="35">
        <v>4.8460632376880586</v>
      </c>
      <c r="L262" s="35">
        <v>4.9956937870119438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5.3998941610057791</v>
      </c>
      <c r="J263" s="35">
        <v>5.4100330639764778</v>
      </c>
      <c r="K263" s="35">
        <v>5.0398283854768584</v>
      </c>
      <c r="L263" s="35">
        <v>5.1980424771655116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5.4824248311872665</v>
      </c>
      <c r="J264" s="35">
        <v>5.4925637341579643</v>
      </c>
      <c r="K264" s="35">
        <v>5.107247472174083</v>
      </c>
      <c r="L264" s="35">
        <v>5.2797447756699789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5.498849853999797</v>
      </c>
      <c r="J265" s="35">
        <v>5.5089887569704956</v>
      </c>
      <c r="K265" s="35">
        <v>4.9555804176916149</v>
      </c>
      <c r="L265" s="35">
        <v>5.3035327913279131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5.4824248311872665</v>
      </c>
      <c r="J266" s="35">
        <v>5.4925637341579643</v>
      </c>
      <c r="K266" s="35">
        <v>5.1325166843923977</v>
      </c>
      <c r="L266" s="35">
        <v>5.3700790123456787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5.7463404755145495</v>
      </c>
      <c r="J267" s="35">
        <v>5.7564793784852482</v>
      </c>
      <c r="K267" s="35">
        <v>5.916121169023052</v>
      </c>
      <c r="L267" s="35">
        <v>5.5886878651008738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6.3732288461928421</v>
      </c>
      <c r="J268" s="35">
        <v>6.3833677491635408</v>
      </c>
      <c r="K268" s="35">
        <v>6.7923621713966655</v>
      </c>
      <c r="L268" s="35">
        <v>6.1992469336545213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6.4231122488086791</v>
      </c>
      <c r="J269" s="35">
        <v>6.4332511517793778</v>
      </c>
      <c r="K269" s="35">
        <v>6.8487518683346691</v>
      </c>
      <c r="L269" s="35">
        <v>6.2335739435912876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6.3220273861908138</v>
      </c>
      <c r="J270" s="35">
        <v>6.3321662891615125</v>
      </c>
      <c r="K270" s="35">
        <v>6.6767348130288449</v>
      </c>
      <c r="L270" s="35">
        <v>6.1284851149252235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5.8167044621311979</v>
      </c>
      <c r="J271" s="35">
        <v>5.8268433651018965</v>
      </c>
      <c r="K271" s="35">
        <v>5.7562209081005999</v>
      </c>
      <c r="L271" s="35">
        <v>5.6734013048278626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5.4461275585521651</v>
      </c>
      <c r="J272" s="35">
        <v>5.4562664615228638</v>
      </c>
      <c r="K272" s="35">
        <v>5.1454619775370265</v>
      </c>
      <c r="L272" s="35">
        <v>5.3617481882966969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5.4461275585521651</v>
      </c>
      <c r="J273" s="35">
        <v>5.4562664615228638</v>
      </c>
      <c r="K273" s="35">
        <v>5.1110274977723149</v>
      </c>
      <c r="L273" s="35">
        <v>5.3115625012546417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5.479890105444591</v>
      </c>
      <c r="J274" s="35">
        <v>5.4900290084152896</v>
      </c>
      <c r="K274" s="35">
        <v>5.2142791558938715</v>
      </c>
      <c r="L274" s="35">
        <v>5.3525140218809595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5.8335350410625573</v>
      </c>
      <c r="J275" s="35">
        <v>5.843673944033255</v>
      </c>
      <c r="K275" s="35">
        <v>5.5153348932653525</v>
      </c>
      <c r="L275" s="35">
        <v>5.6273308441232563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5.9514504826117811</v>
      </c>
      <c r="J276" s="35">
        <v>5.9615893855824797</v>
      </c>
      <c r="K276" s="35">
        <v>5.609990876738876</v>
      </c>
      <c r="L276" s="35">
        <v>5.7440627521830772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5.9009587458177029</v>
      </c>
      <c r="J277" s="35">
        <v>5.9110976487884015</v>
      </c>
      <c r="K277" s="35">
        <v>5.394943667020307</v>
      </c>
      <c r="L277" s="35">
        <v>5.7016056609454981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5.867297587954984</v>
      </c>
      <c r="J278" s="35">
        <v>5.8774364909256827</v>
      </c>
      <c r="K278" s="35">
        <v>5.4379738214330526</v>
      </c>
      <c r="L278" s="35">
        <v>5.7510887483689652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6.1536202078475117</v>
      </c>
      <c r="J279" s="35">
        <v>6.1637591108182095</v>
      </c>
      <c r="K279" s="35">
        <v>6.3583841640161403</v>
      </c>
      <c r="L279" s="35">
        <v>5.9918796747967482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6.7430960265639257</v>
      </c>
      <c r="J280" s="35">
        <v>6.7532349295346243</v>
      </c>
      <c r="K280" s="35">
        <v>7.1068292324659827</v>
      </c>
      <c r="L280" s="35">
        <v>6.5654017063133594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6.7989613819324752</v>
      </c>
      <c r="J281" s="35">
        <v>6.8091002849031739</v>
      </c>
      <c r="K281" s="35">
        <v>7.1680345784537858</v>
      </c>
      <c r="L281" s="35">
        <v>6.6056506273210873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6.7302196197911393</v>
      </c>
      <c r="J282" s="35">
        <v>6.740358522761837</v>
      </c>
      <c r="K282" s="35">
        <v>6.9923410598948879</v>
      </c>
      <c r="L282" s="35">
        <v>6.5325802669878543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6.1971161015918081</v>
      </c>
      <c r="J283" s="35">
        <v>6.2072550045625059</v>
      </c>
      <c r="K283" s="35">
        <v>6.061367358105783</v>
      </c>
      <c r="L283" s="35">
        <v>6.0499947003914487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5.767125226604481</v>
      </c>
      <c r="J284" s="35">
        <v>5.7772641295751797</v>
      </c>
      <c r="K284" s="35">
        <v>5.4201610980660435</v>
      </c>
      <c r="L284" s="35">
        <v>5.6795239586469934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5.767125226604481</v>
      </c>
      <c r="J285" s="35">
        <v>5.7772641295751797</v>
      </c>
      <c r="K285" s="35">
        <v>5.4465177149085076</v>
      </c>
      <c r="L285" s="35">
        <v>5.6293382716049383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5.8187322427253374</v>
      </c>
      <c r="J286" s="35">
        <v>5.828871145696036</v>
      </c>
      <c r="K286" s="35">
        <v>5.5255875654358988</v>
      </c>
      <c r="L286" s="35">
        <v>5.6879551540700586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6.1111382044002847</v>
      </c>
      <c r="J287" s="35">
        <v>6.1212771073709824</v>
      </c>
      <c r="K287" s="35">
        <v>5.8857256207194641</v>
      </c>
      <c r="L287" s="35">
        <v>5.9021476663655523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6.1971161015918081</v>
      </c>
      <c r="J288" s="35">
        <v>6.2072550045625059</v>
      </c>
      <c r="K288" s="35">
        <v>5.9559408907359286</v>
      </c>
      <c r="L288" s="35">
        <v>5.9872625915888786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6.1111382044002847</v>
      </c>
      <c r="J289" s="35">
        <v>6.1212771073709824</v>
      </c>
      <c r="K289" s="35">
        <v>5.6485678503098686</v>
      </c>
      <c r="L289" s="35">
        <v>5.9096755194218611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6.0939020693500963</v>
      </c>
      <c r="J290" s="35">
        <v>6.1040409723207949</v>
      </c>
      <c r="K290" s="35">
        <v>5.6837272664906804</v>
      </c>
      <c r="L290" s="35">
        <v>5.9754187694469536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6.369071895974856</v>
      </c>
      <c r="J291" s="35">
        <v>6.3792107989455538</v>
      </c>
      <c r="K291" s="35">
        <v>6.4917206834058137</v>
      </c>
      <c r="L291" s="35">
        <v>6.2051688447254838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6.9537824302950417</v>
      </c>
      <c r="J292" s="35">
        <v>6.9639213332657404</v>
      </c>
      <c r="K292" s="35">
        <v>7.2558554471469465</v>
      </c>
      <c r="L292" s="35">
        <v>6.7739734216601422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7.0298242025752815</v>
      </c>
      <c r="J293" s="35">
        <v>7.0399631055459801</v>
      </c>
      <c r="K293" s="35">
        <v>7.3183553224492126</v>
      </c>
      <c r="L293" s="35">
        <v>6.8341962461106096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6.8892990074013998</v>
      </c>
      <c r="J294" s="35">
        <v>6.8994379103720984</v>
      </c>
      <c r="K294" s="35">
        <v>7.0582584925873366</v>
      </c>
      <c r="L294" s="35">
        <v>6.6900629529258255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6.3275023937949921</v>
      </c>
      <c r="J295" s="35">
        <v>6.3376412967656908</v>
      </c>
      <c r="K295" s="35">
        <v>6.2243227082103676</v>
      </c>
      <c r="L295" s="35">
        <v>6.1790722874636153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5.6953417935719362</v>
      </c>
      <c r="J296" s="35">
        <v>5.7054806965426348</v>
      </c>
      <c r="K296" s="35">
        <v>5.3993450666894809</v>
      </c>
      <c r="L296" s="35">
        <v>5.6084610257954424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5.660261189293319</v>
      </c>
      <c r="J297" s="35">
        <v>5.6704000922640176</v>
      </c>
      <c r="K297" s="35">
        <v>5.3634089329199917</v>
      </c>
      <c r="L297" s="35">
        <v>5.5235468433202843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5.6953417935719362</v>
      </c>
      <c r="J298" s="35">
        <v>5.7054806965426348</v>
      </c>
      <c r="K298" s="35">
        <v>5.4800201335668053</v>
      </c>
      <c r="L298" s="35">
        <v>5.565803191809696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5.870947593024435</v>
      </c>
      <c r="J299" s="35">
        <v>5.8810864959951337</v>
      </c>
      <c r="K299" s="35">
        <v>5.740065182256104</v>
      </c>
      <c r="L299" s="35">
        <v>5.6643678811602935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6.4679261999391668</v>
      </c>
      <c r="J300" s="35">
        <v>6.4780651029098655</v>
      </c>
      <c r="K300" s="35">
        <v>6.0897952218513876</v>
      </c>
      <c r="L300" s="35">
        <v>6.2553545317675399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6.503006804217784</v>
      </c>
      <c r="J301" s="35">
        <v>6.5131457071884826</v>
      </c>
      <c r="K301" s="35">
        <v>5.9911520880893185</v>
      </c>
      <c r="L301" s="35">
        <v>6.2976108802569506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6.3801233002129178</v>
      </c>
      <c r="J302" s="35">
        <v>6.3902622031836156</v>
      </c>
      <c r="K302" s="35">
        <v>5.9911520880893185</v>
      </c>
      <c r="L302" s="35">
        <v>6.2587671584863989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6.6786126036702829</v>
      </c>
      <c r="J303" s="35">
        <v>6.6887515066409815</v>
      </c>
      <c r="K303" s="35">
        <v>6.7802971581858724</v>
      </c>
      <c r="L303" s="35">
        <v>6.5116026498042752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7.222970304167089</v>
      </c>
      <c r="J304" s="35">
        <v>7.2331092071377876</v>
      </c>
      <c r="K304" s="35">
        <v>7.5156415899733506</v>
      </c>
      <c r="L304" s="35">
        <v>7.0404594198534571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7.3031690266653158</v>
      </c>
      <c r="J305" s="35">
        <v>7.3133079296360135</v>
      </c>
      <c r="K305" s="35">
        <v>7.5817143661835349</v>
      </c>
      <c r="L305" s="35">
        <v>7.1047974706413726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6.8908198428470051</v>
      </c>
      <c r="J306" s="35">
        <v>6.9009587458177029</v>
      </c>
      <c r="K306" s="35">
        <v>7.0232026387516822</v>
      </c>
      <c r="L306" s="35">
        <v>6.6915685235370868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6.5680985612896681</v>
      </c>
      <c r="J307" s="35">
        <v>6.5782374642603667</v>
      </c>
      <c r="K307" s="35">
        <v>6.4830214464126232</v>
      </c>
      <c r="L307" s="35">
        <v>6.4172535581652115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6.1557493774713574</v>
      </c>
      <c r="J308" s="35">
        <v>6.1658882804420561</v>
      </c>
      <c r="K308" s="35">
        <v>5.7871342681299724</v>
      </c>
      <c r="L308" s="35">
        <v>6.0642474355113922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6.1379049082429287</v>
      </c>
      <c r="J309" s="35">
        <v>6.1480438112136264</v>
      </c>
      <c r="K309" s="35">
        <v>5.7688555142097577</v>
      </c>
      <c r="L309" s="35">
        <v>5.9963963866305336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6.173695235729495</v>
      </c>
      <c r="J310" s="35">
        <v>6.1838341387001927</v>
      </c>
      <c r="K310" s="35">
        <v>5.9702842755401768</v>
      </c>
      <c r="L310" s="35">
        <v>6.0393553347385325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6.5860444195478056</v>
      </c>
      <c r="J311" s="35">
        <v>6.5961833225185034</v>
      </c>
      <c r="K311" s="35">
        <v>6.2724274175358063</v>
      </c>
      <c r="L311" s="35">
        <v>6.372287182575529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6.6398819943222147</v>
      </c>
      <c r="J312" s="35">
        <v>6.6500208972929133</v>
      </c>
      <c r="K312" s="35">
        <v>6.3182019740952136</v>
      </c>
      <c r="L312" s="35">
        <v>6.4255843822141925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6.6936181800669168</v>
      </c>
      <c r="J313" s="35">
        <v>6.7037570830376154</v>
      </c>
      <c r="K313" s="35">
        <v>6.1899917907908124</v>
      </c>
      <c r="L313" s="35">
        <v>6.4863090635350797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6.621936136064078</v>
      </c>
      <c r="J314" s="35">
        <v>6.6320750390347767</v>
      </c>
      <c r="K314" s="35">
        <v>6.1991570583372102</v>
      </c>
      <c r="L314" s="35">
        <v>6.4981528856770048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6.8908198428470051</v>
      </c>
      <c r="J315" s="35">
        <v>6.9009587458177029</v>
      </c>
      <c r="K315" s="35">
        <v>7.0140373712052853</v>
      </c>
      <c r="L315" s="35">
        <v>6.7216799357623209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7.464478972929129</v>
      </c>
      <c r="J316" s="35">
        <v>7.4746178758998276</v>
      </c>
      <c r="K316" s="35">
        <v>7.7831431275139558</v>
      </c>
      <c r="L316" s="35">
        <v>7.2795440329218106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0</v>
      </c>
      <c r="J317" s="35">
        <v>0</v>
      </c>
      <c r="K317" s="35">
        <v>0</v>
      </c>
      <c r="L317" s="35">
        <v>0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 t="e">
        <v>#N/A</v>
      </c>
      <c r="J318" s="35" t="e">
        <v>#N/A</v>
      </c>
      <c r="K318" s="35" t="e">
        <v>#N/A</v>
      </c>
      <c r="L318" s="35" t="e">
        <v>#N/A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 t="e">
        <v>#N/A</v>
      </c>
      <c r="J319" s="35" t="e">
        <v>#N/A</v>
      </c>
      <c r="K319" s="35" t="e">
        <v>#N/A</v>
      </c>
      <c r="L319" s="35" t="e">
        <v>#N/A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 t="e">
        <v>#N/A</v>
      </c>
      <c r="J320" s="35" t="e">
        <v>#N/A</v>
      </c>
      <c r="K320" s="35" t="e">
        <v>#N/A</v>
      </c>
      <c r="L320" s="35" t="e">
        <v>#N/A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 t="e">
        <v>#N/A</v>
      </c>
      <c r="J321" s="35" t="e">
        <v>#N/A</v>
      </c>
      <c r="K321" s="35" t="e">
        <v>#N/A</v>
      </c>
      <c r="L321" s="35" t="e">
        <v>#N/A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 t="e">
        <v>#N/A</v>
      </c>
      <c r="J322" s="35" t="e">
        <v>#N/A</v>
      </c>
      <c r="K322" s="35" t="e">
        <v>#N/A</v>
      </c>
      <c r="L322" s="35" t="e">
        <v>#N/A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 t="e">
        <v>#N/A</v>
      </c>
      <c r="J323" s="35" t="e">
        <v>#N/A</v>
      </c>
      <c r="K323" s="35" t="e">
        <v>#N/A</v>
      </c>
      <c r="L323" s="35" t="e">
        <v>#N/A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 t="e">
        <v>#N/A</v>
      </c>
      <c r="J324" s="35" t="e">
        <v>#N/A</v>
      </c>
      <c r="K324" s="35" t="e">
        <v>#N/A</v>
      </c>
      <c r="L324" s="35" t="e">
        <v>#N/A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 t="e">
        <v>#N/A</v>
      </c>
      <c r="J325" s="35" t="e">
        <v>#N/A</v>
      </c>
      <c r="K325" s="35" t="e">
        <v>#N/A</v>
      </c>
      <c r="L325" s="35" t="e">
        <v>#N/A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 t="e">
        <v>#N/A</v>
      </c>
      <c r="J326" s="35" t="e">
        <v>#N/A</v>
      </c>
      <c r="K326" s="35" t="e">
        <v>#N/A</v>
      </c>
      <c r="L326" s="35" t="e">
        <v>#N/A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 t="e">
        <v>#N/A</v>
      </c>
      <c r="J327" s="35" t="e">
        <v>#N/A</v>
      </c>
      <c r="K327" s="35" t="e">
        <v>#N/A</v>
      </c>
      <c r="L327" s="35" t="e">
        <v>#N/A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 t="e">
        <v>#N/A</v>
      </c>
      <c r="J328" s="35" t="e">
        <v>#N/A</v>
      </c>
      <c r="K328" s="35" t="e">
        <v>#N/A</v>
      </c>
      <c r="L328" s="35" t="e">
        <v>#N/A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 t="e">
        <v>#N/A</v>
      </c>
      <c r="J329" s="35" t="e">
        <v>#N/A</v>
      </c>
      <c r="K329" s="35" t="e">
        <v>#N/A</v>
      </c>
      <c r="L329" s="35" t="e">
        <v>#N/A</v>
      </c>
      <c r="M329" s="104">
        <f t="shared" ref="M329:M340" si="13">YEAR(H329)</f>
        <v>2042</v>
      </c>
    </row>
    <row r="330" spans="8:15">
      <c r="H330" s="31">
        <v>51898</v>
      </c>
      <c r="I330" s="35" t="e">
        <v>#N/A</v>
      </c>
      <c r="J330" s="35" t="e">
        <v>#N/A</v>
      </c>
      <c r="K330" s="35" t="e">
        <v>#N/A</v>
      </c>
      <c r="L330" s="35" t="e">
        <v>#N/A</v>
      </c>
      <c r="M330" s="104">
        <f t="shared" si="13"/>
        <v>2042</v>
      </c>
    </row>
    <row r="331" spans="8:15">
      <c r="H331" s="31">
        <v>51926</v>
      </c>
      <c r="I331" s="35" t="e">
        <v>#N/A</v>
      </c>
      <c r="J331" s="35" t="e">
        <v>#N/A</v>
      </c>
      <c r="K331" s="35" t="e">
        <v>#N/A</v>
      </c>
      <c r="L331" s="35" t="e">
        <v>#N/A</v>
      </c>
      <c r="M331" s="104">
        <f t="shared" si="13"/>
        <v>2042</v>
      </c>
    </row>
    <row r="332" spans="8:15">
      <c r="H332" s="31">
        <v>51957</v>
      </c>
      <c r="I332" s="35" t="e">
        <v>#N/A</v>
      </c>
      <c r="J332" s="35" t="e">
        <v>#N/A</v>
      </c>
      <c r="K332" s="35" t="e">
        <v>#N/A</v>
      </c>
      <c r="L332" s="35" t="e">
        <v>#N/A</v>
      </c>
      <c r="M332" s="104">
        <f t="shared" si="13"/>
        <v>2042</v>
      </c>
    </row>
    <row r="333" spans="8:15">
      <c r="H333" s="31">
        <v>51987</v>
      </c>
      <c r="I333" s="35" t="e">
        <v>#N/A</v>
      </c>
      <c r="J333" s="35" t="e">
        <v>#N/A</v>
      </c>
      <c r="K333" s="35" t="e">
        <v>#N/A</v>
      </c>
      <c r="L333" s="35" t="e">
        <v>#N/A</v>
      </c>
      <c r="M333" s="104">
        <f t="shared" si="13"/>
        <v>2042</v>
      </c>
    </row>
    <row r="334" spans="8:15">
      <c r="H334" s="31">
        <v>52018</v>
      </c>
      <c r="I334" s="35" t="e">
        <v>#N/A</v>
      </c>
      <c r="J334" s="35" t="e">
        <v>#N/A</v>
      </c>
      <c r="K334" s="35" t="e">
        <v>#N/A</v>
      </c>
      <c r="L334" s="35" t="e">
        <v>#N/A</v>
      </c>
      <c r="M334" s="104">
        <f t="shared" si="13"/>
        <v>2042</v>
      </c>
    </row>
    <row r="335" spans="8:15">
      <c r="H335" s="31">
        <v>52048</v>
      </c>
      <c r="I335" s="35" t="e">
        <v>#N/A</v>
      </c>
      <c r="J335" s="35" t="e">
        <v>#N/A</v>
      </c>
      <c r="K335" s="35" t="e">
        <v>#N/A</v>
      </c>
      <c r="L335" s="35" t="e">
        <v>#N/A</v>
      </c>
      <c r="M335" s="104">
        <f t="shared" si="13"/>
        <v>2042</v>
      </c>
    </row>
    <row r="336" spans="8:15">
      <c r="H336" s="31">
        <v>52079</v>
      </c>
      <c r="I336" s="35" t="e">
        <v>#N/A</v>
      </c>
      <c r="J336" s="35" t="e">
        <v>#N/A</v>
      </c>
      <c r="K336" s="35" t="e">
        <v>#N/A</v>
      </c>
      <c r="L336" s="35" t="e">
        <v>#N/A</v>
      </c>
      <c r="M336" s="104">
        <f t="shared" si="13"/>
        <v>2042</v>
      </c>
    </row>
    <row r="337" spans="8:13">
      <c r="H337" s="31">
        <v>52110</v>
      </c>
      <c r="I337" s="35">
        <v>0</v>
      </c>
      <c r="J337" s="35">
        <v>0</v>
      </c>
      <c r="K337" s="35">
        <v>0</v>
      </c>
      <c r="L337" s="35">
        <v>0</v>
      </c>
      <c r="M337" s="104">
        <f t="shared" si="13"/>
        <v>2042</v>
      </c>
    </row>
    <row r="338" spans="8:13">
      <c r="H338" s="31">
        <v>52140</v>
      </c>
      <c r="I338" s="35">
        <v>0</v>
      </c>
      <c r="J338" s="35">
        <v>0</v>
      </c>
      <c r="K338" s="35">
        <v>0</v>
      </c>
      <c r="L338" s="35">
        <v>0</v>
      </c>
      <c r="M338" s="104">
        <f t="shared" si="13"/>
        <v>2042</v>
      </c>
    </row>
    <row r="339" spans="8:13">
      <c r="H339" s="31">
        <v>52171</v>
      </c>
      <c r="I339" s="35">
        <v>0</v>
      </c>
      <c r="J339" s="35">
        <v>0</v>
      </c>
      <c r="K339" s="35">
        <v>0</v>
      </c>
      <c r="L339" s="35">
        <v>0</v>
      </c>
      <c r="M339" s="104">
        <f t="shared" si="13"/>
        <v>2042</v>
      </c>
    </row>
    <row r="340" spans="8:13">
      <c r="H340" s="31">
        <v>52201</v>
      </c>
      <c r="I340" s="35">
        <v>0</v>
      </c>
      <c r="J340" s="35">
        <v>0</v>
      </c>
      <c r="K340" s="35">
        <v>0</v>
      </c>
      <c r="L340" s="35">
        <v>0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60" zoomScaleNormal="80" workbookViewId="0">
      <selection activeCell="F48" sqref="F48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4"/>
      <c r="J1" s="94"/>
      <c r="K1" s="94"/>
    </row>
    <row r="2" spans="1:18" ht="5.25" customHeight="1"/>
    <row r="3" spans="1:18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56</v>
      </c>
      <c r="O3" s="115"/>
    </row>
    <row r="4" spans="1:18" ht="38.25">
      <c r="B4" s="83" t="str">
        <f ca="1">'Table 1'!B5</f>
        <v>Utah 2019.Q3_Solar - 80.0 MW and 32.2% CF</v>
      </c>
      <c r="C4" s="83"/>
      <c r="D4" s="83"/>
      <c r="E4" s="83"/>
      <c r="F4" s="83"/>
      <c r="G4" s="83"/>
      <c r="K4" s="56">
        <f>MIN(K13:K24)</f>
        <v>43831</v>
      </c>
      <c r="M4" s="57" t="s">
        <v>261</v>
      </c>
      <c r="P4" s="220" t="s">
        <v>232</v>
      </c>
      <c r="Q4" s="220" t="s">
        <v>96</v>
      </c>
      <c r="R4" s="220" t="s">
        <v>96</v>
      </c>
    </row>
    <row r="5" spans="1:18">
      <c r="B5" s="83" t="str">
        <f>TEXT($K$5,"MMMM YYYY")&amp;"  through  "&amp;TEXT($K$6,"MMMM YYYY")</f>
        <v>January 2020  through  December 2039</v>
      </c>
      <c r="C5" s="83"/>
      <c r="D5" s="83"/>
      <c r="E5" s="83"/>
      <c r="F5" s="83"/>
      <c r="G5" s="83"/>
      <c r="J5" s="56" t="s">
        <v>40</v>
      </c>
      <c r="K5" s="191">
        <f>MIN(K13:K24)</f>
        <v>43831</v>
      </c>
      <c r="M5" s="56" t="s">
        <v>41</v>
      </c>
      <c r="O5" s="3" t="s">
        <v>82</v>
      </c>
      <c r="P5" s="5">
        <v>13</v>
      </c>
      <c r="Q5" s="5">
        <v>13</v>
      </c>
      <c r="R5" s="5">
        <v>25</v>
      </c>
    </row>
    <row r="6" spans="1:18">
      <c r="B6" s="83" t="s">
        <v>42</v>
      </c>
      <c r="C6" s="83"/>
      <c r="D6" s="83"/>
      <c r="E6" s="83"/>
      <c r="F6" s="83"/>
      <c r="G6" s="83"/>
      <c r="J6" s="56" t="s">
        <v>43</v>
      </c>
      <c r="K6" s="191">
        <f>EDATE(K5,20*12-1)</f>
        <v>51105</v>
      </c>
      <c r="M6" s="57">
        <v>80</v>
      </c>
      <c r="N6" s="56" t="s">
        <v>34</v>
      </c>
      <c r="O6" s="5" t="s">
        <v>83</v>
      </c>
      <c r="P6">
        <f>P5+12*20-1</f>
        <v>252</v>
      </c>
      <c r="Q6">
        <f>Q5+15*12-1</f>
        <v>192</v>
      </c>
      <c r="R6">
        <f>R5+179</f>
        <v>204</v>
      </c>
    </row>
    <row r="7" spans="1:18">
      <c r="A7" s="107" t="str">
        <f>Q4</f>
        <v>15 Year Starting 2020</v>
      </c>
      <c r="B7" s="174"/>
      <c r="C7" s="58">
        <f ca="1">NPV($K$9,INDIRECT("C"&amp;$Q$5&amp;":C"&amp;$Q$6))</f>
        <v>12317667.431696525</v>
      </c>
      <c r="D7" s="58">
        <f ca="1">NPV($K$9,INDIRECT("d"&amp;$Q$5&amp;":d"&amp;$Q$6))</f>
        <v>14696449.088718474</v>
      </c>
      <c r="E7" s="58">
        <f ca="1">NPV($K$9,INDIRECT("e"&amp;$Q$5&amp;":e"&amp;$Q$6))</f>
        <v>27014116.520415001</v>
      </c>
      <c r="F7" s="58">
        <f ca="1">NPV($K$9,INDIRECT("f"&amp;$Q$5&amp;":f"&amp;$Q$6))</f>
        <v>2071443.7038983975</v>
      </c>
      <c r="G7" s="91">
        <f ca="1">($C7+D7)/$F7</f>
        <v>13.041202360254932</v>
      </c>
      <c r="M7" s="111">
        <f ca="1">SUM(OFFSET(F12,MATCH(K5,B13:B24,0),0,12))/(EDATE(K5,12)-K5)/24/Study_MW</f>
        <v>0.32186736363854307</v>
      </c>
      <c r="N7" s="88" t="s">
        <v>36</v>
      </c>
    </row>
    <row r="8" spans="1:18">
      <c r="A8" s="107"/>
      <c r="B8" s="107" t="str">
        <f>"Nominal NPV at "&amp;TEXT(J9,"0.00%")&amp;" Discount Rate"</f>
        <v>Nominal NPV at 6.92% Discount Rate</v>
      </c>
      <c r="J8" s="56" t="str">
        <f>'Table 1'!I38</f>
        <v>Discount Rate - 2019 IRP Update</v>
      </c>
    </row>
    <row r="9" spans="1:18" hidden="1">
      <c r="A9" s="107" t="str">
        <f>P4</f>
        <v>20 Year Starting 2020</v>
      </c>
      <c r="C9" s="58">
        <f ca="1">NPV($K$9,INDIRECT("C"&amp;$P$5&amp;":C"&amp;$P$6))</f>
        <v>15846014.002380479</v>
      </c>
      <c r="D9" s="58">
        <f ca="1">NPV($K$9,INDIRECT("d"&amp;$P$5&amp;":d"&amp;$P$6))</f>
        <v>19295419.403929476</v>
      </c>
      <c r="E9" s="58">
        <f ca="1">NPV($K$9,INDIRECT("e"&amp;$P$5&amp;":e"&amp;$P$6))</f>
        <v>35141433.406309977</v>
      </c>
      <c r="F9" s="58">
        <f ca="1">NPV($K$9,INDIRECT("f"&amp;$P$5&amp;":f"&amp;$P$6))</f>
        <v>2393964.0263742721</v>
      </c>
      <c r="G9" s="91">
        <f ca="1">($C9+D9)/$F9</f>
        <v>14.679181900461835</v>
      </c>
      <c r="J9" s="110">
        <f>'Table 1'!I39</f>
        <v>6.9199999999999998E-2</v>
      </c>
      <c r="K9" s="93">
        <f>((1+J9)^(1/12))-1</f>
        <v>5.5914663265468345E-3</v>
      </c>
    </row>
    <row r="10" spans="1:18">
      <c r="A10" s="107"/>
      <c r="C10" s="58"/>
      <c r="D10" s="58"/>
      <c r="E10" s="58"/>
      <c r="F10" s="58"/>
      <c r="G10" s="91"/>
      <c r="N10" s="59"/>
    </row>
    <row r="11" spans="1:18">
      <c r="B11" s="92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31.8% CF</v>
      </c>
      <c r="E12" s="66" t="s">
        <v>52</v>
      </c>
      <c r="F12" s="67" t="s">
        <v>48</v>
      </c>
      <c r="G12" s="65" t="str">
        <f>D12</f>
        <v>31.8%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73</v>
      </c>
      <c r="R12" s="56" t="s">
        <v>74</v>
      </c>
    </row>
    <row r="13" spans="1:18">
      <c r="B13" s="74">
        <v>43831</v>
      </c>
      <c r="C13" s="69">
        <v>195512.88183580339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195512.88183580339</v>
      </c>
      <c r="F13" s="69">
        <v>12454.06612107</v>
      </c>
      <c r="G13" s="72">
        <f t="shared" ref="G13:G17" si="1">IF(ISNUMBER($F13),E13/$F13,"")</f>
        <v>15.698718790727423</v>
      </c>
      <c r="I13" s="60">
        <v>1</v>
      </c>
      <c r="J13" s="73">
        <f>YEAR(B13)</f>
        <v>2020</v>
      </c>
      <c r="K13" s="74">
        <f t="shared" ref="K13:K24" si="2">IF(ISNUMBER(F13),B13,"")</f>
        <v>43831</v>
      </c>
      <c r="L13" s="56">
        <v>348</v>
      </c>
      <c r="M13" s="56" t="s">
        <v>51</v>
      </c>
    </row>
    <row r="14" spans="1:18">
      <c r="B14" s="78">
        <f t="shared" ref="B14:B77" si="3">EDATE(B13,1)</f>
        <v>43862</v>
      </c>
      <c r="C14" s="75">
        <v>43562.543246373534</v>
      </c>
      <c r="D14" s="71">
        <f>IF(ISNUMBER($F14),VLOOKUP($J14,'Table 1'!$B$13:$C$33,2,FALSE)/12*1000*Study_MW,"")</f>
        <v>0</v>
      </c>
      <c r="E14" s="71">
        <f t="shared" si="0"/>
        <v>43562.543246373534</v>
      </c>
      <c r="F14" s="75">
        <v>12754.728306253</v>
      </c>
      <c r="G14" s="76">
        <f t="shared" si="1"/>
        <v>3.4154034645345615</v>
      </c>
      <c r="I14" s="77">
        <f>I13+1</f>
        <v>2</v>
      </c>
      <c r="J14" s="73">
        <f t="shared" ref="J14:J77" si="4">YEAR(B14)</f>
        <v>2020</v>
      </c>
      <c r="K14" s="78">
        <f t="shared" si="2"/>
        <v>43862</v>
      </c>
      <c r="L14" s="56">
        <v>444</v>
      </c>
      <c r="M14" s="90" t="s">
        <v>259</v>
      </c>
    </row>
    <row r="15" spans="1:18">
      <c r="B15" s="78">
        <f t="shared" si="3"/>
        <v>43891</v>
      </c>
      <c r="C15" s="75">
        <v>217375.88306581974</v>
      </c>
      <c r="D15" s="71">
        <f>IF(ISNUMBER($F15),VLOOKUP($J15,'Table 1'!$B$13:$C$33,2,FALSE)/12*1000*Study_MW,"")</f>
        <v>0</v>
      </c>
      <c r="E15" s="71">
        <f t="shared" si="0"/>
        <v>217375.88306581974</v>
      </c>
      <c r="F15" s="75">
        <v>16934.19331491</v>
      </c>
      <c r="G15" s="76">
        <f t="shared" si="1"/>
        <v>12.836506529922946</v>
      </c>
      <c r="I15" s="77">
        <f t="shared" ref="I15:I24" si="5">I14+1</f>
        <v>3</v>
      </c>
      <c r="J15" s="73">
        <f t="shared" si="4"/>
        <v>2020</v>
      </c>
      <c r="K15" s="78">
        <f t="shared" si="2"/>
        <v>43891</v>
      </c>
    </row>
    <row r="16" spans="1:18">
      <c r="B16" s="78">
        <f t="shared" si="3"/>
        <v>43922</v>
      </c>
      <c r="C16" s="75">
        <v>238651.18092915416</v>
      </c>
      <c r="D16" s="71">
        <f>IF(ISNUMBER($F16),VLOOKUP($J16,'Table 1'!$B$13:$C$33,2,FALSE)/12*1000*Study_MW,"")</f>
        <v>0</v>
      </c>
      <c r="E16" s="71">
        <f t="shared" si="0"/>
        <v>238651.18092915416</v>
      </c>
      <c r="F16" s="75">
        <v>20073.433628519</v>
      </c>
      <c r="G16" s="76">
        <f t="shared" si="1"/>
        <v>11.888906768301684</v>
      </c>
      <c r="I16" s="77">
        <f t="shared" si="5"/>
        <v>4</v>
      </c>
      <c r="J16" s="73">
        <f t="shared" si="4"/>
        <v>2020</v>
      </c>
      <c r="K16" s="78">
        <f t="shared" si="2"/>
        <v>43922</v>
      </c>
      <c r="L16" s="73">
        <f>YEAR(B13)</f>
        <v>2020</v>
      </c>
      <c r="M16" s="56">
        <f>SUMIF($J$13:$J$264,L16,$C$13:$C$264)</f>
        <v>2808780.7136199623</v>
      </c>
      <c r="N16" s="56">
        <f>SUMIF($J$13:$J$264,L16,$D$13:$D$264)</f>
        <v>0</v>
      </c>
      <c r="O16" s="56">
        <f t="shared" ref="O16:O25" si="6">SUMIF($J$13:$J$264,L16,$F$13:$F$264)</f>
        <v>226182.63377607698</v>
      </c>
      <c r="P16" s="114">
        <f t="shared" ref="P16:P25" si="7">(M16+N16)/O16</f>
        <v>12.41819792584378</v>
      </c>
      <c r="Q16" s="167">
        <f>M16/O16</f>
        <v>12.41819792584378</v>
      </c>
      <c r="R16" s="167">
        <f>IFERROR(N16/O16,0)</f>
        <v>0</v>
      </c>
    </row>
    <row r="17" spans="2:18">
      <c r="B17" s="78">
        <f t="shared" si="3"/>
        <v>43952</v>
      </c>
      <c r="C17" s="75">
        <v>325015.99801717699</v>
      </c>
      <c r="D17" s="71">
        <f>IF(ISNUMBER($F17),VLOOKUP($J17,'Table 1'!$B$13:$C$33,2,FALSE)/12*1000*Study_MW,"")</f>
        <v>0</v>
      </c>
      <c r="E17" s="71">
        <f t="shared" si="0"/>
        <v>325015.99801717699</v>
      </c>
      <c r="F17" s="75">
        <v>27469.954325530001</v>
      </c>
      <c r="G17" s="76">
        <f t="shared" si="1"/>
        <v>11.831690514137984</v>
      </c>
      <c r="I17" s="77">
        <f t="shared" si="5"/>
        <v>5</v>
      </c>
      <c r="J17" s="73">
        <f t="shared" si="4"/>
        <v>2020</v>
      </c>
      <c r="K17" s="78">
        <f t="shared" si="2"/>
        <v>43952</v>
      </c>
      <c r="L17" s="73">
        <f>L16+1</f>
        <v>2021</v>
      </c>
      <c r="M17" s="56">
        <f>SUMIF($J$13:$J$264,L17,$C$13:$C$264)</f>
        <v>2825256.4298628569</v>
      </c>
      <c r="N17" s="56">
        <f t="shared" ref="N17:N36" si="8">SUMIF($J$13:$J$264,L17,$D$13:$D$264)</f>
        <v>0</v>
      </c>
      <c r="O17" s="56">
        <f t="shared" si="6"/>
        <v>224447.22200814396</v>
      </c>
      <c r="P17" s="114">
        <f t="shared" si="7"/>
        <v>12.587620397281388</v>
      </c>
      <c r="Q17" s="167">
        <f t="shared" ref="Q17:Q33" si="9">M17/O17</f>
        <v>12.587620397281388</v>
      </c>
      <c r="R17" s="167">
        <f t="shared" ref="R17:R33" si="10">IFERROR(N17/O17,0)</f>
        <v>0</v>
      </c>
    </row>
    <row r="18" spans="2:18">
      <c r="B18" s="78">
        <f t="shared" si="3"/>
        <v>43983</v>
      </c>
      <c r="C18" s="75">
        <v>336324.6789650023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336324.6789650023</v>
      </c>
      <c r="F18" s="75">
        <v>25167.392688029999</v>
      </c>
      <c r="G18" s="76">
        <f t="shared" ref="G18:G19" si="12">IF(ISNUMBER($F18),E18/$F18,"")</f>
        <v>13.36350901080681</v>
      </c>
      <c r="I18" s="77">
        <f t="shared" si="5"/>
        <v>6</v>
      </c>
      <c r="J18" s="73">
        <f t="shared" si="4"/>
        <v>2020</v>
      </c>
      <c r="K18" s="78">
        <f t="shared" si="2"/>
        <v>43983</v>
      </c>
      <c r="L18" s="73">
        <f t="shared" ref="L18:L37" si="13">L17+1</f>
        <v>2022</v>
      </c>
      <c r="M18" s="56">
        <f t="shared" ref="M18:M36" si="14">SUMIF($J$13:$J$264,L18,$C$13:$C$264)</f>
        <v>2585098.2900724709</v>
      </c>
      <c r="N18" s="56">
        <f t="shared" si="8"/>
        <v>0</v>
      </c>
      <c r="O18" s="56">
        <f t="shared" si="6"/>
        <v>223324.98583873498</v>
      </c>
      <c r="P18" s="114">
        <f t="shared" si="7"/>
        <v>11.575499626088385</v>
      </c>
      <c r="Q18" s="167">
        <f t="shared" si="9"/>
        <v>11.575499626088385</v>
      </c>
      <c r="R18" s="167">
        <f t="shared" si="10"/>
        <v>0</v>
      </c>
    </row>
    <row r="19" spans="2:18">
      <c r="B19" s="78">
        <f t="shared" si="3"/>
        <v>44013</v>
      </c>
      <c r="C19" s="75">
        <v>403262.21092125773</v>
      </c>
      <c r="D19" s="71">
        <f>IF(ISNUMBER($F19),VLOOKUP($J19,'Table 1'!$B$13:$C$33,2,FALSE)/12*1000*Study_MW,"")</f>
        <v>0</v>
      </c>
      <c r="E19" s="71">
        <f t="shared" si="11"/>
        <v>403262.21092125773</v>
      </c>
      <c r="F19" s="75">
        <v>25671.212399520002</v>
      </c>
      <c r="G19" s="76">
        <f t="shared" si="12"/>
        <v>15.708732592964635</v>
      </c>
      <c r="I19" s="77">
        <f t="shared" si="5"/>
        <v>7</v>
      </c>
      <c r="J19" s="73">
        <f t="shared" si="4"/>
        <v>2020</v>
      </c>
      <c r="K19" s="78">
        <f t="shared" si="2"/>
        <v>44013</v>
      </c>
      <c r="L19" s="73">
        <f t="shared" si="13"/>
        <v>2023</v>
      </c>
      <c r="M19" s="56">
        <f t="shared" si="14"/>
        <v>2539877.7431446314</v>
      </c>
      <c r="N19" s="56">
        <f t="shared" si="8"/>
        <v>0</v>
      </c>
      <c r="O19" s="56">
        <f t="shared" si="6"/>
        <v>222208.36146625504</v>
      </c>
      <c r="P19" s="114">
        <f t="shared" si="7"/>
        <v>11.430162782287299</v>
      </c>
      <c r="Q19" s="167">
        <f t="shared" si="9"/>
        <v>11.430162782287299</v>
      </c>
      <c r="R19" s="167">
        <f t="shared" si="10"/>
        <v>0</v>
      </c>
    </row>
    <row r="20" spans="2:18">
      <c r="B20" s="78">
        <f t="shared" si="3"/>
        <v>44044</v>
      </c>
      <c r="C20" s="75">
        <v>342446.60811805725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342446.60811805725</v>
      </c>
      <c r="F20" s="75">
        <v>23041.309113399999</v>
      </c>
      <c r="G20" s="76">
        <f t="shared" ref="G20:G77" si="16">IF(ISNUMBER($F20),E20/$F20,"")</f>
        <v>14.862289570122671</v>
      </c>
      <c r="I20" s="77">
        <f t="shared" si="5"/>
        <v>8</v>
      </c>
      <c r="J20" s="73">
        <f t="shared" si="4"/>
        <v>2020</v>
      </c>
      <c r="K20" s="78">
        <f t="shared" si="2"/>
        <v>44044</v>
      </c>
      <c r="L20" s="73">
        <f t="shared" si="13"/>
        <v>2024</v>
      </c>
      <c r="M20" s="56">
        <f t="shared" si="14"/>
        <v>-9749.6127712354064</v>
      </c>
      <c r="N20" s="56">
        <f t="shared" si="8"/>
        <v>2243573.1428182358</v>
      </c>
      <c r="O20" s="56">
        <f t="shared" si="6"/>
        <v>221692.795526303</v>
      </c>
      <c r="P20" s="114">
        <f t="shared" si="7"/>
        <v>10.07621165470831</v>
      </c>
      <c r="Q20" s="167">
        <f t="shared" si="9"/>
        <v>-4.3978031618436837E-2</v>
      </c>
      <c r="R20" s="167">
        <f t="shared" si="10"/>
        <v>10.120189686326746</v>
      </c>
    </row>
    <row r="21" spans="2:18">
      <c r="B21" s="78">
        <f t="shared" si="3"/>
        <v>44075</v>
      </c>
      <c r="C21" s="75">
        <v>194631.63592866063</v>
      </c>
      <c r="D21" s="71">
        <f>IF(ISNUMBER($F21),VLOOKUP($J21,'Table 1'!$B$13:$C$33,2,FALSE)/12*1000*Study_MW,"")</f>
        <v>0</v>
      </c>
      <c r="E21" s="71">
        <f t="shared" si="15"/>
        <v>194631.63592866063</v>
      </c>
      <c r="F21" s="75">
        <v>21985.178324010001</v>
      </c>
      <c r="G21" s="76">
        <f t="shared" si="16"/>
        <v>8.852856822912532</v>
      </c>
      <c r="I21" s="77">
        <f t="shared" si="5"/>
        <v>9</v>
      </c>
      <c r="J21" s="73">
        <f t="shared" si="4"/>
        <v>2020</v>
      </c>
      <c r="K21" s="78">
        <f t="shared" si="2"/>
        <v>44075</v>
      </c>
      <c r="L21" s="73">
        <f t="shared" si="13"/>
        <v>2025</v>
      </c>
      <c r="M21" s="56">
        <f t="shared" si="14"/>
        <v>-31957.514219820499</v>
      </c>
      <c r="N21" s="56">
        <f t="shared" si="8"/>
        <v>2293458.3934639618</v>
      </c>
      <c r="O21" s="56">
        <f t="shared" si="6"/>
        <v>219991.83323326102</v>
      </c>
      <c r="P21" s="114">
        <f t="shared" si="7"/>
        <v>10.279931059287252</v>
      </c>
      <c r="Q21" s="167">
        <f t="shared" si="9"/>
        <v>-0.14526682081845926</v>
      </c>
      <c r="R21" s="167">
        <f t="shared" si="10"/>
        <v>10.42519788010571</v>
      </c>
    </row>
    <row r="22" spans="2:18">
      <c r="B22" s="78">
        <f t="shared" si="3"/>
        <v>44105</v>
      </c>
      <c r="C22" s="75">
        <v>220277.73651114106</v>
      </c>
      <c r="D22" s="71">
        <f>IF(ISNUMBER($F22),VLOOKUP($J22,'Table 1'!$B$13:$C$33,2,FALSE)/12*1000*Study_MW,"")</f>
        <v>0</v>
      </c>
      <c r="E22" s="71">
        <f t="shared" si="15"/>
        <v>220277.73651114106</v>
      </c>
      <c r="F22" s="75">
        <v>18369.574849285</v>
      </c>
      <c r="G22" s="76">
        <f t="shared" si="16"/>
        <v>11.991444457393904</v>
      </c>
      <c r="I22" s="77">
        <f t="shared" si="5"/>
        <v>10</v>
      </c>
      <c r="J22" s="73">
        <f t="shared" si="4"/>
        <v>2020</v>
      </c>
      <c r="K22" s="78">
        <f t="shared" si="2"/>
        <v>44105</v>
      </c>
      <c r="L22" s="73">
        <f t="shared" si="13"/>
        <v>2026</v>
      </c>
      <c r="M22" s="56">
        <f t="shared" si="14"/>
        <v>365921.62249968946</v>
      </c>
      <c r="N22" s="56">
        <f t="shared" si="8"/>
        <v>2344132.9968979051</v>
      </c>
      <c r="O22" s="56">
        <f t="shared" si="6"/>
        <v>218891.87344765302</v>
      </c>
      <c r="P22" s="114">
        <f t="shared" si="7"/>
        <v>12.380791377555145</v>
      </c>
      <c r="Q22" s="167">
        <f t="shared" si="9"/>
        <v>1.6717003547744678</v>
      </c>
      <c r="R22" s="167">
        <f t="shared" si="10"/>
        <v>10.709091022780678</v>
      </c>
    </row>
    <row r="23" spans="2:18">
      <c r="B23" s="78">
        <f t="shared" si="3"/>
        <v>44136</v>
      </c>
      <c r="C23" s="75">
        <v>165144.76514817774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165144.76514817774</v>
      </c>
      <c r="F23" s="75">
        <v>12982.604379099999</v>
      </c>
      <c r="G23" s="76">
        <f t="shared" ref="G23" si="18">IF(ISNUMBER($F23),E23/$F23,"")</f>
        <v>12.720465041208177</v>
      </c>
      <c r="I23" s="77">
        <f t="shared" si="5"/>
        <v>11</v>
      </c>
      <c r="J23" s="73">
        <f t="shared" si="4"/>
        <v>2020</v>
      </c>
      <c r="K23" s="78">
        <f t="shared" si="2"/>
        <v>44136</v>
      </c>
      <c r="L23" s="73">
        <f t="shared" si="13"/>
        <v>2027</v>
      </c>
      <c r="M23" s="56">
        <f t="shared" si="14"/>
        <v>-375394.20898815989</v>
      </c>
      <c r="N23" s="56">
        <f t="shared" si="8"/>
        <v>2396290.7594567416</v>
      </c>
      <c r="O23" s="56">
        <f t="shared" si="6"/>
        <v>217797.413595066</v>
      </c>
      <c r="P23" s="114">
        <f t="shared" si="7"/>
        <v>9.2787904002656312</v>
      </c>
      <c r="Q23" s="167">
        <f t="shared" si="9"/>
        <v>-1.7235935119326142</v>
      </c>
      <c r="R23" s="167">
        <f t="shared" si="10"/>
        <v>11.002383912198246</v>
      </c>
    </row>
    <row r="24" spans="2:18">
      <c r="B24" s="82">
        <f t="shared" si="3"/>
        <v>44166</v>
      </c>
      <c r="C24" s="79">
        <v>126574.59093333781</v>
      </c>
      <c r="D24" s="80">
        <f>IF(F24&lt;&gt;0,VLOOKUP($J24,'Table 1'!$B$13:$C$33,2,FALSE)/12*1000*Study_MW,0)</f>
        <v>0</v>
      </c>
      <c r="E24" s="80">
        <f t="shared" ref="E24" si="19">IF(ISNUMBER(C24+D24),C24+D24,"")</f>
        <v>126574.59093333781</v>
      </c>
      <c r="F24" s="79">
        <v>9278.98632645</v>
      </c>
      <c r="G24" s="81">
        <f t="shared" ref="G24" si="20">IF(ISNUMBER($F24),E24/$F24,"")</f>
        <v>13.640993367188562</v>
      </c>
      <c r="I24" s="64">
        <f t="shared" si="5"/>
        <v>12</v>
      </c>
      <c r="J24" s="73">
        <f t="shared" si="4"/>
        <v>2020</v>
      </c>
      <c r="K24" s="82">
        <f t="shared" si="2"/>
        <v>44166</v>
      </c>
      <c r="L24" s="73">
        <f t="shared" si="13"/>
        <v>2028</v>
      </c>
      <c r="M24" s="56">
        <f t="shared" si="14"/>
        <v>785521.49319203943</v>
      </c>
      <c r="N24" s="56">
        <f t="shared" si="8"/>
        <v>2450178.8743279586</v>
      </c>
      <c r="O24" s="56">
        <f t="shared" si="6"/>
        <v>217292.083204678</v>
      </c>
      <c r="P24" s="114">
        <f t="shared" si="7"/>
        <v>14.891018208298616</v>
      </c>
      <c r="Q24" s="167">
        <f t="shared" si="9"/>
        <v>3.6150488393639195</v>
      </c>
      <c r="R24" s="167">
        <f t="shared" si="10"/>
        <v>11.275969368934696</v>
      </c>
    </row>
    <row r="25" spans="2:18">
      <c r="B25" s="74">
        <f t="shared" si="3"/>
        <v>44197</v>
      </c>
      <c r="C25" s="69">
        <v>170658.10178543627</v>
      </c>
      <c r="D25" s="70">
        <f>IF(F25&lt;&gt;0,VLOOKUP($J25,'Table 1'!$B$13:$C$33,2,FALSE)/12*1000*Study_MW,0)</f>
        <v>0</v>
      </c>
      <c r="E25" s="70">
        <f t="shared" ref="E25:E77" si="21">C25+D25</f>
        <v>170658.10178543627</v>
      </c>
      <c r="F25" s="69">
        <v>12391.79581136</v>
      </c>
      <c r="G25" s="72">
        <f t="shared" si="16"/>
        <v>13.7718619950942</v>
      </c>
      <c r="I25" s="60">
        <f>I13+13</f>
        <v>14</v>
      </c>
      <c r="J25" s="73">
        <f t="shared" si="4"/>
        <v>2021</v>
      </c>
      <c r="K25" s="74">
        <f>IF(ISNUMBER(F25),IF(F25&lt;&gt;0,B25,""),"")</f>
        <v>44197</v>
      </c>
      <c r="L25" s="73">
        <f t="shared" si="13"/>
        <v>2029</v>
      </c>
      <c r="M25" s="56">
        <f t="shared" si="14"/>
        <v>727418.83309398592</v>
      </c>
      <c r="N25" s="56">
        <f t="shared" si="8"/>
        <v>2505797.3415115522</v>
      </c>
      <c r="O25" s="56">
        <f t="shared" si="6"/>
        <v>215624.88621424901</v>
      </c>
      <c r="P25" s="114">
        <f t="shared" si="7"/>
        <v>14.994633649999717</v>
      </c>
      <c r="Q25" s="167">
        <f t="shared" si="9"/>
        <v>3.3735383974705435</v>
      </c>
      <c r="R25" s="167">
        <f t="shared" si="10"/>
        <v>11.621095252529173</v>
      </c>
    </row>
    <row r="26" spans="2:18">
      <c r="B26" s="78">
        <f t="shared" si="3"/>
        <v>44228</v>
      </c>
      <c r="C26" s="75">
        <v>153403.9251318872</v>
      </c>
      <c r="D26" s="71">
        <f>IF(F26&lt;&gt;0,VLOOKUP($J26,'Table 1'!$B$13:$C$33,2,FALSE)/12*1000*Study_MW,0)</f>
        <v>0</v>
      </c>
      <c r="E26" s="71">
        <f t="shared" si="21"/>
        <v>153403.9251318872</v>
      </c>
      <c r="F26" s="75">
        <v>12086.45678554</v>
      </c>
      <c r="G26" s="76">
        <f t="shared" si="16"/>
        <v>12.69221640832048</v>
      </c>
      <c r="I26" s="77">
        <f t="shared" ref="I26:I89" si="22">I14+13</f>
        <v>15</v>
      </c>
      <c r="J26" s="73">
        <f t="shared" si="4"/>
        <v>2021</v>
      </c>
      <c r="K26" s="78">
        <f t="shared" ref="K26:K89" si="23">IF(ISNUMBER(F26),IF(F26&lt;&gt;0,B26,""),"")</f>
        <v>44228</v>
      </c>
      <c r="L26" s="73">
        <f t="shared" si="13"/>
        <v>2030</v>
      </c>
      <c r="M26" s="56">
        <f t="shared" si="14"/>
        <v>519364.44278934598</v>
      </c>
      <c r="N26" s="56">
        <f t="shared" si="8"/>
        <v>2561910.1950701131</v>
      </c>
      <c r="O26" s="56">
        <f>SUMIF($J$13:$J$264,L26,$F$13:$F$264)</f>
        <v>214546.75980867096</v>
      </c>
      <c r="P26" s="114">
        <f>(M26+N26)/O26</f>
        <v>14.361785937048342</v>
      </c>
      <c r="Q26" s="167">
        <f t="shared" si="9"/>
        <v>2.4207517431281929</v>
      </c>
      <c r="R26" s="167">
        <f t="shared" si="10"/>
        <v>11.941034193920149</v>
      </c>
    </row>
    <row r="27" spans="2:18">
      <c r="B27" s="78">
        <f t="shared" si="3"/>
        <v>44256</v>
      </c>
      <c r="C27" s="75">
        <v>197270.68804432452</v>
      </c>
      <c r="D27" s="71">
        <f>IF(F27&lt;&gt;0,VLOOKUP($J27,'Table 1'!$B$13:$C$33,2,FALSE)/12*1000*Study_MW,0)</f>
        <v>0</v>
      </c>
      <c r="E27" s="71">
        <f t="shared" si="21"/>
        <v>197270.68804432452</v>
      </c>
      <c r="F27" s="75">
        <v>16849.522339380001</v>
      </c>
      <c r="G27" s="76">
        <f t="shared" si="16"/>
        <v>11.707791121370349</v>
      </c>
      <c r="I27" s="77">
        <f t="shared" si="22"/>
        <v>16</v>
      </c>
      <c r="J27" s="73">
        <f t="shared" si="4"/>
        <v>2021</v>
      </c>
      <c r="K27" s="78">
        <f t="shared" si="23"/>
        <v>44256</v>
      </c>
      <c r="L27" s="73">
        <f t="shared" si="13"/>
        <v>2031</v>
      </c>
      <c r="M27" s="56">
        <f t="shared" si="14"/>
        <v>782470.42480665445</v>
      </c>
      <c r="N27" s="56">
        <f t="shared" si="8"/>
        <v>2618023.048628673</v>
      </c>
      <c r="O27" s="56">
        <f t="shared" ref="O27:O31" si="24">SUMIF($J$13:$J$264,L27,$F$13:$F$264)</f>
        <v>213474.02708389203</v>
      </c>
      <c r="P27" s="114">
        <f t="shared" ref="P27:P31" si="25">(M27+N27)/O27</f>
        <v>15.929307747115228</v>
      </c>
      <c r="Q27" s="167">
        <f t="shared" si="9"/>
        <v>3.6654127693911707</v>
      </c>
      <c r="R27" s="167">
        <f t="shared" si="10"/>
        <v>12.263894977724059</v>
      </c>
    </row>
    <row r="28" spans="2:18">
      <c r="B28" s="78">
        <f t="shared" si="3"/>
        <v>44287</v>
      </c>
      <c r="C28" s="75">
        <v>196911.17335417867</v>
      </c>
      <c r="D28" s="71">
        <f>IF(F28&lt;&gt;0,VLOOKUP($J28,'Table 1'!$B$13:$C$33,2,FALSE)/12*1000*Study_MW,0)</f>
        <v>0</v>
      </c>
      <c r="E28" s="71">
        <f t="shared" si="21"/>
        <v>196911.17335417867</v>
      </c>
      <c r="F28" s="75">
        <v>19973.066258043</v>
      </c>
      <c r="G28" s="76">
        <f t="shared" si="16"/>
        <v>9.8588354341879807</v>
      </c>
      <c r="I28" s="77">
        <f t="shared" si="22"/>
        <v>17</v>
      </c>
      <c r="J28" s="73">
        <f t="shared" si="4"/>
        <v>2021</v>
      </c>
      <c r="K28" s="78">
        <f t="shared" si="23"/>
        <v>44287</v>
      </c>
      <c r="L28" s="73">
        <f t="shared" si="13"/>
        <v>2032</v>
      </c>
      <c r="M28" s="56">
        <f t="shared" si="14"/>
        <v>566356.19343209267</v>
      </c>
      <c r="N28" s="56">
        <f t="shared" si="8"/>
        <v>2674383.095374715</v>
      </c>
      <c r="O28" s="56">
        <f t="shared" si="24"/>
        <v>212978.72739876399</v>
      </c>
      <c r="P28" s="114">
        <f t="shared" si="25"/>
        <v>15.216258113605459</v>
      </c>
      <c r="Q28" s="167">
        <f t="shared" si="9"/>
        <v>2.6592148443618671</v>
      </c>
      <c r="R28" s="167">
        <f t="shared" si="10"/>
        <v>12.557043269243591</v>
      </c>
    </row>
    <row r="29" spans="2:18">
      <c r="B29" s="78">
        <f t="shared" si="3"/>
        <v>44317</v>
      </c>
      <c r="C29" s="75">
        <v>302539.58393587172</v>
      </c>
      <c r="D29" s="71">
        <f>IF(F29&lt;&gt;0,VLOOKUP($J29,'Table 1'!$B$13:$C$33,2,FALSE)/12*1000*Study_MW,0)</f>
        <v>0</v>
      </c>
      <c r="E29" s="71">
        <f t="shared" si="21"/>
        <v>302539.58393587172</v>
      </c>
      <c r="F29" s="75">
        <v>27332.604437409998</v>
      </c>
      <c r="G29" s="76">
        <f t="shared" si="16"/>
        <v>11.068816534797076</v>
      </c>
      <c r="I29" s="77">
        <f t="shared" si="22"/>
        <v>18</v>
      </c>
      <c r="J29" s="73">
        <f t="shared" si="4"/>
        <v>2021</v>
      </c>
      <c r="K29" s="78">
        <f t="shared" si="23"/>
        <v>44317</v>
      </c>
      <c r="L29" s="73">
        <f t="shared" si="13"/>
        <v>2033</v>
      </c>
      <c r="M29" s="56">
        <f t="shared" si="14"/>
        <v>1655356.5162972361</v>
      </c>
      <c r="N29" s="56">
        <f t="shared" si="8"/>
        <v>2731731.9148706882</v>
      </c>
      <c r="O29" s="56">
        <f t="shared" si="24"/>
        <v>211344.62474938095</v>
      </c>
      <c r="P29" s="114">
        <f t="shared" si="25"/>
        <v>20.757984435943289</v>
      </c>
      <c r="Q29" s="167">
        <f t="shared" si="9"/>
        <v>7.8324987837292266</v>
      </c>
      <c r="R29" s="167">
        <f t="shared" si="10"/>
        <v>12.925485652214061</v>
      </c>
    </row>
    <row r="30" spans="2:18">
      <c r="B30" s="78">
        <f t="shared" si="3"/>
        <v>44348</v>
      </c>
      <c r="C30" s="75">
        <v>301940.66209606826</v>
      </c>
      <c r="D30" s="71">
        <f>IF(F30&lt;&gt;0,VLOOKUP($J30,'Table 1'!$B$13:$C$33,2,FALSE)/12*1000*Study_MW,0)</f>
        <v>0</v>
      </c>
      <c r="E30" s="71">
        <f t="shared" si="21"/>
        <v>301940.66209606826</v>
      </c>
      <c r="F30" s="75">
        <v>25041.555742459001</v>
      </c>
      <c r="G30" s="76">
        <f t="shared" si="16"/>
        <v>12.057584009611483</v>
      </c>
      <c r="I30" s="77">
        <f t="shared" si="22"/>
        <v>19</v>
      </c>
      <c r="J30" s="73">
        <f t="shared" si="4"/>
        <v>2021</v>
      </c>
      <c r="K30" s="78">
        <f t="shared" si="23"/>
        <v>44348</v>
      </c>
      <c r="L30" s="73">
        <f t="shared" si="13"/>
        <v>2034</v>
      </c>
      <c r="M30" s="56">
        <f t="shared" si="14"/>
        <v>1464584.9895162433</v>
      </c>
      <c r="N30" s="56">
        <f t="shared" si="8"/>
        <v>2789080.7343666623</v>
      </c>
      <c r="O30" s="56">
        <f t="shared" si="24"/>
        <v>210287.90038148698</v>
      </c>
      <c r="P30" s="114">
        <f t="shared" si="25"/>
        <v>20.227819651849945</v>
      </c>
      <c r="Q30" s="167">
        <f t="shared" si="9"/>
        <v>6.9646659977074954</v>
      </c>
      <c r="R30" s="167">
        <f t="shared" si="10"/>
        <v>13.26315365414245</v>
      </c>
    </row>
    <row r="31" spans="2:18">
      <c r="B31" s="78">
        <f t="shared" si="3"/>
        <v>44378</v>
      </c>
      <c r="C31" s="75">
        <v>363653.94867423177</v>
      </c>
      <c r="D31" s="71">
        <f>IF(F31&lt;&gt;0,VLOOKUP($J31,'Table 1'!$B$13:$C$33,2,FALSE)/12*1000*Study_MW,0)</f>
        <v>0</v>
      </c>
      <c r="E31" s="71">
        <f t="shared" si="21"/>
        <v>363653.94867423177</v>
      </c>
      <c r="F31" s="75">
        <v>25542.85618296</v>
      </c>
      <c r="G31" s="76">
        <f t="shared" si="16"/>
        <v>14.237011948445705</v>
      </c>
      <c r="I31" s="77">
        <f t="shared" si="22"/>
        <v>20</v>
      </c>
      <c r="J31" s="73">
        <f t="shared" si="4"/>
        <v>2021</v>
      </c>
      <c r="K31" s="78">
        <f t="shared" si="23"/>
        <v>44378</v>
      </c>
      <c r="L31" s="73">
        <f t="shared" si="13"/>
        <v>2035</v>
      </c>
      <c r="M31" s="56">
        <f t="shared" si="14"/>
        <v>1178379.3295424581</v>
      </c>
      <c r="N31" s="56">
        <f t="shared" si="8"/>
        <v>2847665.5198000479</v>
      </c>
      <c r="O31" s="56">
        <f t="shared" si="24"/>
        <v>209236.46177379799</v>
      </c>
      <c r="P31" s="114">
        <f t="shared" si="25"/>
        <v>19.241602611761785</v>
      </c>
      <c r="Q31" s="167">
        <f t="shared" si="9"/>
        <v>5.6318068062935609</v>
      </c>
      <c r="R31" s="167">
        <f t="shared" si="10"/>
        <v>13.609795805468222</v>
      </c>
    </row>
    <row r="32" spans="2:18">
      <c r="B32" s="78">
        <f t="shared" si="3"/>
        <v>44409</v>
      </c>
      <c r="C32" s="75">
        <v>349802.14383856952</v>
      </c>
      <c r="D32" s="71">
        <f>IF(F32&lt;&gt;0,VLOOKUP($J32,'Table 1'!$B$13:$C$33,2,FALSE)/12*1000*Study_MW,0)</f>
        <v>0</v>
      </c>
      <c r="E32" s="71">
        <f t="shared" si="21"/>
        <v>349802.14383856952</v>
      </c>
      <c r="F32" s="75">
        <v>22926.102485751999</v>
      </c>
      <c r="G32" s="76">
        <f t="shared" si="16"/>
        <v>15.257811224387696</v>
      </c>
      <c r="I32" s="77">
        <f t="shared" si="22"/>
        <v>21</v>
      </c>
      <c r="J32" s="73">
        <f t="shared" si="4"/>
        <v>2021</v>
      </c>
      <c r="K32" s="78">
        <f t="shared" si="23"/>
        <v>44409</v>
      </c>
      <c r="L32" s="73">
        <f t="shared" si="13"/>
        <v>2036</v>
      </c>
      <c r="M32" s="56">
        <f t="shared" si="14"/>
        <v>2480340.4546648413</v>
      </c>
      <c r="N32" s="56">
        <f t="shared" si="8"/>
        <v>2906991.8847958832</v>
      </c>
      <c r="O32" s="56">
        <f t="shared" ref="O32:O35" si="26">SUMIF($J$13:$J$264,L32,$F$13:$F$264)</f>
        <v>208750.991453291</v>
      </c>
      <c r="P32" s="114">
        <f t="shared" ref="P32:P34" si="27">(M32+N32)/O32</f>
        <v>25.807457497351169</v>
      </c>
      <c r="Q32" s="167">
        <f t="shared" si="9"/>
        <v>11.881814009107732</v>
      </c>
      <c r="R32" s="167">
        <f t="shared" si="10"/>
        <v>13.925643488243438</v>
      </c>
    </row>
    <row r="33" spans="2:20">
      <c r="B33" s="78">
        <f t="shared" si="3"/>
        <v>44440</v>
      </c>
      <c r="C33" s="75">
        <v>281676.18323835731</v>
      </c>
      <c r="D33" s="71">
        <f>IF(F33&lt;&gt;0,VLOOKUP($J33,'Table 1'!$B$13:$C$33,2,FALSE)/12*1000*Study_MW,0)</f>
        <v>0</v>
      </c>
      <c r="E33" s="71">
        <f t="shared" si="21"/>
        <v>281676.18323835731</v>
      </c>
      <c r="F33" s="75">
        <v>21875.2524022</v>
      </c>
      <c r="G33" s="76">
        <f t="shared" si="16"/>
        <v>12.876476945702764</v>
      </c>
      <c r="I33" s="77">
        <f t="shared" si="22"/>
        <v>22</v>
      </c>
      <c r="J33" s="73">
        <f t="shared" si="4"/>
        <v>2021</v>
      </c>
      <c r="K33" s="78">
        <f t="shared" si="23"/>
        <v>44440</v>
      </c>
      <c r="L33" s="73">
        <f t="shared" si="13"/>
        <v>2037</v>
      </c>
      <c r="M33" s="56">
        <f t="shared" si="14"/>
        <v>1553379.5866950452</v>
      </c>
      <c r="N33" s="56">
        <f t="shared" si="8"/>
        <v>2967801.4089166117</v>
      </c>
      <c r="O33" s="56">
        <f t="shared" si="26"/>
        <v>207149.32712718498</v>
      </c>
      <c r="P33" s="114">
        <f t="shared" si="27"/>
        <v>21.825709300208125</v>
      </c>
      <c r="Q33" s="167">
        <f t="shared" si="9"/>
        <v>7.498839644993418</v>
      </c>
      <c r="R33" s="167">
        <f t="shared" si="10"/>
        <v>14.326869655214709</v>
      </c>
    </row>
    <row r="34" spans="2:20">
      <c r="B34" s="78">
        <f t="shared" si="3"/>
        <v>44470</v>
      </c>
      <c r="C34" s="75">
        <v>209050.51208415627</v>
      </c>
      <c r="D34" s="71">
        <f>IF(F34&lt;&gt;0,VLOOKUP($J34,'Table 1'!$B$13:$C$33,2,FALSE)/12*1000*Study_MW,0)</f>
        <v>0</v>
      </c>
      <c r="E34" s="71">
        <f t="shared" si="21"/>
        <v>209050.51208415627</v>
      </c>
      <c r="F34" s="75">
        <v>18277.726816980001</v>
      </c>
      <c r="G34" s="76">
        <f t="shared" si="16"/>
        <v>11.437445924071282</v>
      </c>
      <c r="I34" s="77">
        <f t="shared" si="22"/>
        <v>23</v>
      </c>
      <c r="J34" s="73">
        <f t="shared" si="4"/>
        <v>2021</v>
      </c>
      <c r="K34" s="78">
        <f t="shared" si="23"/>
        <v>44470</v>
      </c>
      <c r="L34" s="73">
        <f t="shared" si="13"/>
        <v>2038</v>
      </c>
      <c r="M34" s="56">
        <f t="shared" si="14"/>
        <v>3195435.5877408385</v>
      </c>
      <c r="N34" s="56">
        <f t="shared" si="8"/>
        <v>3029846.8989747553</v>
      </c>
      <c r="O34" s="56">
        <f t="shared" si="26"/>
        <v>206113.58026643799</v>
      </c>
      <c r="P34" s="114">
        <f t="shared" si="27"/>
        <v>30.203165063982315</v>
      </c>
      <c r="Q34" s="167">
        <f t="shared" ref="Q34" si="28">M34/O34</f>
        <v>15.503275347554379</v>
      </c>
      <c r="R34" s="167">
        <f t="shared" ref="R34" si="29">IFERROR(N34/O34,0)</f>
        <v>14.699889716427935</v>
      </c>
    </row>
    <row r="35" spans="2:20">
      <c r="B35" s="78">
        <f t="shared" si="3"/>
        <v>44501</v>
      </c>
      <c r="C35" s="75">
        <v>162793.21051292121</v>
      </c>
      <c r="D35" s="71">
        <f>IF(F35&lt;&gt;0,VLOOKUP($J35,'Table 1'!$B$13:$C$33,2,FALSE)/12*1000*Study_MW,0)</f>
        <v>0</v>
      </c>
      <c r="E35" s="71">
        <f t="shared" si="21"/>
        <v>162793.21051292121</v>
      </c>
      <c r="F35" s="75">
        <v>12917.691371000001</v>
      </c>
      <c r="G35" s="76">
        <f t="shared" si="16"/>
        <v>12.602345561404976</v>
      </c>
      <c r="I35" s="77">
        <f t="shared" si="22"/>
        <v>24</v>
      </c>
      <c r="J35" s="73">
        <f t="shared" si="4"/>
        <v>2021</v>
      </c>
      <c r="K35" s="78">
        <f t="shared" si="23"/>
        <v>44501</v>
      </c>
      <c r="L35" s="73">
        <f t="shared" si="13"/>
        <v>2039</v>
      </c>
      <c r="M35" s="56">
        <f t="shared" si="14"/>
        <v>3261757.4910050374</v>
      </c>
      <c r="N35" s="56">
        <f t="shared" si="8"/>
        <v>3092633.9685953464</v>
      </c>
      <c r="O35" s="56">
        <f t="shared" si="26"/>
        <v>206113.58026643799</v>
      </c>
      <c r="P35" s="114">
        <f t="shared" ref="P35" si="30">(M35+N35)/O35</f>
        <v>30.829562280108942</v>
      </c>
      <c r="Q35" s="167">
        <f t="shared" ref="Q35" si="31">M35/O35</f>
        <v>15.825048921030062</v>
      </c>
      <c r="R35" s="167">
        <f t="shared" ref="R35" si="32">IFERROR(N35/O35,0)</f>
        <v>15.004513359078883</v>
      </c>
    </row>
    <row r="36" spans="2:20">
      <c r="B36" s="82">
        <f t="shared" si="3"/>
        <v>44531</v>
      </c>
      <c r="C36" s="79">
        <v>135556.29716685414</v>
      </c>
      <c r="D36" s="80">
        <f>IF(F36&lt;&gt;0,VLOOKUP($J36,'Table 1'!$B$13:$C$33,2,FALSE)/12*1000*Study_MW,0)</f>
        <v>0</v>
      </c>
      <c r="E36" s="80">
        <f t="shared" si="21"/>
        <v>135556.29716685414</v>
      </c>
      <c r="F36" s="79">
        <v>9232.5913750599993</v>
      </c>
      <c r="G36" s="81">
        <f t="shared" si="16"/>
        <v>14.682367242314264</v>
      </c>
      <c r="I36" s="64">
        <f t="shared" si="22"/>
        <v>25</v>
      </c>
      <c r="J36" s="73">
        <f t="shared" si="4"/>
        <v>2021</v>
      </c>
      <c r="K36" s="82">
        <f t="shared" si="23"/>
        <v>44531</v>
      </c>
      <c r="L36" s="73">
        <f t="shared" si="13"/>
        <v>2040</v>
      </c>
      <c r="M36" s="56">
        <f t="shared" si="14"/>
        <v>0</v>
      </c>
      <c r="N36" s="56">
        <f t="shared" si="8"/>
        <v>0</v>
      </c>
      <c r="O36" s="56">
        <f t="shared" ref="O36" si="33">SUMIF($J$13:$J$264,L36,$F$13:$F$264)</f>
        <v>0</v>
      </c>
      <c r="P36" s="114" t="e">
        <f t="shared" ref="P36" si="34">(M36+N36)/O36</f>
        <v>#DIV/0!</v>
      </c>
      <c r="Q36" s="167" t="e">
        <f t="shared" ref="Q36" si="35">M36/O36</f>
        <v>#DIV/0!</v>
      </c>
      <c r="R36" s="167">
        <f t="shared" ref="R36" si="36">IFERROR(N36/O36,0)</f>
        <v>0</v>
      </c>
    </row>
    <row r="37" spans="2:20" outlineLevel="1">
      <c r="B37" s="74">
        <f t="shared" si="3"/>
        <v>44562</v>
      </c>
      <c r="C37" s="69">
        <v>178644.77294698358</v>
      </c>
      <c r="D37" s="70">
        <f>IF(F37&lt;&gt;0,VLOOKUP($J37,'Table 1'!$B$13:$C$33,2,FALSE)/12*1000*Study_MW,0)</f>
        <v>0</v>
      </c>
      <c r="E37" s="70">
        <f t="shared" si="21"/>
        <v>178644.77294698358</v>
      </c>
      <c r="F37" s="69">
        <v>12329.83680427</v>
      </c>
      <c r="G37" s="72">
        <f t="shared" si="16"/>
        <v>14.488818934336285</v>
      </c>
      <c r="I37" s="60">
        <f>I25+13</f>
        <v>27</v>
      </c>
      <c r="J37" s="73">
        <f t="shared" si="4"/>
        <v>2022</v>
      </c>
      <c r="K37" s="74">
        <f t="shared" si="23"/>
        <v>44562</v>
      </c>
      <c r="L37" s="73">
        <f t="shared" si="13"/>
        <v>2041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4" t="e">
        <f t="shared" ref="P37" si="37">(M37+N37)/O37</f>
        <v>#DIV/0!</v>
      </c>
      <c r="Q37" s="167" t="e">
        <f t="shared" ref="Q37" si="38">M37/O37</f>
        <v>#DIV/0!</v>
      </c>
      <c r="R37" s="167">
        <f t="shared" ref="R37" si="39">IFERROR(N37/O37,0)</f>
        <v>0</v>
      </c>
    </row>
    <row r="38" spans="2:20" outlineLevel="1">
      <c r="B38" s="78">
        <f t="shared" si="3"/>
        <v>44593</v>
      </c>
      <c r="C38" s="75">
        <v>107988.83808766305</v>
      </c>
      <c r="D38" s="71">
        <f>IF(F38&lt;&gt;0,VLOOKUP($J38,'Table 1'!$B$13:$C$33,2,FALSE)/12*1000*Study_MW,0)</f>
        <v>0</v>
      </c>
      <c r="E38" s="71">
        <f t="shared" si="21"/>
        <v>107988.83808766305</v>
      </c>
      <c r="F38" s="75">
        <v>12026.0245118</v>
      </c>
      <c r="G38" s="76">
        <f t="shared" si="16"/>
        <v>8.9795957077672526</v>
      </c>
      <c r="I38" s="77">
        <f t="shared" si="22"/>
        <v>28</v>
      </c>
      <c r="J38" s="73">
        <f t="shared" si="4"/>
        <v>2022</v>
      </c>
      <c r="K38" s="78">
        <f t="shared" si="23"/>
        <v>44593</v>
      </c>
      <c r="M38" s="175"/>
    </row>
    <row r="39" spans="2:20" outlineLevel="1">
      <c r="B39" s="78">
        <f t="shared" si="3"/>
        <v>44621</v>
      </c>
      <c r="C39" s="75">
        <v>232224.51498043537</v>
      </c>
      <c r="D39" s="71">
        <f>IF(F39&lt;&gt;0,VLOOKUP($J39,'Table 1'!$B$13:$C$33,2,FALSE)/12*1000*Study_MW,0)</f>
        <v>0</v>
      </c>
      <c r="E39" s="71">
        <f t="shared" si="21"/>
        <v>232224.51498043537</v>
      </c>
      <c r="F39" s="75">
        <v>16765.274775530001</v>
      </c>
      <c r="G39" s="76">
        <f t="shared" si="16"/>
        <v>13.85151857572785</v>
      </c>
      <c r="I39" s="77">
        <f t="shared" si="22"/>
        <v>29</v>
      </c>
      <c r="J39" s="73">
        <f t="shared" si="4"/>
        <v>2022</v>
      </c>
      <c r="K39" s="78">
        <f t="shared" si="23"/>
        <v>44621</v>
      </c>
    </row>
    <row r="40" spans="2:20" outlineLevel="1">
      <c r="B40" s="78">
        <f t="shared" si="3"/>
        <v>44652</v>
      </c>
      <c r="C40" s="75">
        <v>198340.7284656167</v>
      </c>
      <c r="D40" s="71">
        <f>IF(F40&lt;&gt;0,VLOOKUP($J40,'Table 1'!$B$13:$C$33,2,FALSE)/12*1000*Study_MW,0)</f>
        <v>0</v>
      </c>
      <c r="E40" s="71">
        <f t="shared" si="21"/>
        <v>198340.7284656167</v>
      </c>
      <c r="F40" s="75">
        <v>19873.200924317</v>
      </c>
      <c r="G40" s="76">
        <f t="shared" si="16"/>
        <v>9.9803111346258007</v>
      </c>
      <c r="I40" s="77">
        <f t="shared" si="22"/>
        <v>30</v>
      </c>
      <c r="J40" s="73">
        <f t="shared" si="4"/>
        <v>2022</v>
      </c>
      <c r="K40" s="78">
        <f t="shared" si="23"/>
        <v>44652</v>
      </c>
      <c r="O40" s="198"/>
      <c r="P40" s="58"/>
      <c r="Q40" s="58"/>
      <c r="R40" s="58"/>
      <c r="S40" s="58"/>
      <c r="T40" s="91"/>
    </row>
    <row r="41" spans="2:20" outlineLevel="1">
      <c r="B41" s="78">
        <f t="shared" si="3"/>
        <v>44682</v>
      </c>
      <c r="C41" s="75">
        <v>305159.62540060282</v>
      </c>
      <c r="D41" s="71">
        <f>IF(F41&lt;&gt;0,VLOOKUP($J41,'Table 1'!$B$13:$C$33,2,FALSE)/12*1000*Study_MW,0)</f>
        <v>0</v>
      </c>
      <c r="E41" s="71">
        <f t="shared" si="21"/>
        <v>305159.62540060282</v>
      </c>
      <c r="F41" s="75">
        <v>27195.941358249998</v>
      </c>
      <c r="G41" s="76">
        <f t="shared" si="16"/>
        <v>11.220778180860115</v>
      </c>
      <c r="I41" s="77">
        <f t="shared" si="22"/>
        <v>31</v>
      </c>
      <c r="J41" s="73">
        <f t="shared" si="4"/>
        <v>2022</v>
      </c>
      <c r="K41" s="78">
        <f t="shared" si="23"/>
        <v>44682</v>
      </c>
      <c r="O41" s="198"/>
      <c r="P41" s="58"/>
      <c r="Q41" s="58"/>
      <c r="R41" s="58"/>
      <c r="S41" s="58"/>
      <c r="T41" s="91"/>
    </row>
    <row r="42" spans="2:20" outlineLevel="1">
      <c r="B42" s="78">
        <f t="shared" si="3"/>
        <v>44713</v>
      </c>
      <c r="C42" s="75">
        <v>311060.38896913826</v>
      </c>
      <c r="D42" s="71">
        <f>IF(F42&lt;&gt;0,VLOOKUP($J42,'Table 1'!$B$13:$C$33,2,FALSE)/12*1000*Study_MW,0)</f>
        <v>0</v>
      </c>
      <c r="E42" s="71">
        <f t="shared" si="21"/>
        <v>311060.38896913826</v>
      </c>
      <c r="F42" s="75">
        <v>24916.347933233999</v>
      </c>
      <c r="G42" s="76">
        <f t="shared" si="16"/>
        <v>12.484188686185377</v>
      </c>
      <c r="I42" s="77">
        <f t="shared" si="22"/>
        <v>32</v>
      </c>
      <c r="J42" s="73">
        <f t="shared" si="4"/>
        <v>2022</v>
      </c>
      <c r="K42" s="78">
        <f t="shared" si="23"/>
        <v>44713</v>
      </c>
    </row>
    <row r="43" spans="2:20" outlineLevel="1">
      <c r="B43" s="78">
        <f t="shared" si="3"/>
        <v>44743</v>
      </c>
      <c r="C43" s="75">
        <v>313904.15604536235</v>
      </c>
      <c r="D43" s="71">
        <f>IF(F43&lt;&gt;0,VLOOKUP($J43,'Table 1'!$B$13:$C$33,2,FALSE)/12*1000*Study_MW,0)</f>
        <v>0</v>
      </c>
      <c r="E43" s="71">
        <f t="shared" si="21"/>
        <v>313904.15604536235</v>
      </c>
      <c r="F43" s="75">
        <v>25415.141965334002</v>
      </c>
      <c r="G43" s="76">
        <f t="shared" si="16"/>
        <v>12.35106836993177</v>
      </c>
      <c r="I43" s="77">
        <f t="shared" si="22"/>
        <v>33</v>
      </c>
      <c r="J43" s="73">
        <f t="shared" si="4"/>
        <v>2022</v>
      </c>
      <c r="K43" s="78">
        <f t="shared" si="23"/>
        <v>44743</v>
      </c>
    </row>
    <row r="44" spans="2:20" outlineLevel="1">
      <c r="B44" s="78">
        <f t="shared" si="3"/>
        <v>44774</v>
      </c>
      <c r="C44" s="75">
        <v>319290.83710333705</v>
      </c>
      <c r="D44" s="71">
        <f>IF(F44&lt;&gt;0,VLOOKUP($J44,'Table 1'!$B$13:$C$33,2,FALSE)/12*1000*Study_MW,0)</f>
        <v>0</v>
      </c>
      <c r="E44" s="71">
        <f t="shared" si="21"/>
        <v>319290.83710333705</v>
      </c>
      <c r="F44" s="75">
        <v>22811.471804060999</v>
      </c>
      <c r="G44" s="76">
        <f t="shared" si="16"/>
        <v>13.996941532132771</v>
      </c>
      <c r="I44" s="77">
        <f t="shared" si="22"/>
        <v>34</v>
      </c>
      <c r="J44" s="73">
        <f t="shared" si="4"/>
        <v>2022</v>
      </c>
      <c r="K44" s="78">
        <f t="shared" si="23"/>
        <v>44774</v>
      </c>
    </row>
    <row r="45" spans="2:20" outlineLevel="1">
      <c r="B45" s="78">
        <f t="shared" si="3"/>
        <v>44805</v>
      </c>
      <c r="C45" s="75">
        <v>162273.7377730757</v>
      </c>
      <c r="D45" s="71">
        <f>IF(F45&lt;&gt;0,VLOOKUP($J45,'Table 1'!$B$13:$C$33,2,FALSE)/12*1000*Study_MW,0)</f>
        <v>0</v>
      </c>
      <c r="E45" s="71">
        <f t="shared" si="21"/>
        <v>162273.7377730757</v>
      </c>
      <c r="F45" s="75">
        <v>21765.876148079999</v>
      </c>
      <c r="G45" s="76">
        <f t="shared" si="16"/>
        <v>7.4554195139711901</v>
      </c>
      <c r="I45" s="77">
        <f t="shared" si="22"/>
        <v>35</v>
      </c>
      <c r="J45" s="73">
        <f t="shared" si="4"/>
        <v>2022</v>
      </c>
      <c r="K45" s="78">
        <f t="shared" si="23"/>
        <v>44805</v>
      </c>
    </row>
    <row r="46" spans="2:20" outlineLevel="1">
      <c r="B46" s="78">
        <f t="shared" si="3"/>
        <v>44835</v>
      </c>
      <c r="C46" s="75">
        <v>143472.36434838176</v>
      </c>
      <c r="D46" s="71">
        <f>IF(F46&lt;&gt;0,VLOOKUP($J46,'Table 1'!$B$13:$C$33,2,FALSE)/12*1000*Study_MW,0)</f>
        <v>0</v>
      </c>
      <c r="E46" s="71">
        <f t="shared" si="21"/>
        <v>143472.36434838176</v>
      </c>
      <c r="F46" s="75">
        <v>18186.338355249001</v>
      </c>
      <c r="G46" s="76">
        <f t="shared" si="16"/>
        <v>7.8890187538478456</v>
      </c>
      <c r="I46" s="77">
        <f t="shared" si="22"/>
        <v>36</v>
      </c>
      <c r="J46" s="73">
        <f t="shared" si="4"/>
        <v>2022</v>
      </c>
      <c r="K46" s="78">
        <f t="shared" si="23"/>
        <v>44835</v>
      </c>
    </row>
    <row r="47" spans="2:20" outlineLevel="1">
      <c r="B47" s="78">
        <f t="shared" si="3"/>
        <v>44866</v>
      </c>
      <c r="C47" s="75">
        <v>183772.09080836177</v>
      </c>
      <c r="D47" s="71">
        <f>IF(F47&lt;&gt;0,VLOOKUP($J47,'Table 1'!$B$13:$C$33,2,FALSE)/12*1000*Study_MW,0)</f>
        <v>0</v>
      </c>
      <c r="E47" s="71">
        <f t="shared" si="21"/>
        <v>183772.09080836177</v>
      </c>
      <c r="F47" s="75">
        <v>12853.1028738</v>
      </c>
      <c r="G47" s="76">
        <f t="shared" si="16"/>
        <v>14.297877532978138</v>
      </c>
      <c r="I47" s="77">
        <f t="shared" si="22"/>
        <v>37</v>
      </c>
      <c r="J47" s="73">
        <f t="shared" si="4"/>
        <v>2022</v>
      </c>
      <c r="K47" s="78">
        <f t="shared" si="23"/>
        <v>44866</v>
      </c>
    </row>
    <row r="48" spans="2:20" outlineLevel="1">
      <c r="B48" s="82">
        <f t="shared" si="3"/>
        <v>44896</v>
      </c>
      <c r="C48" s="79">
        <v>128966.23514351249</v>
      </c>
      <c r="D48" s="80">
        <f>IF(F48&lt;&gt;0,VLOOKUP($J48,'Table 1'!$B$13:$C$33,2,FALSE)/12*1000*Study_MW,0)</f>
        <v>0</v>
      </c>
      <c r="E48" s="80">
        <f t="shared" si="21"/>
        <v>128966.23514351249</v>
      </c>
      <c r="F48" s="79">
        <v>9186.4283848100004</v>
      </c>
      <c r="G48" s="81">
        <f t="shared" si="16"/>
        <v>14.038778700627715</v>
      </c>
      <c r="I48" s="64">
        <f t="shared" si="22"/>
        <v>38</v>
      </c>
      <c r="J48" s="73">
        <f t="shared" si="4"/>
        <v>2022</v>
      </c>
      <c r="K48" s="82">
        <f t="shared" si="23"/>
        <v>44896</v>
      </c>
    </row>
    <row r="49" spans="2:11" outlineLevel="1">
      <c r="B49" s="74">
        <f t="shared" si="3"/>
        <v>44927</v>
      </c>
      <c r="C49" s="69">
        <v>173116.28530119359</v>
      </c>
      <c r="D49" s="70">
        <f>IF(F49&lt;&gt;0,VLOOKUP($J49,'Table 1'!$B$13:$C$33,2,FALSE)/12*1000*Study_MW,0)</f>
        <v>0</v>
      </c>
      <c r="E49" s="70">
        <f t="shared" si="21"/>
        <v>173116.28530119359</v>
      </c>
      <c r="F49" s="69">
        <v>12268.187594479999</v>
      </c>
      <c r="G49" s="72">
        <f t="shared" si="16"/>
        <v>14.110991046394357</v>
      </c>
      <c r="I49" s="60">
        <f>I37+13</f>
        <v>40</v>
      </c>
      <c r="J49" s="73">
        <f t="shared" si="4"/>
        <v>2023</v>
      </c>
      <c r="K49" s="74">
        <f t="shared" si="23"/>
        <v>44927</v>
      </c>
    </row>
    <row r="50" spans="2:11" outlineLevel="1">
      <c r="B50" s="78">
        <f t="shared" si="3"/>
        <v>44958</v>
      </c>
      <c r="C50" s="75">
        <v>140855.39860807359</v>
      </c>
      <c r="D50" s="71">
        <f>IF(F50&lt;&gt;0,VLOOKUP($J50,'Table 1'!$B$13:$C$33,2,FALSE)/12*1000*Study_MW,0)</f>
        <v>0</v>
      </c>
      <c r="E50" s="71">
        <f t="shared" si="21"/>
        <v>140855.39860807359</v>
      </c>
      <c r="F50" s="75">
        <v>11965.89439003</v>
      </c>
      <c r="G50" s="76">
        <f t="shared" si="16"/>
        <v>11.771405798586565</v>
      </c>
      <c r="I50" s="77">
        <f t="shared" si="22"/>
        <v>41</v>
      </c>
      <c r="J50" s="73">
        <f t="shared" si="4"/>
        <v>2023</v>
      </c>
      <c r="K50" s="78">
        <f t="shared" si="23"/>
        <v>44958</v>
      </c>
    </row>
    <row r="51" spans="2:11" outlineLevel="1">
      <c r="B51" s="78">
        <f t="shared" si="3"/>
        <v>44986</v>
      </c>
      <c r="C51" s="75">
        <v>140471.09177459776</v>
      </c>
      <c r="D51" s="71">
        <f>IF(F51&lt;&gt;0,VLOOKUP($J51,'Table 1'!$B$13:$C$33,2,FALSE)/12*1000*Study_MW,0)</f>
        <v>0</v>
      </c>
      <c r="E51" s="71">
        <f t="shared" si="21"/>
        <v>140471.09177459776</v>
      </c>
      <c r="F51" s="75">
        <v>16681.44841451</v>
      </c>
      <c r="G51" s="76">
        <f t="shared" si="16"/>
        <v>8.4207970605485318</v>
      </c>
      <c r="I51" s="77">
        <f t="shared" si="22"/>
        <v>42</v>
      </c>
      <c r="J51" s="73">
        <f t="shared" si="4"/>
        <v>2023</v>
      </c>
      <c r="K51" s="78">
        <f t="shared" si="23"/>
        <v>44986</v>
      </c>
    </row>
    <row r="52" spans="2:11" outlineLevel="1">
      <c r="B52" s="78">
        <f t="shared" si="3"/>
        <v>45017</v>
      </c>
      <c r="C52" s="75">
        <v>117104.07890839875</v>
      </c>
      <c r="D52" s="71">
        <f>IF(F52&lt;&gt;0,VLOOKUP($J52,'Table 1'!$B$13:$C$33,2,FALSE)/12*1000*Study_MW,0)</f>
        <v>0</v>
      </c>
      <c r="E52" s="71">
        <f t="shared" si="21"/>
        <v>117104.07890839875</v>
      </c>
      <c r="F52" s="75">
        <v>19773.834961835</v>
      </c>
      <c r="G52" s="76">
        <f t="shared" si="16"/>
        <v>5.9221733737749149</v>
      </c>
      <c r="I52" s="77">
        <f t="shared" si="22"/>
        <v>43</v>
      </c>
      <c r="J52" s="73">
        <f t="shared" si="4"/>
        <v>2023</v>
      </c>
      <c r="K52" s="78">
        <f t="shared" si="23"/>
        <v>45017</v>
      </c>
    </row>
    <row r="53" spans="2:11" outlineLevel="1">
      <c r="B53" s="78">
        <f t="shared" si="3"/>
        <v>45047</v>
      </c>
      <c r="C53" s="75">
        <v>303560.91470582783</v>
      </c>
      <c r="D53" s="71">
        <f>IF(F53&lt;&gt;0,VLOOKUP($J53,'Table 1'!$B$13:$C$33,2,FALSE)/12*1000*Study_MW,0)</f>
        <v>0</v>
      </c>
      <c r="E53" s="71">
        <f t="shared" si="21"/>
        <v>303560.91470582783</v>
      </c>
      <c r="F53" s="75">
        <v>27059.961754169999</v>
      </c>
      <c r="G53" s="76">
        <f t="shared" si="16"/>
        <v>11.218083656716493</v>
      </c>
      <c r="I53" s="77">
        <f t="shared" si="22"/>
        <v>44</v>
      </c>
      <c r="J53" s="73">
        <f t="shared" si="4"/>
        <v>2023</v>
      </c>
      <c r="K53" s="78">
        <f t="shared" si="23"/>
        <v>45047</v>
      </c>
    </row>
    <row r="54" spans="2:11" outlineLevel="1">
      <c r="B54" s="78">
        <f t="shared" si="3"/>
        <v>45078</v>
      </c>
      <c r="C54" s="75">
        <v>287701.89052458107</v>
      </c>
      <c r="D54" s="71">
        <f>IF(F54&lt;&gt;0,VLOOKUP($J54,'Table 1'!$B$13:$C$33,2,FALSE)/12*1000*Study_MW,0)</f>
        <v>0</v>
      </c>
      <c r="E54" s="71">
        <f t="shared" si="21"/>
        <v>287701.89052458107</v>
      </c>
      <c r="F54" s="75">
        <v>24791.766135156999</v>
      </c>
      <c r="G54" s="76">
        <f t="shared" si="16"/>
        <v>11.604735578583625</v>
      </c>
      <c r="I54" s="77">
        <f t="shared" si="22"/>
        <v>45</v>
      </c>
      <c r="J54" s="73">
        <f t="shared" si="4"/>
        <v>2023</v>
      </c>
      <c r="K54" s="78">
        <f t="shared" si="23"/>
        <v>45078</v>
      </c>
    </row>
    <row r="55" spans="2:11" outlineLevel="1">
      <c r="B55" s="78">
        <f t="shared" si="3"/>
        <v>45108</v>
      </c>
      <c r="C55" s="75">
        <v>346397.54056426883</v>
      </c>
      <c r="D55" s="71">
        <f>IF(F55&lt;&gt;0,VLOOKUP($J55,'Table 1'!$B$13:$C$33,2,FALSE)/12*1000*Study_MW,0)</f>
        <v>0</v>
      </c>
      <c r="E55" s="71">
        <f t="shared" si="21"/>
        <v>346397.54056426883</v>
      </c>
      <c r="F55" s="75">
        <v>25288.06627209</v>
      </c>
      <c r="G55" s="76">
        <f t="shared" si="16"/>
        <v>13.698063617722395</v>
      </c>
      <c r="I55" s="77">
        <f t="shared" si="22"/>
        <v>46</v>
      </c>
      <c r="J55" s="73">
        <f t="shared" si="4"/>
        <v>2023</v>
      </c>
      <c r="K55" s="78">
        <f t="shared" si="23"/>
        <v>45108</v>
      </c>
    </row>
    <row r="56" spans="2:11" outlineLevel="1">
      <c r="B56" s="78">
        <f t="shared" si="3"/>
        <v>45139</v>
      </c>
      <c r="C56" s="75">
        <v>325158.78677135706</v>
      </c>
      <c r="D56" s="71">
        <f>IF(F56&lt;&gt;0,VLOOKUP($J56,'Table 1'!$B$13:$C$33,2,FALSE)/12*1000*Study_MW,0)</f>
        <v>0</v>
      </c>
      <c r="E56" s="71">
        <f t="shared" si="21"/>
        <v>325158.78677135706</v>
      </c>
      <c r="F56" s="75">
        <v>22697.414629226001</v>
      </c>
      <c r="G56" s="76">
        <f t="shared" si="16"/>
        <v>14.325807237652125</v>
      </c>
      <c r="I56" s="77">
        <f t="shared" si="22"/>
        <v>47</v>
      </c>
      <c r="J56" s="73">
        <f t="shared" si="4"/>
        <v>2023</v>
      </c>
      <c r="K56" s="78">
        <f t="shared" si="23"/>
        <v>45139</v>
      </c>
    </row>
    <row r="57" spans="2:11" outlineLevel="1">
      <c r="B57" s="78">
        <f t="shared" si="3"/>
        <v>45170</v>
      </c>
      <c r="C57" s="75">
        <v>270984.07867793739</v>
      </c>
      <c r="D57" s="71">
        <f>IF(F57&lt;&gt;0,VLOOKUP($J57,'Table 1'!$B$13:$C$33,2,FALSE)/12*1000*Study_MW,0)</f>
        <v>0</v>
      </c>
      <c r="E57" s="71">
        <f t="shared" si="21"/>
        <v>270984.07867793739</v>
      </c>
      <c r="F57" s="75">
        <v>21657.046770519999</v>
      </c>
      <c r="G57" s="76">
        <f t="shared" si="16"/>
        <v>12.512512973228016</v>
      </c>
      <c r="I57" s="77">
        <f t="shared" si="22"/>
        <v>48</v>
      </c>
      <c r="J57" s="73">
        <f t="shared" si="4"/>
        <v>2023</v>
      </c>
      <c r="K57" s="78">
        <f t="shared" si="23"/>
        <v>45170</v>
      </c>
    </row>
    <row r="58" spans="2:11" outlineLevel="1">
      <c r="B58" s="78">
        <f t="shared" si="3"/>
        <v>45200</v>
      </c>
      <c r="C58" s="75">
        <v>136345.05870433152</v>
      </c>
      <c r="D58" s="71">
        <f>IF(F58&lt;&gt;0,VLOOKUP($J58,'Table 1'!$B$13:$C$33,2,FALSE)/12*1000*Study_MW,0)</f>
        <v>0</v>
      </c>
      <c r="E58" s="71">
        <f t="shared" si="21"/>
        <v>136345.05870433152</v>
      </c>
      <c r="F58" s="75">
        <v>18095.406816196999</v>
      </c>
      <c r="G58" s="76">
        <f t="shared" si="16"/>
        <v>7.5347882525796859</v>
      </c>
      <c r="I58" s="77">
        <f t="shared" si="22"/>
        <v>49</v>
      </c>
      <c r="J58" s="73">
        <f t="shared" si="4"/>
        <v>2023</v>
      </c>
      <c r="K58" s="78">
        <f t="shared" si="23"/>
        <v>45200</v>
      </c>
    </row>
    <row r="59" spans="2:11" outlineLevel="1">
      <c r="B59" s="78">
        <f t="shared" si="3"/>
        <v>45231</v>
      </c>
      <c r="C59" s="75">
        <v>176633.69800981879</v>
      </c>
      <c r="D59" s="71">
        <f>IF(F59&lt;&gt;0,VLOOKUP($J59,'Table 1'!$B$13:$C$33,2,FALSE)/12*1000*Study_MW,0)</f>
        <v>0</v>
      </c>
      <c r="E59" s="71">
        <f t="shared" si="21"/>
        <v>176633.69800981879</v>
      </c>
      <c r="F59" s="75">
        <v>12788.8374518</v>
      </c>
      <c r="G59" s="76">
        <f t="shared" si="16"/>
        <v>13.811552353803512</v>
      </c>
      <c r="I59" s="77">
        <f t="shared" si="22"/>
        <v>50</v>
      </c>
      <c r="J59" s="73">
        <f t="shared" si="4"/>
        <v>2023</v>
      </c>
      <c r="K59" s="78">
        <f t="shared" si="23"/>
        <v>45231</v>
      </c>
    </row>
    <row r="60" spans="2:11" outlineLevel="1">
      <c r="B60" s="82">
        <f t="shared" si="3"/>
        <v>45261</v>
      </c>
      <c r="C60" s="79">
        <v>121548.9205942452</v>
      </c>
      <c r="D60" s="80">
        <f>IF(F60&lt;&gt;0,VLOOKUP($J60,'Table 1'!$B$13:$C$33,2,FALSE)/12*1000*Study_MW,0)</f>
        <v>0</v>
      </c>
      <c r="E60" s="80">
        <f t="shared" si="21"/>
        <v>121548.9205942452</v>
      </c>
      <c r="F60" s="79">
        <v>9140.4962762399991</v>
      </c>
      <c r="G60" s="81">
        <f t="shared" si="16"/>
        <v>13.297846957194441</v>
      </c>
      <c r="I60" s="64">
        <f t="shared" si="22"/>
        <v>51</v>
      </c>
      <c r="J60" s="73">
        <f t="shared" si="4"/>
        <v>2023</v>
      </c>
      <c r="K60" s="82">
        <f t="shared" si="23"/>
        <v>45261</v>
      </c>
    </row>
    <row r="61" spans="2:11" outlineLevel="1">
      <c r="B61" s="74">
        <f t="shared" si="3"/>
        <v>45292</v>
      </c>
      <c r="C61" s="69">
        <v>94559.82526730001</v>
      </c>
      <c r="D61" s="70">
        <f>IF(F61&lt;&gt;0,VLOOKUP($J61,'Table 1'!$B$13:$C$33,2,FALSE)/12*1000*Study_MW,0)</f>
        <v>186964.42856818635</v>
      </c>
      <c r="E61" s="70">
        <f t="shared" si="21"/>
        <v>281524.25383548636</v>
      </c>
      <c r="F61" s="69">
        <v>12206.846692589999</v>
      </c>
      <c r="G61" s="72">
        <f t="shared" si="16"/>
        <v>23.062815559597535</v>
      </c>
      <c r="I61" s="60">
        <f>I49+13</f>
        <v>53</v>
      </c>
      <c r="J61" s="73">
        <f t="shared" si="4"/>
        <v>2024</v>
      </c>
      <c r="K61" s="74">
        <f t="shared" si="23"/>
        <v>45292</v>
      </c>
    </row>
    <row r="62" spans="2:11" outlineLevel="1">
      <c r="B62" s="78">
        <f t="shared" si="3"/>
        <v>45323</v>
      </c>
      <c r="C62" s="75">
        <v>-52246.156572028995</v>
      </c>
      <c r="D62" s="71">
        <f>IF(F62&lt;&gt;0,VLOOKUP($J62,'Table 1'!$B$13:$C$33,2,FALSE)/12*1000*Study_MW,0)</f>
        <v>186964.42856818635</v>
      </c>
      <c r="E62" s="71">
        <f t="shared" si="21"/>
        <v>134718.27199615736</v>
      </c>
      <c r="F62" s="75">
        <v>12501.540590979999</v>
      </c>
      <c r="G62" s="76">
        <f t="shared" si="16"/>
        <v>10.77613363055095</v>
      </c>
      <c r="I62" s="77">
        <f t="shared" si="22"/>
        <v>54</v>
      </c>
      <c r="J62" s="73">
        <f t="shared" si="4"/>
        <v>2024</v>
      </c>
      <c r="K62" s="78">
        <f t="shared" si="23"/>
        <v>45323</v>
      </c>
    </row>
    <row r="63" spans="2:11" outlineLevel="1">
      <c r="B63" s="78">
        <f t="shared" si="3"/>
        <v>45352</v>
      </c>
      <c r="C63" s="75">
        <v>-61155.191549375653</v>
      </c>
      <c r="D63" s="71">
        <f>IF(F63&lt;&gt;0,VLOOKUP($J63,'Table 1'!$B$13:$C$33,2,FALSE)/12*1000*Study_MW,0)</f>
        <v>186964.42856818635</v>
      </c>
      <c r="E63" s="71">
        <f t="shared" si="21"/>
        <v>125809.2370188107</v>
      </c>
      <c r="F63" s="75">
        <v>16598.041413660001</v>
      </c>
      <c r="G63" s="76">
        <f t="shared" si="16"/>
        <v>7.5797640145222864</v>
      </c>
      <c r="I63" s="77">
        <f t="shared" si="22"/>
        <v>55</v>
      </c>
      <c r="J63" s="73">
        <f t="shared" si="4"/>
        <v>2024</v>
      </c>
      <c r="K63" s="78">
        <f t="shared" si="23"/>
        <v>45352</v>
      </c>
    </row>
    <row r="64" spans="2:11" outlineLevel="1">
      <c r="B64" s="78">
        <f t="shared" si="3"/>
        <v>45383</v>
      </c>
      <c r="C64" s="75">
        <v>-112250.54138448834</v>
      </c>
      <c r="D64" s="71">
        <f>IF(F64&lt;&gt;0,VLOOKUP($J64,'Table 1'!$B$13:$C$33,2,FALSE)/12*1000*Study_MW,0)</f>
        <v>186964.42856818635</v>
      </c>
      <c r="E64" s="71">
        <f t="shared" si="21"/>
        <v>74713.887183698011</v>
      </c>
      <c r="F64" s="75">
        <v>19674.965664561001</v>
      </c>
      <c r="G64" s="76">
        <f t="shared" si="16"/>
        <v>3.7974087709984863</v>
      </c>
      <c r="I64" s="77">
        <f t="shared" si="22"/>
        <v>56</v>
      </c>
      <c r="J64" s="73">
        <f t="shared" si="4"/>
        <v>2024</v>
      </c>
      <c r="K64" s="78">
        <f t="shared" si="23"/>
        <v>45383</v>
      </c>
    </row>
    <row r="65" spans="2:11" outlineLevel="1">
      <c r="B65" s="78">
        <f t="shared" si="3"/>
        <v>45413</v>
      </c>
      <c r="C65" s="75">
        <v>-18561.069899395108</v>
      </c>
      <c r="D65" s="71">
        <f>IF(F65&lt;&gt;0,VLOOKUP($J65,'Table 1'!$B$13:$C$33,2,FALSE)/12*1000*Study_MW,0)</f>
        <v>186964.42856818635</v>
      </c>
      <c r="E65" s="71">
        <f t="shared" si="21"/>
        <v>168403.35866879125</v>
      </c>
      <c r="F65" s="75">
        <v>26924.66196682</v>
      </c>
      <c r="G65" s="76">
        <f t="shared" si="16"/>
        <v>6.2546136652084741</v>
      </c>
      <c r="I65" s="77">
        <f t="shared" si="22"/>
        <v>57</v>
      </c>
      <c r="J65" s="73">
        <f t="shared" si="4"/>
        <v>2024</v>
      </c>
      <c r="K65" s="78">
        <f t="shared" si="23"/>
        <v>45413</v>
      </c>
    </row>
    <row r="66" spans="2:11" outlineLevel="1">
      <c r="B66" s="78">
        <f t="shared" si="3"/>
        <v>45444</v>
      </c>
      <c r="C66" s="75">
        <v>91950.159686133265</v>
      </c>
      <c r="D66" s="71">
        <f>IF(F66&lt;&gt;0,VLOOKUP($J66,'Table 1'!$B$13:$C$33,2,FALSE)/12*1000*Study_MW,0)</f>
        <v>186964.42856818635</v>
      </c>
      <c r="E66" s="71">
        <f t="shared" si="21"/>
        <v>278914.58825431962</v>
      </c>
      <c r="F66" s="75">
        <v>24667.807382125</v>
      </c>
      <c r="G66" s="76">
        <f t="shared" si="16"/>
        <v>11.306825285835057</v>
      </c>
      <c r="I66" s="77">
        <f t="shared" si="22"/>
        <v>58</v>
      </c>
      <c r="J66" s="73">
        <f t="shared" si="4"/>
        <v>2024</v>
      </c>
      <c r="K66" s="78">
        <f t="shared" si="23"/>
        <v>45444</v>
      </c>
    </row>
    <row r="67" spans="2:11" outlineLevel="1">
      <c r="B67" s="78">
        <f t="shared" si="3"/>
        <v>45474</v>
      </c>
      <c r="C67" s="75">
        <v>194666.99205839634</v>
      </c>
      <c r="D67" s="71">
        <f>IF(F67&lt;&gt;0,VLOOKUP($J67,'Table 1'!$B$13:$C$33,2,FALSE)/12*1000*Study_MW,0)</f>
        <v>186964.42856818635</v>
      </c>
      <c r="E67" s="71">
        <f t="shared" si="21"/>
        <v>381631.42062658269</v>
      </c>
      <c r="F67" s="75">
        <v>25161.62593735</v>
      </c>
      <c r="G67" s="76">
        <f t="shared" si="16"/>
        <v>15.167200306403402</v>
      </c>
      <c r="I67" s="77">
        <f t="shared" si="22"/>
        <v>59</v>
      </c>
      <c r="J67" s="73">
        <f t="shared" si="4"/>
        <v>2024</v>
      </c>
      <c r="K67" s="78">
        <f t="shared" si="23"/>
        <v>45474</v>
      </c>
    </row>
    <row r="68" spans="2:11" outlineLevel="1">
      <c r="B68" s="78">
        <f t="shared" si="3"/>
        <v>45505</v>
      </c>
      <c r="C68" s="75">
        <v>23524.510216921568</v>
      </c>
      <c r="D68" s="71">
        <f>IF(F68&lt;&gt;0,VLOOKUP($J68,'Table 1'!$B$13:$C$33,2,FALSE)/12*1000*Study_MW,0)</f>
        <v>186964.42856818635</v>
      </c>
      <c r="E68" s="71">
        <f t="shared" si="21"/>
        <v>210488.93878510792</v>
      </c>
      <c r="F68" s="75">
        <v>22583.927771565999</v>
      </c>
      <c r="G68" s="76">
        <f t="shared" si="16"/>
        <v>9.3202980860628362</v>
      </c>
      <c r="I68" s="77">
        <f t="shared" si="22"/>
        <v>60</v>
      </c>
      <c r="J68" s="73">
        <f t="shared" si="4"/>
        <v>2024</v>
      </c>
      <c r="K68" s="78">
        <f t="shared" si="23"/>
        <v>45505</v>
      </c>
    </row>
    <row r="69" spans="2:11" outlineLevel="1">
      <c r="B69" s="78">
        <f t="shared" si="3"/>
        <v>45536</v>
      </c>
      <c r="C69" s="75">
        <v>-149198.66889549792</v>
      </c>
      <c r="D69" s="71">
        <f>IF(F69&lt;&gt;0,VLOOKUP($J69,'Table 1'!$B$13:$C$33,2,FALSE)/12*1000*Study_MW,0)</f>
        <v>186964.42856818635</v>
      </c>
      <c r="E69" s="71">
        <f t="shared" si="21"/>
        <v>37765.759672688437</v>
      </c>
      <c r="F69" s="75">
        <v>21548.76155585</v>
      </c>
      <c r="G69" s="76">
        <f t="shared" si="16"/>
        <v>1.752572164057191</v>
      </c>
      <c r="I69" s="77">
        <f t="shared" si="22"/>
        <v>61</v>
      </c>
      <c r="J69" s="73">
        <f t="shared" si="4"/>
        <v>2024</v>
      </c>
      <c r="K69" s="78">
        <f t="shared" si="23"/>
        <v>45536</v>
      </c>
    </row>
    <row r="70" spans="2:11" outlineLevel="1">
      <c r="B70" s="78">
        <f t="shared" si="3"/>
        <v>45566</v>
      </c>
      <c r="C70" s="75">
        <v>-59416.715361818671</v>
      </c>
      <c r="D70" s="71">
        <f>IF(F70&lt;&gt;0,VLOOKUP($J70,'Table 1'!$B$13:$C$33,2,FALSE)/12*1000*Study_MW,0)</f>
        <v>186964.42856818635</v>
      </c>
      <c r="E70" s="71">
        <f t="shared" si="21"/>
        <v>127547.71320636768</v>
      </c>
      <c r="F70" s="75">
        <v>18004.929516371001</v>
      </c>
      <c r="G70" s="76">
        <f t="shared" si="16"/>
        <v>7.084044016411994</v>
      </c>
      <c r="I70" s="77">
        <f t="shared" si="22"/>
        <v>62</v>
      </c>
      <c r="J70" s="73">
        <f t="shared" si="4"/>
        <v>2024</v>
      </c>
      <c r="K70" s="78">
        <f t="shared" si="23"/>
        <v>45566</v>
      </c>
    </row>
    <row r="71" spans="2:11" outlineLevel="1">
      <c r="B71" s="78">
        <f t="shared" si="3"/>
        <v>45597</v>
      </c>
      <c r="C71" s="75">
        <v>16655.956470839679</v>
      </c>
      <c r="D71" s="71">
        <f>IF(F71&lt;&gt;0,VLOOKUP($J71,'Table 1'!$B$13:$C$33,2,FALSE)/12*1000*Study_MW,0)</f>
        <v>186964.42856818635</v>
      </c>
      <c r="E71" s="71">
        <f t="shared" si="21"/>
        <v>203620.38503902603</v>
      </c>
      <c r="F71" s="75">
        <v>12724.893231</v>
      </c>
      <c r="G71" s="76">
        <f t="shared" si="16"/>
        <v>16.00173623012979</v>
      </c>
      <c r="I71" s="77">
        <f t="shared" si="22"/>
        <v>63</v>
      </c>
      <c r="J71" s="73">
        <f t="shared" si="4"/>
        <v>2024</v>
      </c>
      <c r="K71" s="78">
        <f t="shared" si="23"/>
        <v>45597</v>
      </c>
    </row>
    <row r="72" spans="2:11" outlineLevel="1">
      <c r="B72" s="82">
        <f t="shared" si="3"/>
        <v>45627</v>
      </c>
      <c r="C72" s="79">
        <v>21721.287191778421</v>
      </c>
      <c r="D72" s="80">
        <f>IF(F72&lt;&gt;0,VLOOKUP($J72,'Table 1'!$B$13:$C$33,2,FALSE)/12*1000*Study_MW,0)</f>
        <v>186964.42856818635</v>
      </c>
      <c r="E72" s="80">
        <f t="shared" si="21"/>
        <v>208685.71575996478</v>
      </c>
      <c r="F72" s="79">
        <v>9094.7938034300005</v>
      </c>
      <c r="G72" s="81">
        <f t="shared" si="16"/>
        <v>22.945623646933178</v>
      </c>
      <c r="I72" s="64">
        <f t="shared" si="22"/>
        <v>64</v>
      </c>
      <c r="J72" s="73">
        <f t="shared" si="4"/>
        <v>2024</v>
      </c>
      <c r="K72" s="82">
        <f t="shared" si="23"/>
        <v>45627</v>
      </c>
    </row>
    <row r="73" spans="2:11" outlineLevel="1">
      <c r="B73" s="74">
        <f t="shared" si="3"/>
        <v>45658</v>
      </c>
      <c r="C73" s="69">
        <v>64850.303308740258</v>
      </c>
      <c r="D73" s="70">
        <f>IF(F73&lt;&gt;0,VLOOKUP($J73,'Table 1'!$B$13:$C$33,2,FALSE)/12*1000*Study_MW,0)</f>
        <v>191121.53278866349</v>
      </c>
      <c r="E73" s="70">
        <f t="shared" si="21"/>
        <v>255971.83609740375</v>
      </c>
      <c r="F73" s="69">
        <v>12145.812450629999</v>
      </c>
      <c r="G73" s="72">
        <f t="shared" si="16"/>
        <v>21.074904386830589</v>
      </c>
      <c r="I73" s="60">
        <f>I61+13</f>
        <v>66</v>
      </c>
      <c r="J73" s="73">
        <f t="shared" si="4"/>
        <v>2025</v>
      </c>
      <c r="K73" s="74">
        <f t="shared" si="23"/>
        <v>45658</v>
      </c>
    </row>
    <row r="74" spans="2:11" outlineLevel="1">
      <c r="B74" s="78">
        <f t="shared" si="3"/>
        <v>45689</v>
      </c>
      <c r="C74" s="75">
        <v>-112589.89631719887</v>
      </c>
      <c r="D74" s="71">
        <f>IF(F74&lt;&gt;0,VLOOKUP($J74,'Table 1'!$B$13:$C$33,2,FALSE)/12*1000*Study_MW,0)</f>
        <v>191121.53278866349</v>
      </c>
      <c r="E74" s="71">
        <f t="shared" si="21"/>
        <v>78531.636471464619</v>
      </c>
      <c r="F74" s="75">
        <v>11846.5346059</v>
      </c>
      <c r="G74" s="76">
        <f t="shared" si="16"/>
        <v>6.6290809155576209</v>
      </c>
      <c r="I74" s="77">
        <f t="shared" si="22"/>
        <v>67</v>
      </c>
      <c r="J74" s="73">
        <f t="shared" si="4"/>
        <v>2025</v>
      </c>
      <c r="K74" s="78">
        <f t="shared" si="23"/>
        <v>45689</v>
      </c>
    </row>
    <row r="75" spans="2:11" outlineLevel="1">
      <c r="B75" s="78">
        <f t="shared" si="3"/>
        <v>45717</v>
      </c>
      <c r="C75" s="75">
        <v>-41480.612512230873</v>
      </c>
      <c r="D75" s="71">
        <f>IF(F75&lt;&gt;0,VLOOKUP($J75,'Table 1'!$B$13:$C$33,2,FALSE)/12*1000*Study_MW,0)</f>
        <v>191121.53278866349</v>
      </c>
      <c r="E75" s="71">
        <f t="shared" si="21"/>
        <v>149640.92027643262</v>
      </c>
      <c r="F75" s="75">
        <v>16515.05102291</v>
      </c>
      <c r="G75" s="76">
        <f t="shared" si="16"/>
        <v>9.0608814994787377</v>
      </c>
      <c r="I75" s="77">
        <f t="shared" si="22"/>
        <v>68</v>
      </c>
      <c r="J75" s="73">
        <f t="shared" si="4"/>
        <v>2025</v>
      </c>
      <c r="K75" s="78">
        <f t="shared" si="23"/>
        <v>45717</v>
      </c>
    </row>
    <row r="76" spans="2:11" outlineLevel="1">
      <c r="B76" s="78">
        <f t="shared" si="3"/>
        <v>45748</v>
      </c>
      <c r="C76" s="75">
        <v>-159988.87203477323</v>
      </c>
      <c r="D76" s="71">
        <f>IF(F76&lt;&gt;0,VLOOKUP($J76,'Table 1'!$B$13:$C$33,2,FALSE)/12*1000*Study_MW,0)</f>
        <v>191121.53278866349</v>
      </c>
      <c r="E76" s="71">
        <f t="shared" si="21"/>
        <v>31132.660753890261</v>
      </c>
      <c r="F76" s="75">
        <v>19576.590852276</v>
      </c>
      <c r="G76" s="76">
        <f t="shared" si="16"/>
        <v>1.5903004250748152</v>
      </c>
      <c r="I76" s="77">
        <f t="shared" si="22"/>
        <v>69</v>
      </c>
      <c r="J76" s="73">
        <f t="shared" si="4"/>
        <v>2025</v>
      </c>
      <c r="K76" s="78">
        <f t="shared" si="23"/>
        <v>45748</v>
      </c>
    </row>
    <row r="77" spans="2:11" outlineLevel="1">
      <c r="B77" s="78">
        <f t="shared" si="3"/>
        <v>45778</v>
      </c>
      <c r="C77" s="75">
        <v>64857.02949641645</v>
      </c>
      <c r="D77" s="71">
        <f>IF(F77&lt;&gt;0,VLOOKUP($J77,'Table 1'!$B$13:$C$33,2,FALSE)/12*1000*Study_MW,0)</f>
        <v>191121.53278866349</v>
      </c>
      <c r="E77" s="71">
        <f t="shared" si="21"/>
        <v>255978.56228507994</v>
      </c>
      <c r="F77" s="75">
        <v>26790.038652030002</v>
      </c>
      <c r="G77" s="76">
        <f t="shared" si="16"/>
        <v>9.554990405573129</v>
      </c>
      <c r="I77" s="77">
        <f t="shared" si="22"/>
        <v>70</v>
      </c>
      <c r="J77" s="73">
        <f t="shared" si="4"/>
        <v>2025</v>
      </c>
      <c r="K77" s="78">
        <f t="shared" si="23"/>
        <v>45778</v>
      </c>
    </row>
    <row r="78" spans="2:11" outlineLevel="1">
      <c r="B78" s="78">
        <f t="shared" ref="B78:B141" si="40">EDATE(B77,1)</f>
        <v>45809</v>
      </c>
      <c r="C78" s="75">
        <v>69801.715321391821</v>
      </c>
      <c r="D78" s="71">
        <f>IF(F78&lt;&gt;0,VLOOKUP($J78,'Table 1'!$B$13:$C$33,2,FALSE)/12*1000*Study_MW,0)</f>
        <v>191121.53278866349</v>
      </c>
      <c r="E78" s="71">
        <f t="shared" ref="E78:E141" si="41">C78+D78</f>
        <v>260923.24811005531</v>
      </c>
      <c r="F78" s="75">
        <v>24544.468252539999</v>
      </c>
      <c r="G78" s="76">
        <f t="shared" ref="G78:G141" si="42">IF(ISNUMBER($F78),E78/$F78,"")</f>
        <v>10.630633567832684</v>
      </c>
      <c r="I78" s="77">
        <f t="shared" si="22"/>
        <v>71</v>
      </c>
      <c r="J78" s="73">
        <f t="shared" ref="J78:J141" si="43">YEAR(B78)</f>
        <v>2025</v>
      </c>
      <c r="K78" s="78">
        <f t="shared" si="23"/>
        <v>45809</v>
      </c>
    </row>
    <row r="79" spans="2:11" outlineLevel="1">
      <c r="B79" s="78">
        <f t="shared" si="40"/>
        <v>45839</v>
      </c>
      <c r="C79" s="75">
        <v>105843.55936902761</v>
      </c>
      <c r="D79" s="71">
        <f>IF(F79&lt;&gt;0,VLOOKUP($J79,'Table 1'!$B$13:$C$33,2,FALSE)/12*1000*Study_MW,0)</f>
        <v>191121.53278866349</v>
      </c>
      <c r="E79" s="71">
        <f t="shared" si="41"/>
        <v>296965.09215769114</v>
      </c>
      <c r="F79" s="75">
        <v>25035.81805672</v>
      </c>
      <c r="G79" s="76">
        <f t="shared" si="42"/>
        <v>11.86160929452757</v>
      </c>
      <c r="I79" s="77">
        <f t="shared" si="22"/>
        <v>72</v>
      </c>
      <c r="J79" s="73">
        <f t="shared" si="43"/>
        <v>2025</v>
      </c>
      <c r="K79" s="78">
        <f t="shared" si="23"/>
        <v>45839</v>
      </c>
    </row>
    <row r="80" spans="2:11" outlineLevel="1">
      <c r="B80" s="78">
        <f t="shared" si="40"/>
        <v>45870</v>
      </c>
      <c r="C80" s="75">
        <v>125869.35333624482</v>
      </c>
      <c r="D80" s="71">
        <f>IF(F80&lt;&gt;0,VLOOKUP($J80,'Table 1'!$B$13:$C$33,2,FALSE)/12*1000*Study_MW,0)</f>
        <v>191121.53278866349</v>
      </c>
      <c r="E80" s="71">
        <f t="shared" si="41"/>
        <v>316990.88612490834</v>
      </c>
      <c r="F80" s="75">
        <v>22471.007949047002</v>
      </c>
      <c r="G80" s="76">
        <f t="shared" si="42"/>
        <v>14.106660762333625</v>
      </c>
      <c r="I80" s="77">
        <f t="shared" si="22"/>
        <v>73</v>
      </c>
      <c r="J80" s="73">
        <f t="shared" si="43"/>
        <v>2025</v>
      </c>
      <c r="K80" s="78">
        <f t="shared" si="23"/>
        <v>45870</v>
      </c>
    </row>
    <row r="81" spans="2:11" outlineLevel="1">
      <c r="B81" s="78">
        <f t="shared" si="40"/>
        <v>45901</v>
      </c>
      <c r="C81" s="75">
        <v>-138341.75229546428</v>
      </c>
      <c r="D81" s="71">
        <f>IF(F81&lt;&gt;0,VLOOKUP($J81,'Table 1'!$B$13:$C$33,2,FALSE)/12*1000*Study_MW,0)</f>
        <v>191121.53278866349</v>
      </c>
      <c r="E81" s="71">
        <f t="shared" si="41"/>
        <v>52779.780493199214</v>
      </c>
      <c r="F81" s="75">
        <v>21441.01769787</v>
      </c>
      <c r="G81" s="76">
        <f t="shared" si="42"/>
        <v>2.4616266465020678</v>
      </c>
      <c r="I81" s="77">
        <f t="shared" si="22"/>
        <v>74</v>
      </c>
      <c r="J81" s="73">
        <f t="shared" si="43"/>
        <v>2025</v>
      </c>
      <c r="K81" s="78">
        <f t="shared" si="23"/>
        <v>45901</v>
      </c>
    </row>
    <row r="82" spans="2:11" outlineLevel="1">
      <c r="B82" s="78">
        <f t="shared" si="40"/>
        <v>45931</v>
      </c>
      <c r="C82" s="75">
        <v>-50286.431151613593</v>
      </c>
      <c r="D82" s="71">
        <f>IF(F82&lt;&gt;0,VLOOKUP($J82,'Table 1'!$B$13:$C$33,2,FALSE)/12*1000*Study_MW,0)</f>
        <v>191121.53278866349</v>
      </c>
      <c r="E82" s="71">
        <f t="shared" si="41"/>
        <v>140835.1016370499</v>
      </c>
      <c r="F82" s="75">
        <v>17914.905165322001</v>
      </c>
      <c r="G82" s="76">
        <f t="shared" si="42"/>
        <v>7.8613367102643288</v>
      </c>
      <c r="I82" s="77">
        <f t="shared" si="22"/>
        <v>75</v>
      </c>
      <c r="J82" s="73">
        <f t="shared" si="43"/>
        <v>2025</v>
      </c>
      <c r="K82" s="78">
        <f t="shared" si="23"/>
        <v>45931</v>
      </c>
    </row>
    <row r="83" spans="2:11" outlineLevel="1">
      <c r="B83" s="78">
        <f t="shared" si="40"/>
        <v>45962</v>
      </c>
      <c r="C83" s="75">
        <v>6835.1861787885427</v>
      </c>
      <c r="D83" s="71">
        <f>IF(F83&lt;&gt;0,VLOOKUP($J83,'Table 1'!$B$13:$C$33,2,FALSE)/12*1000*Study_MW,0)</f>
        <v>191121.53278866349</v>
      </c>
      <c r="E83" s="71">
        <f t="shared" si="41"/>
        <v>197956.71896745203</v>
      </c>
      <c r="F83" s="75">
        <v>12661.2687121</v>
      </c>
      <c r="G83" s="76">
        <f t="shared" si="42"/>
        <v>15.634824871718475</v>
      </c>
      <c r="I83" s="77">
        <f t="shared" si="22"/>
        <v>76</v>
      </c>
      <c r="J83" s="73">
        <f t="shared" si="43"/>
        <v>2025</v>
      </c>
      <c r="K83" s="78">
        <f t="shared" si="23"/>
        <v>45962</v>
      </c>
    </row>
    <row r="84" spans="2:11" outlineLevel="1">
      <c r="B84" s="82">
        <f t="shared" si="40"/>
        <v>45992</v>
      </c>
      <c r="C84" s="79">
        <v>32672.90308085084</v>
      </c>
      <c r="D84" s="80">
        <f>IF(F84&lt;&gt;0,VLOOKUP($J84,'Table 1'!$B$13:$C$33,2,FALSE)/12*1000*Study_MW,0)</f>
        <v>191121.53278866349</v>
      </c>
      <c r="E84" s="80">
        <f t="shared" si="41"/>
        <v>223794.43586951433</v>
      </c>
      <c r="F84" s="79">
        <v>9049.3198159160002</v>
      </c>
      <c r="G84" s="81">
        <f t="shared" si="42"/>
        <v>24.730525655188281</v>
      </c>
      <c r="I84" s="64">
        <f t="shared" si="22"/>
        <v>77</v>
      </c>
      <c r="J84" s="73">
        <f t="shared" si="43"/>
        <v>2025</v>
      </c>
      <c r="K84" s="82">
        <f t="shared" si="23"/>
        <v>45992</v>
      </c>
    </row>
    <row r="85" spans="2:11" outlineLevel="1">
      <c r="B85" s="74">
        <f t="shared" si="40"/>
        <v>46023</v>
      </c>
      <c r="C85" s="69">
        <v>31497.982526242733</v>
      </c>
      <c r="D85" s="70">
        <f>IF(F85&lt;&gt;0,VLOOKUP($J85,'Table 1'!$B$13:$C$33,2,FALSE)/12*1000*Study_MW,0)</f>
        <v>195344.41640815872</v>
      </c>
      <c r="E85" s="70">
        <f t="shared" si="41"/>
        <v>226842.39893440146</v>
      </c>
      <c r="F85" s="69">
        <v>12085.083379015001</v>
      </c>
      <c r="G85" s="72">
        <f t="shared" si="42"/>
        <v>18.770445500467066</v>
      </c>
      <c r="I85" s="60">
        <f>I73+13</f>
        <v>79</v>
      </c>
      <c r="J85" s="73">
        <f t="shared" si="43"/>
        <v>2026</v>
      </c>
      <c r="K85" s="74">
        <f t="shared" si="23"/>
        <v>46023</v>
      </c>
    </row>
    <row r="86" spans="2:11" outlineLevel="1">
      <c r="B86" s="78">
        <f t="shared" si="40"/>
        <v>46054</v>
      </c>
      <c r="C86" s="75">
        <v>-52672.474442914128</v>
      </c>
      <c r="D86" s="71">
        <f>IF(F86&lt;&gt;0,VLOOKUP($J86,'Table 1'!$B$13:$C$33,2,FALSE)/12*1000*Study_MW,0)</f>
        <v>195344.41640815872</v>
      </c>
      <c r="E86" s="71">
        <f t="shared" si="41"/>
        <v>142671.94196524459</v>
      </c>
      <c r="F86" s="75">
        <v>11787.3019078</v>
      </c>
      <c r="G86" s="76">
        <f t="shared" si="42"/>
        <v>12.10386762646967</v>
      </c>
      <c r="I86" s="77">
        <f t="shared" si="22"/>
        <v>80</v>
      </c>
      <c r="J86" s="73">
        <f t="shared" si="43"/>
        <v>2026</v>
      </c>
      <c r="K86" s="78">
        <f t="shared" si="23"/>
        <v>46054</v>
      </c>
    </row>
    <row r="87" spans="2:11" outlineLevel="1">
      <c r="B87" s="78">
        <f t="shared" si="40"/>
        <v>46082</v>
      </c>
      <c r="C87" s="75">
        <v>-19921.241169698536</v>
      </c>
      <c r="D87" s="71">
        <f>IF(F87&lt;&gt;0,VLOOKUP($J87,'Table 1'!$B$13:$C$33,2,FALSE)/12*1000*Study_MW,0)</f>
        <v>195344.41640815872</v>
      </c>
      <c r="E87" s="71">
        <f t="shared" si="41"/>
        <v>175423.17523846019</v>
      </c>
      <c r="F87" s="75">
        <v>16432.475882089999</v>
      </c>
      <c r="G87" s="76">
        <f t="shared" si="42"/>
        <v>10.675395265886653</v>
      </c>
      <c r="I87" s="77">
        <f t="shared" si="22"/>
        <v>81</v>
      </c>
      <c r="J87" s="73">
        <f t="shared" si="43"/>
        <v>2026</v>
      </c>
      <c r="K87" s="78">
        <f t="shared" si="23"/>
        <v>46082</v>
      </c>
    </row>
    <row r="88" spans="2:11" outlineLevel="1">
      <c r="B88" s="78">
        <f t="shared" si="40"/>
        <v>46113</v>
      </c>
      <c r="C88" s="75">
        <v>-149268.1102642864</v>
      </c>
      <c r="D88" s="71">
        <f>IF(F88&lt;&gt;0,VLOOKUP($J88,'Table 1'!$B$13:$C$33,2,FALSE)/12*1000*Study_MW,0)</f>
        <v>195344.41640815872</v>
      </c>
      <c r="E88" s="71">
        <f t="shared" si="41"/>
        <v>46076.306143872323</v>
      </c>
      <c r="F88" s="75">
        <v>19478.707732817002</v>
      </c>
      <c r="G88" s="76">
        <f t="shared" si="42"/>
        <v>2.3654703780089412</v>
      </c>
      <c r="I88" s="77">
        <f t="shared" si="22"/>
        <v>82</v>
      </c>
      <c r="J88" s="73">
        <f t="shared" si="43"/>
        <v>2026</v>
      </c>
      <c r="K88" s="78">
        <f t="shared" si="23"/>
        <v>46113</v>
      </c>
    </row>
    <row r="89" spans="2:11" outlineLevel="1">
      <c r="B89" s="78">
        <f t="shared" si="40"/>
        <v>46143</v>
      </c>
      <c r="C89" s="75">
        <v>76494.869014948606</v>
      </c>
      <c r="D89" s="71">
        <f>IF(F89&lt;&gt;0,VLOOKUP($J89,'Table 1'!$B$13:$C$33,2,FALSE)/12*1000*Study_MW,0)</f>
        <v>195344.41640815872</v>
      </c>
      <c r="E89" s="71">
        <f t="shared" si="41"/>
        <v>271839.28542310733</v>
      </c>
      <c r="F89" s="75">
        <v>26656.088482499999</v>
      </c>
      <c r="G89" s="76">
        <f t="shared" si="42"/>
        <v>10.198018572813961</v>
      </c>
      <c r="I89" s="77">
        <f t="shared" si="22"/>
        <v>83</v>
      </c>
      <c r="J89" s="73">
        <f t="shared" si="43"/>
        <v>2026</v>
      </c>
      <c r="K89" s="78">
        <f t="shared" si="23"/>
        <v>46143</v>
      </c>
    </row>
    <row r="90" spans="2:11" outlineLevel="1">
      <c r="B90" s="78">
        <f t="shared" si="40"/>
        <v>46174</v>
      </c>
      <c r="C90" s="75">
        <v>-28694.985618889332</v>
      </c>
      <c r="D90" s="71">
        <f>IF(F90&lt;&gt;0,VLOOKUP($J90,'Table 1'!$B$13:$C$33,2,FALSE)/12*1000*Study_MW,0)</f>
        <v>195344.41640815872</v>
      </c>
      <c r="E90" s="71">
        <f t="shared" si="41"/>
        <v>166649.43078926939</v>
      </c>
      <c r="F90" s="75">
        <v>24421.745959800999</v>
      </c>
      <c r="G90" s="76">
        <f t="shared" si="42"/>
        <v>6.8238131320987394</v>
      </c>
      <c r="I90" s="77">
        <f t="shared" ref="I90:I96" si="44">I78+13</f>
        <v>84</v>
      </c>
      <c r="J90" s="73">
        <f t="shared" si="43"/>
        <v>2026</v>
      </c>
      <c r="K90" s="78">
        <f t="shared" ref="K90:K153" si="45">IF(ISNUMBER(F90),IF(F90&lt;&gt;0,B90,""),"")</f>
        <v>46174</v>
      </c>
    </row>
    <row r="91" spans="2:11" outlineLevel="1">
      <c r="B91" s="78">
        <f t="shared" si="40"/>
        <v>46204</v>
      </c>
      <c r="C91" s="75">
        <v>158855.66548973322</v>
      </c>
      <c r="D91" s="71">
        <f>IF(F91&lt;&gt;0,VLOOKUP($J91,'Table 1'!$B$13:$C$33,2,FALSE)/12*1000*Study_MW,0)</f>
        <v>195344.41640815872</v>
      </c>
      <c r="E91" s="71">
        <f t="shared" si="41"/>
        <v>354200.08189789194</v>
      </c>
      <c r="F91" s="75">
        <v>24910.63865524</v>
      </c>
      <c r="G91" s="76">
        <f t="shared" si="42"/>
        <v>14.218827818908018</v>
      </c>
      <c r="I91" s="77">
        <f t="shared" si="44"/>
        <v>85</v>
      </c>
      <c r="J91" s="73">
        <f t="shared" si="43"/>
        <v>2026</v>
      </c>
      <c r="K91" s="78">
        <f t="shared" si="45"/>
        <v>46204</v>
      </c>
    </row>
    <row r="92" spans="2:11" outlineLevel="1">
      <c r="B92" s="78">
        <f t="shared" si="40"/>
        <v>46235</v>
      </c>
      <c r="C92" s="75">
        <v>206273.0593303144</v>
      </c>
      <c r="D92" s="71">
        <f>IF(F92&lt;&gt;0,VLOOKUP($J92,'Table 1'!$B$13:$C$33,2,FALSE)/12*1000*Study_MW,0)</f>
        <v>195344.41640815872</v>
      </c>
      <c r="E92" s="71">
        <f t="shared" si="41"/>
        <v>401617.47573847312</v>
      </c>
      <c r="F92" s="75">
        <v>22358.652856344001</v>
      </c>
      <c r="G92" s="76">
        <f t="shared" si="42"/>
        <v>17.962507773562884</v>
      </c>
      <c r="I92" s="77">
        <f t="shared" si="44"/>
        <v>86</v>
      </c>
      <c r="J92" s="73">
        <f t="shared" si="43"/>
        <v>2026</v>
      </c>
      <c r="K92" s="78">
        <f t="shared" si="45"/>
        <v>46235</v>
      </c>
    </row>
    <row r="93" spans="2:11" outlineLevel="1">
      <c r="B93" s="78">
        <f t="shared" si="40"/>
        <v>46266</v>
      </c>
      <c r="C93" s="75">
        <v>-96379.138597324491</v>
      </c>
      <c r="D93" s="71">
        <f>IF(F93&lt;&gt;0,VLOOKUP($J93,'Table 1'!$B$13:$C$33,2,FALSE)/12*1000*Study_MW,0)</f>
        <v>195344.41640815872</v>
      </c>
      <c r="E93" s="71">
        <f t="shared" si="41"/>
        <v>98965.277810834232</v>
      </c>
      <c r="F93" s="75">
        <v>21333.812679480001</v>
      </c>
      <c r="G93" s="76">
        <f t="shared" si="42"/>
        <v>4.6388931644658298</v>
      </c>
      <c r="I93" s="77">
        <f t="shared" si="44"/>
        <v>87</v>
      </c>
      <c r="J93" s="73">
        <f t="shared" si="43"/>
        <v>2026</v>
      </c>
      <c r="K93" s="78">
        <f t="shared" si="45"/>
        <v>46266</v>
      </c>
    </row>
    <row r="94" spans="2:11" outlineLevel="1">
      <c r="B94" s="78">
        <f t="shared" si="40"/>
        <v>46296</v>
      </c>
      <c r="C94" s="75">
        <v>-58784.39027172327</v>
      </c>
      <c r="D94" s="71">
        <f>IF(F94&lt;&gt;0,VLOOKUP($J94,'Table 1'!$B$13:$C$33,2,FALSE)/12*1000*Study_MW,0)</f>
        <v>195344.41640815872</v>
      </c>
      <c r="E94" s="71">
        <f t="shared" si="41"/>
        <v>136560.02613643545</v>
      </c>
      <c r="F94" s="75">
        <v>17825.330290230999</v>
      </c>
      <c r="G94" s="76">
        <f t="shared" si="42"/>
        <v>7.6610095809150796</v>
      </c>
      <c r="I94" s="77">
        <f t="shared" si="44"/>
        <v>88</v>
      </c>
      <c r="J94" s="73">
        <f t="shared" si="43"/>
        <v>2026</v>
      </c>
      <c r="K94" s="78">
        <f t="shared" si="45"/>
        <v>46296</v>
      </c>
    </row>
    <row r="95" spans="2:11" outlineLevel="1">
      <c r="B95" s="78">
        <f t="shared" si="40"/>
        <v>46327</v>
      </c>
      <c r="C95" s="75">
        <v>128435.68839470297</v>
      </c>
      <c r="D95" s="71">
        <f>IF(F95&lt;&gt;0,VLOOKUP($J95,'Table 1'!$B$13:$C$33,2,FALSE)/12*1000*Study_MW,0)</f>
        <v>195344.41640815872</v>
      </c>
      <c r="E95" s="71">
        <f t="shared" si="41"/>
        <v>323780.10480286169</v>
      </c>
      <c r="F95" s="75">
        <v>12597.962383</v>
      </c>
      <c r="G95" s="76">
        <f t="shared" si="42"/>
        <v>25.700989966423343</v>
      </c>
      <c r="I95" s="77">
        <f t="shared" si="44"/>
        <v>89</v>
      </c>
      <c r="J95" s="73">
        <f t="shared" si="43"/>
        <v>2026</v>
      </c>
      <c r="K95" s="78">
        <f t="shared" si="45"/>
        <v>46327</v>
      </c>
    </row>
    <row r="96" spans="2:11" outlineLevel="1">
      <c r="B96" s="82">
        <f t="shared" si="40"/>
        <v>46357</v>
      </c>
      <c r="C96" s="79">
        <v>170084.69810858369</v>
      </c>
      <c r="D96" s="80">
        <f>IF(F96&lt;&gt;0,VLOOKUP($J96,'Table 1'!$B$13:$C$33,2,FALSE)/12*1000*Study_MW,0)</f>
        <v>195344.41640815872</v>
      </c>
      <c r="E96" s="80">
        <f t="shared" si="41"/>
        <v>365429.11451674241</v>
      </c>
      <c r="F96" s="79">
        <v>9004.0732393350008</v>
      </c>
      <c r="G96" s="81">
        <f t="shared" si="42"/>
        <v>40.584866960026119</v>
      </c>
      <c r="I96" s="64">
        <f t="shared" si="44"/>
        <v>90</v>
      </c>
      <c r="J96" s="73">
        <f t="shared" si="43"/>
        <v>2026</v>
      </c>
      <c r="K96" s="82">
        <f t="shared" si="45"/>
        <v>46357</v>
      </c>
    </row>
    <row r="97" spans="2:11" outlineLevel="1">
      <c r="B97" s="74">
        <f t="shared" si="40"/>
        <v>46388</v>
      </c>
      <c r="C97" s="69">
        <v>-2562.2859919443727</v>
      </c>
      <c r="D97" s="70">
        <f>IF(F97&lt;&gt;0,VLOOKUP($J97,'Table 1'!$B$13:$C$33,2,FALSE)/12*1000*Study_MW,0)</f>
        <v>199690.89662139514</v>
      </c>
      <c r="E97" s="70">
        <f t="shared" si="41"/>
        <v>197128.61062945076</v>
      </c>
      <c r="F97" s="69">
        <v>12024.657922603999</v>
      </c>
      <c r="G97" s="72">
        <f t="shared" si="42"/>
        <v>16.393698007731899</v>
      </c>
      <c r="I97" s="60">
        <f>I85+13</f>
        <v>92</v>
      </c>
      <c r="J97" s="73">
        <f t="shared" si="43"/>
        <v>2027</v>
      </c>
      <c r="K97" s="74">
        <f t="shared" si="45"/>
        <v>46388</v>
      </c>
    </row>
    <row r="98" spans="2:11" outlineLevel="1">
      <c r="B98" s="78">
        <f t="shared" si="40"/>
        <v>46419</v>
      </c>
      <c r="C98" s="75">
        <v>-34630.683910995722</v>
      </c>
      <c r="D98" s="71">
        <f>IF(F98&lt;&gt;0,VLOOKUP($J98,'Table 1'!$B$13:$C$33,2,FALSE)/12*1000*Study_MW,0)</f>
        <v>199690.89662139514</v>
      </c>
      <c r="E98" s="71">
        <f t="shared" si="41"/>
        <v>165060.21271039941</v>
      </c>
      <c r="F98" s="75">
        <v>11728.365417069999</v>
      </c>
      <c r="G98" s="76">
        <f t="shared" si="42"/>
        <v>14.073590550833558</v>
      </c>
      <c r="I98" s="77">
        <f t="shared" ref="I98:I120" si="46">I86+13</f>
        <v>93</v>
      </c>
      <c r="J98" s="73">
        <f t="shared" si="43"/>
        <v>2027</v>
      </c>
      <c r="K98" s="78">
        <f t="shared" si="45"/>
        <v>46419</v>
      </c>
    </row>
    <row r="99" spans="2:11" outlineLevel="1">
      <c r="B99" s="78">
        <f t="shared" si="40"/>
        <v>46447</v>
      </c>
      <c r="C99" s="75">
        <v>-6790.3837785497308</v>
      </c>
      <c r="D99" s="71">
        <f>IF(F99&lt;&gt;0,VLOOKUP($J99,'Table 1'!$B$13:$C$33,2,FALSE)/12*1000*Study_MW,0)</f>
        <v>199690.89662139514</v>
      </c>
      <c r="E99" s="71">
        <f t="shared" si="41"/>
        <v>192900.5128428454</v>
      </c>
      <c r="F99" s="75">
        <v>16350.31314276</v>
      </c>
      <c r="G99" s="76">
        <f t="shared" si="42"/>
        <v>11.797970543962499</v>
      </c>
      <c r="I99" s="77">
        <f t="shared" si="46"/>
        <v>94</v>
      </c>
      <c r="J99" s="73">
        <f t="shared" si="43"/>
        <v>2027</v>
      </c>
      <c r="K99" s="78">
        <f t="shared" si="45"/>
        <v>46447</v>
      </c>
    </row>
    <row r="100" spans="2:11" outlineLevel="1">
      <c r="B100" s="78">
        <f t="shared" si="40"/>
        <v>46478</v>
      </c>
      <c r="C100" s="75">
        <v>-201344.20041248202</v>
      </c>
      <c r="D100" s="71">
        <f>IF(F100&lt;&gt;0,VLOOKUP($J100,'Table 1'!$B$13:$C$33,2,FALSE)/12*1000*Study_MW,0)</f>
        <v>199690.89662139514</v>
      </c>
      <c r="E100" s="71">
        <f t="shared" si="41"/>
        <v>-1653.3037910868879</v>
      </c>
      <c r="F100" s="75">
        <v>19381.314442555999</v>
      </c>
      <c r="G100" s="76">
        <f t="shared" si="42"/>
        <v>-8.5304007423598199E-2</v>
      </c>
      <c r="I100" s="77">
        <f t="shared" si="46"/>
        <v>95</v>
      </c>
      <c r="J100" s="73">
        <f t="shared" si="43"/>
        <v>2027</v>
      </c>
      <c r="K100" s="78">
        <f t="shared" si="45"/>
        <v>46478</v>
      </c>
    </row>
    <row r="101" spans="2:11" outlineLevel="1">
      <c r="B101" s="78">
        <f t="shared" si="40"/>
        <v>46508</v>
      </c>
      <c r="C101" s="75">
        <v>86431.659301146865</v>
      </c>
      <c r="D101" s="71">
        <f>IF(F101&lt;&gt;0,VLOOKUP($J101,'Table 1'!$B$13:$C$33,2,FALSE)/12*1000*Study_MW,0)</f>
        <v>199690.89662139514</v>
      </c>
      <c r="E101" s="71">
        <f t="shared" si="41"/>
        <v>286122.555922542</v>
      </c>
      <c r="F101" s="75">
        <v>26522.807739020001</v>
      </c>
      <c r="G101" s="76">
        <f t="shared" si="42"/>
        <v>10.787792858808169</v>
      </c>
      <c r="I101" s="77">
        <f t="shared" si="46"/>
        <v>96</v>
      </c>
      <c r="J101" s="73">
        <f t="shared" si="43"/>
        <v>2027</v>
      </c>
      <c r="K101" s="78">
        <f t="shared" si="45"/>
        <v>46508</v>
      </c>
    </row>
    <row r="102" spans="2:11" outlineLevel="1">
      <c r="B102" s="78">
        <f t="shared" si="40"/>
        <v>46539</v>
      </c>
      <c r="C102" s="75">
        <v>-165076.99062906206</v>
      </c>
      <c r="D102" s="71">
        <f>IF(F102&lt;&gt;0,VLOOKUP($J102,'Table 1'!$B$13:$C$33,2,FALSE)/12*1000*Study_MW,0)</f>
        <v>199690.89662139514</v>
      </c>
      <c r="E102" s="71">
        <f t="shared" si="41"/>
        <v>34613.905992333079</v>
      </c>
      <c r="F102" s="75">
        <v>24299.637252707998</v>
      </c>
      <c r="G102" s="76">
        <f t="shared" si="42"/>
        <v>1.4244618400003333</v>
      </c>
      <c r="I102" s="77">
        <f t="shared" si="46"/>
        <v>97</v>
      </c>
      <c r="J102" s="73">
        <f t="shared" si="43"/>
        <v>2027</v>
      </c>
      <c r="K102" s="78">
        <f t="shared" si="45"/>
        <v>46539</v>
      </c>
    </row>
    <row r="103" spans="2:11" outlineLevel="1">
      <c r="B103" s="78">
        <f t="shared" si="40"/>
        <v>46569</v>
      </c>
      <c r="C103" s="75">
        <v>105428.04696810246</v>
      </c>
      <c r="D103" s="71">
        <f>IF(F103&lt;&gt;0,VLOOKUP($J103,'Table 1'!$B$13:$C$33,2,FALSE)/12*1000*Study_MW,0)</f>
        <v>199690.89662139514</v>
      </c>
      <c r="E103" s="71">
        <f t="shared" si="41"/>
        <v>305118.94358949759</v>
      </c>
      <c r="F103" s="75">
        <v>24786.085363589998</v>
      </c>
      <c r="G103" s="76">
        <f t="shared" si="42"/>
        <v>12.310090081336845</v>
      </c>
      <c r="I103" s="77">
        <f t="shared" si="46"/>
        <v>98</v>
      </c>
      <c r="J103" s="73">
        <f t="shared" si="43"/>
        <v>2027</v>
      </c>
      <c r="K103" s="78">
        <f t="shared" si="45"/>
        <v>46569</v>
      </c>
    </row>
    <row r="104" spans="2:11" outlineLevel="1">
      <c r="B104" s="78">
        <f t="shared" si="40"/>
        <v>46600</v>
      </c>
      <c r="C104" s="75">
        <v>-31338.452844306827</v>
      </c>
      <c r="D104" s="71">
        <f>IF(F104&lt;&gt;0,VLOOKUP($J104,'Table 1'!$B$13:$C$33,2,FALSE)/12*1000*Study_MW,0)</f>
        <v>199690.89662139514</v>
      </c>
      <c r="E104" s="71">
        <f t="shared" si="41"/>
        <v>168352.44377708831</v>
      </c>
      <c r="F104" s="75">
        <v>22246.859472111999</v>
      </c>
      <c r="G104" s="76">
        <f t="shared" si="42"/>
        <v>7.5674700956388889</v>
      </c>
      <c r="I104" s="77">
        <f t="shared" si="46"/>
        <v>99</v>
      </c>
      <c r="J104" s="73">
        <f t="shared" si="43"/>
        <v>2027</v>
      </c>
      <c r="K104" s="78">
        <f t="shared" si="45"/>
        <v>46600</v>
      </c>
    </row>
    <row r="105" spans="2:11" outlineLevel="1">
      <c r="B105" s="78">
        <f t="shared" si="40"/>
        <v>46631</v>
      </c>
      <c r="C105" s="75">
        <v>-68830.139253690839</v>
      </c>
      <c r="D105" s="71">
        <f>IF(F105&lt;&gt;0,VLOOKUP($J105,'Table 1'!$B$13:$C$33,2,FALSE)/12*1000*Study_MW,0)</f>
        <v>199690.89662139514</v>
      </c>
      <c r="E105" s="71">
        <f t="shared" si="41"/>
        <v>130860.7573677043</v>
      </c>
      <c r="F105" s="75">
        <v>21227.143606950001</v>
      </c>
      <c r="G105" s="76">
        <f t="shared" si="42"/>
        <v>6.1647840986414693</v>
      </c>
      <c r="I105" s="77">
        <f t="shared" si="46"/>
        <v>100</v>
      </c>
      <c r="J105" s="73">
        <f t="shared" si="43"/>
        <v>2027</v>
      </c>
      <c r="K105" s="78">
        <f t="shared" si="45"/>
        <v>46631</v>
      </c>
    </row>
    <row r="106" spans="2:11" outlineLevel="1">
      <c r="B106" s="78">
        <f t="shared" si="40"/>
        <v>46661</v>
      </c>
      <c r="C106" s="75">
        <v>-40684.433594018221</v>
      </c>
      <c r="D106" s="71">
        <f>IF(F106&lt;&gt;0,VLOOKUP($J106,'Table 1'!$B$13:$C$33,2,FALSE)/12*1000*Study_MW,0)</f>
        <v>199690.89662139514</v>
      </c>
      <c r="E106" s="71">
        <f t="shared" si="41"/>
        <v>159006.46302737691</v>
      </c>
      <c r="F106" s="75">
        <v>17736.203772736</v>
      </c>
      <c r="G106" s="76">
        <f t="shared" si="42"/>
        <v>8.9650787206110483</v>
      </c>
      <c r="I106" s="77">
        <f t="shared" si="46"/>
        <v>101</v>
      </c>
      <c r="J106" s="73">
        <f t="shared" si="43"/>
        <v>2027</v>
      </c>
      <c r="K106" s="78">
        <f t="shared" si="45"/>
        <v>46661</v>
      </c>
    </row>
    <row r="107" spans="2:11" outlineLevel="1">
      <c r="B107" s="78">
        <f t="shared" si="40"/>
        <v>46692</v>
      </c>
      <c r="C107" s="75">
        <v>-58893.078180484474</v>
      </c>
      <c r="D107" s="71">
        <f>IF(F107&lt;&gt;0,VLOOKUP($J107,'Table 1'!$B$13:$C$33,2,FALSE)/12*1000*Study_MW,0)</f>
        <v>199690.89662139514</v>
      </c>
      <c r="E107" s="71">
        <f t="shared" si="41"/>
        <v>140797.81844091066</v>
      </c>
      <c r="F107" s="75">
        <v>12534.9725796</v>
      </c>
      <c r="G107" s="76">
        <f t="shared" si="42"/>
        <v>11.232399396712811</v>
      </c>
      <c r="I107" s="77">
        <f t="shared" si="46"/>
        <v>102</v>
      </c>
      <c r="J107" s="73">
        <f t="shared" si="43"/>
        <v>2027</v>
      </c>
      <c r="K107" s="78">
        <f t="shared" si="45"/>
        <v>46692</v>
      </c>
    </row>
    <row r="108" spans="2:11" outlineLevel="1">
      <c r="B108" s="82">
        <f t="shared" si="40"/>
        <v>46722</v>
      </c>
      <c r="C108" s="79">
        <v>42896.73333812505</v>
      </c>
      <c r="D108" s="80">
        <f>IF(F108&lt;&gt;0,VLOOKUP($J108,'Table 1'!$B$13:$C$33,2,FALSE)/12*1000*Study_MW,0)</f>
        <v>199690.89662139514</v>
      </c>
      <c r="E108" s="80">
        <f t="shared" si="41"/>
        <v>242587.62995952019</v>
      </c>
      <c r="F108" s="79">
        <v>8959.0528833600001</v>
      </c>
      <c r="G108" s="81">
        <f t="shared" si="42"/>
        <v>27.07737448565436</v>
      </c>
      <c r="I108" s="64">
        <f t="shared" si="46"/>
        <v>103</v>
      </c>
      <c r="J108" s="73">
        <f t="shared" si="43"/>
        <v>2027</v>
      </c>
      <c r="K108" s="82">
        <f t="shared" si="45"/>
        <v>46722</v>
      </c>
    </row>
    <row r="109" spans="2:11" outlineLevel="1">
      <c r="B109" s="74">
        <f t="shared" si="40"/>
        <v>46753</v>
      </c>
      <c r="C109" s="69">
        <v>89440.282182469964</v>
      </c>
      <c r="D109" s="70">
        <f>IF(F109&lt;&gt;0,VLOOKUP($J109,'Table 1'!$B$13:$C$33,2,FALSE)/12*1000*Study_MW,0)</f>
        <v>204181.57286066317</v>
      </c>
      <c r="E109" s="70">
        <f t="shared" si="41"/>
        <v>293621.85504313314</v>
      </c>
      <c r="F109" s="69">
        <v>11964.534679619999</v>
      </c>
      <c r="G109" s="72">
        <f t="shared" si="42"/>
        <v>24.541017507624353</v>
      </c>
      <c r="I109" s="60">
        <f>I97+13</f>
        <v>105</v>
      </c>
      <c r="J109" s="73">
        <f t="shared" si="43"/>
        <v>2028</v>
      </c>
      <c r="K109" s="74">
        <f t="shared" si="45"/>
        <v>46753</v>
      </c>
    </row>
    <row r="110" spans="2:11" outlineLevel="1">
      <c r="B110" s="78">
        <f t="shared" si="40"/>
        <v>46784</v>
      </c>
      <c r="C110" s="75">
        <v>29074.325819037855</v>
      </c>
      <c r="D110" s="71">
        <f>IF(F110&lt;&gt;0,VLOOKUP($J110,'Table 1'!$B$13:$C$33,2,FALSE)/12*1000*Study_MW,0)</f>
        <v>204181.57286066317</v>
      </c>
      <c r="E110" s="71">
        <f t="shared" si="41"/>
        <v>233255.89867970103</v>
      </c>
      <c r="F110" s="75">
        <v>12253.378758397999</v>
      </c>
      <c r="G110" s="76">
        <f t="shared" si="42"/>
        <v>19.036047385692402</v>
      </c>
      <c r="I110" s="77">
        <f t="shared" si="46"/>
        <v>106</v>
      </c>
      <c r="J110" s="73">
        <f t="shared" si="43"/>
        <v>2028</v>
      </c>
      <c r="K110" s="78">
        <f t="shared" si="45"/>
        <v>46784</v>
      </c>
    </row>
    <row r="111" spans="2:11" outlineLevel="1">
      <c r="B111" s="78">
        <f t="shared" si="40"/>
        <v>46813</v>
      </c>
      <c r="C111" s="75">
        <v>114979.96287801117</v>
      </c>
      <c r="D111" s="71">
        <f>IF(F111&lt;&gt;0,VLOOKUP($J111,'Table 1'!$B$13:$C$33,2,FALSE)/12*1000*Study_MW,0)</f>
        <v>204181.57286066317</v>
      </c>
      <c r="E111" s="71">
        <f t="shared" si="41"/>
        <v>319161.53573867434</v>
      </c>
      <c r="F111" s="75">
        <v>16268.561881595</v>
      </c>
      <c r="G111" s="76">
        <f t="shared" si="42"/>
        <v>19.618300502624585</v>
      </c>
      <c r="I111" s="77">
        <f t="shared" si="46"/>
        <v>107</v>
      </c>
      <c r="J111" s="73">
        <f t="shared" si="43"/>
        <v>2028</v>
      </c>
      <c r="K111" s="78">
        <f t="shared" si="45"/>
        <v>46813</v>
      </c>
    </row>
    <row r="112" spans="2:11" outlineLevel="1">
      <c r="B112" s="78">
        <f t="shared" si="40"/>
        <v>46844</v>
      </c>
      <c r="C112" s="75">
        <v>-38858.465633094311</v>
      </c>
      <c r="D112" s="71">
        <f>IF(F112&lt;&gt;0,VLOOKUP($J112,'Table 1'!$B$13:$C$33,2,FALSE)/12*1000*Study_MW,0)</f>
        <v>204181.57286066317</v>
      </c>
      <c r="E112" s="71">
        <f t="shared" si="41"/>
        <v>165323.10722756886</v>
      </c>
      <c r="F112" s="75">
        <v>19284.407818602998</v>
      </c>
      <c r="G112" s="76">
        <f t="shared" si="42"/>
        <v>8.5728900147033507</v>
      </c>
      <c r="I112" s="77">
        <f t="shared" si="46"/>
        <v>108</v>
      </c>
      <c r="J112" s="73">
        <f t="shared" si="43"/>
        <v>2028</v>
      </c>
      <c r="K112" s="78">
        <f t="shared" si="45"/>
        <v>46844</v>
      </c>
    </row>
    <row r="113" spans="2:11" outlineLevel="1">
      <c r="B113" s="78">
        <f t="shared" si="40"/>
        <v>46874</v>
      </c>
      <c r="C113" s="75">
        <v>88957.139403544366</v>
      </c>
      <c r="D113" s="71">
        <f>IF(F113&lt;&gt;0,VLOOKUP($J113,'Table 1'!$B$13:$C$33,2,FALSE)/12*1000*Study_MW,0)</f>
        <v>204181.57286066317</v>
      </c>
      <c r="E113" s="71">
        <f t="shared" si="41"/>
        <v>293138.71226420754</v>
      </c>
      <c r="F113" s="75">
        <v>26390.194385539999</v>
      </c>
      <c r="G113" s="76">
        <f t="shared" si="42"/>
        <v>11.107864837283172</v>
      </c>
      <c r="I113" s="77">
        <f t="shared" si="46"/>
        <v>109</v>
      </c>
      <c r="J113" s="73">
        <f t="shared" si="43"/>
        <v>2028</v>
      </c>
      <c r="K113" s="78">
        <f t="shared" si="45"/>
        <v>46874</v>
      </c>
    </row>
    <row r="114" spans="2:11" outlineLevel="1">
      <c r="B114" s="78">
        <f t="shared" si="40"/>
        <v>46905</v>
      </c>
      <c r="C114" s="75">
        <v>-10366.151829630136</v>
      </c>
      <c r="D114" s="71">
        <f>IF(F114&lt;&gt;0,VLOOKUP($J114,'Table 1'!$B$13:$C$33,2,FALSE)/12*1000*Study_MW,0)</f>
        <v>204181.57286066317</v>
      </c>
      <c r="E114" s="71">
        <f t="shared" si="41"/>
        <v>193815.42103103304</v>
      </c>
      <c r="F114" s="75">
        <v>24178.139073558999</v>
      </c>
      <c r="G114" s="76">
        <f t="shared" si="42"/>
        <v>8.0161430307507775</v>
      </c>
      <c r="I114" s="77">
        <f t="shared" si="46"/>
        <v>110</v>
      </c>
      <c r="J114" s="73">
        <f t="shared" si="43"/>
        <v>2028</v>
      </c>
      <c r="K114" s="78">
        <f t="shared" si="45"/>
        <v>46905</v>
      </c>
    </row>
    <row r="115" spans="2:11" outlineLevel="1">
      <c r="B115" s="78">
        <f t="shared" si="40"/>
        <v>46935</v>
      </c>
      <c r="C115" s="75">
        <v>122978.10435506701</v>
      </c>
      <c r="D115" s="71">
        <f>IF(F115&lt;&gt;0,VLOOKUP($J115,'Table 1'!$B$13:$C$33,2,FALSE)/12*1000*Study_MW,0)</f>
        <v>204181.57286066317</v>
      </c>
      <c r="E115" s="71">
        <f t="shared" si="41"/>
        <v>327159.67721573019</v>
      </c>
      <c r="F115" s="75">
        <v>24662.155299244001</v>
      </c>
      <c r="G115" s="76">
        <f t="shared" si="42"/>
        <v>13.265656356715871</v>
      </c>
      <c r="I115" s="77">
        <f t="shared" si="46"/>
        <v>111</v>
      </c>
      <c r="J115" s="73">
        <f t="shared" si="43"/>
        <v>2028</v>
      </c>
      <c r="K115" s="78">
        <f t="shared" si="45"/>
        <v>46935</v>
      </c>
    </row>
    <row r="116" spans="2:11" outlineLevel="1">
      <c r="B116" s="78">
        <f t="shared" si="40"/>
        <v>46966</v>
      </c>
      <c r="C116" s="75">
        <v>207909.25996570289</v>
      </c>
      <c r="D116" s="71">
        <f>IF(F116&lt;&gt;0,VLOOKUP($J116,'Table 1'!$B$13:$C$33,2,FALSE)/12*1000*Study_MW,0)</f>
        <v>204181.57286066317</v>
      </c>
      <c r="E116" s="71">
        <f t="shared" si="41"/>
        <v>412090.83282636607</v>
      </c>
      <c r="F116" s="75">
        <v>22135.625562562</v>
      </c>
      <c r="G116" s="76">
        <f t="shared" si="42"/>
        <v>18.61663370035205</v>
      </c>
      <c r="I116" s="77">
        <f t="shared" si="46"/>
        <v>112</v>
      </c>
      <c r="J116" s="73">
        <f t="shared" si="43"/>
        <v>2028</v>
      </c>
      <c r="K116" s="78">
        <f t="shared" si="45"/>
        <v>46966</v>
      </c>
    </row>
    <row r="117" spans="2:11" outlineLevel="1">
      <c r="B117" s="78">
        <f t="shared" si="40"/>
        <v>46997</v>
      </c>
      <c r="C117" s="75">
        <v>32851.838573172688</v>
      </c>
      <c r="D117" s="71">
        <f>IF(F117&lt;&gt;0,VLOOKUP($J117,'Table 1'!$B$13:$C$33,2,FALSE)/12*1000*Study_MW,0)</f>
        <v>204181.57286066317</v>
      </c>
      <c r="E117" s="71">
        <f t="shared" si="41"/>
        <v>237033.41143383586</v>
      </c>
      <c r="F117" s="75">
        <v>21121.00792321</v>
      </c>
      <c r="G117" s="76">
        <f t="shared" si="42"/>
        <v>11.222637304792563</v>
      </c>
      <c r="I117" s="77">
        <f t="shared" si="46"/>
        <v>113</v>
      </c>
      <c r="J117" s="73">
        <f t="shared" si="43"/>
        <v>2028</v>
      </c>
      <c r="K117" s="78">
        <f t="shared" si="45"/>
        <v>46997</v>
      </c>
    </row>
    <row r="118" spans="2:11" outlineLevel="1">
      <c r="B118" s="78">
        <f t="shared" si="40"/>
        <v>47027</v>
      </c>
      <c r="C118" s="75">
        <v>-59308.961695432663</v>
      </c>
      <c r="D118" s="71">
        <f>IF(F118&lt;&gt;0,VLOOKUP($J118,'Table 1'!$B$13:$C$33,2,FALSE)/12*1000*Study_MW,0)</f>
        <v>204181.57286066317</v>
      </c>
      <c r="E118" s="71">
        <f t="shared" si="41"/>
        <v>144872.61116523051</v>
      </c>
      <c r="F118" s="75">
        <v>17647.522461617002</v>
      </c>
      <c r="G118" s="76">
        <f t="shared" si="42"/>
        <v>8.2092322863067864</v>
      </c>
      <c r="I118" s="77">
        <f t="shared" si="46"/>
        <v>114</v>
      </c>
      <c r="J118" s="73">
        <f t="shared" si="43"/>
        <v>2028</v>
      </c>
      <c r="K118" s="78">
        <f t="shared" si="45"/>
        <v>47027</v>
      </c>
    </row>
    <row r="119" spans="2:11" outlineLevel="1">
      <c r="B119" s="78">
        <f t="shared" si="40"/>
        <v>47058</v>
      </c>
      <c r="C119" s="75">
        <v>74320.953023970127</v>
      </c>
      <c r="D119" s="71">
        <f>IF(F119&lt;&gt;0,VLOOKUP($J119,'Table 1'!$B$13:$C$33,2,FALSE)/12*1000*Study_MW,0)</f>
        <v>204181.57286066317</v>
      </c>
      <c r="E119" s="71">
        <f t="shared" si="41"/>
        <v>278502.5258846333</v>
      </c>
      <c r="F119" s="75">
        <v>12472.297755400001</v>
      </c>
      <c r="G119" s="76">
        <f t="shared" si="42"/>
        <v>22.329688670562163</v>
      </c>
      <c r="I119" s="77">
        <f t="shared" si="46"/>
        <v>115</v>
      </c>
      <c r="J119" s="73">
        <f t="shared" si="43"/>
        <v>2028</v>
      </c>
      <c r="K119" s="78">
        <f t="shared" si="45"/>
        <v>47058</v>
      </c>
    </row>
    <row r="120" spans="2:11" outlineLevel="1">
      <c r="B120" s="82">
        <f t="shared" si="40"/>
        <v>47088</v>
      </c>
      <c r="C120" s="79">
        <v>133543.20614922047</v>
      </c>
      <c r="D120" s="80">
        <f>IF(F120&lt;&gt;0,VLOOKUP($J120,'Table 1'!$B$13:$C$33,2,FALSE)/12*1000*Study_MW,0)</f>
        <v>204181.57286066317</v>
      </c>
      <c r="E120" s="80">
        <f t="shared" si="41"/>
        <v>337724.77900988364</v>
      </c>
      <c r="F120" s="79">
        <v>8914.2576053299999</v>
      </c>
      <c r="G120" s="81">
        <f t="shared" si="42"/>
        <v>37.88591198081955</v>
      </c>
      <c r="I120" s="64">
        <f t="shared" si="46"/>
        <v>116</v>
      </c>
      <c r="J120" s="73">
        <f t="shared" si="43"/>
        <v>2028</v>
      </c>
      <c r="K120" s="82">
        <f t="shared" si="45"/>
        <v>47088</v>
      </c>
    </row>
    <row r="121" spans="2:11" outlineLevel="1">
      <c r="B121" s="74">
        <f t="shared" si="40"/>
        <v>47119</v>
      </c>
      <c r="C121" s="69">
        <v>99115.467457510531</v>
      </c>
      <c r="D121" s="70">
        <f>IF(F121&lt;&gt;0,VLOOKUP($J121,'Table 1'!$B$13:$C$33,2,FALSE)/12*1000*Study_MW,0)</f>
        <v>208816.44512596272</v>
      </c>
      <c r="E121" s="70">
        <f t="shared" si="41"/>
        <v>307931.91258347325</v>
      </c>
      <c r="F121" s="69">
        <v>11904.7120192</v>
      </c>
      <c r="G121" s="72">
        <f t="shared" si="42"/>
        <v>25.866389047197327</v>
      </c>
      <c r="I121" s="60">
        <f>I109+13</f>
        <v>118</v>
      </c>
      <c r="J121" s="73">
        <f t="shared" si="43"/>
        <v>2029</v>
      </c>
      <c r="K121" s="74">
        <f t="shared" si="45"/>
        <v>47119</v>
      </c>
    </row>
    <row r="122" spans="2:11" outlineLevel="1">
      <c r="B122" s="78">
        <f t="shared" si="40"/>
        <v>47150</v>
      </c>
      <c r="C122" s="75">
        <v>22044.820466428995</v>
      </c>
      <c r="D122" s="71">
        <f>IF(F122&lt;&gt;0,VLOOKUP($J122,'Table 1'!$B$13:$C$33,2,FALSE)/12*1000*Study_MW,0)</f>
        <v>208816.44512596272</v>
      </c>
      <c r="E122" s="71">
        <f t="shared" si="41"/>
        <v>230861.26559239172</v>
      </c>
      <c r="F122" s="75">
        <v>11611.3749484</v>
      </c>
      <c r="G122" s="76">
        <f t="shared" si="42"/>
        <v>19.882336641295307</v>
      </c>
      <c r="I122" s="77">
        <f t="shared" ref="I122:I132" si="47">I110+13</f>
        <v>119</v>
      </c>
      <c r="J122" s="73">
        <f t="shared" si="43"/>
        <v>2029</v>
      </c>
      <c r="K122" s="78">
        <f t="shared" si="45"/>
        <v>47150</v>
      </c>
    </row>
    <row r="123" spans="2:11" outlineLevel="1">
      <c r="B123" s="78">
        <f t="shared" si="40"/>
        <v>47178</v>
      </c>
      <c r="C123" s="75">
        <v>10109.113810323179</v>
      </c>
      <c r="D123" s="71">
        <f>IF(F123&lt;&gt;0,VLOOKUP($J123,'Table 1'!$B$13:$C$33,2,FALSE)/12*1000*Study_MW,0)</f>
        <v>208816.44512596272</v>
      </c>
      <c r="E123" s="71">
        <f t="shared" si="41"/>
        <v>218925.5589362859</v>
      </c>
      <c r="F123" s="75">
        <v>16187.218935139999</v>
      </c>
      <c r="G123" s="76">
        <f t="shared" si="42"/>
        <v>13.524593681811005</v>
      </c>
      <c r="I123" s="77">
        <f t="shared" si="47"/>
        <v>120</v>
      </c>
      <c r="J123" s="73">
        <f t="shared" si="43"/>
        <v>2029</v>
      </c>
      <c r="K123" s="78">
        <f t="shared" si="45"/>
        <v>47178</v>
      </c>
    </row>
    <row r="124" spans="2:11" outlineLevel="1">
      <c r="B124" s="78">
        <f t="shared" si="40"/>
        <v>47209</v>
      </c>
      <c r="C124" s="75">
        <v>-247344.20454244316</v>
      </c>
      <c r="D124" s="71">
        <f>IF(F124&lt;&gt;0,VLOOKUP($J124,'Table 1'!$B$13:$C$33,2,FALSE)/12*1000*Study_MW,0)</f>
        <v>208816.44512596272</v>
      </c>
      <c r="E124" s="71">
        <f t="shared" si="41"/>
        <v>-38527.759416480432</v>
      </c>
      <c r="F124" s="75">
        <v>19187.985946684999</v>
      </c>
      <c r="G124" s="76">
        <f t="shared" si="42"/>
        <v>-2.0079105500458558</v>
      </c>
      <c r="I124" s="77">
        <f t="shared" si="47"/>
        <v>121</v>
      </c>
      <c r="J124" s="73">
        <f t="shared" si="43"/>
        <v>2029</v>
      </c>
      <c r="K124" s="78">
        <f t="shared" si="45"/>
        <v>47209</v>
      </c>
    </row>
    <row r="125" spans="2:11" outlineLevel="1">
      <c r="B125" s="78">
        <f t="shared" si="40"/>
        <v>47239</v>
      </c>
      <c r="C125" s="75">
        <v>142231.82234501839</v>
      </c>
      <c r="D125" s="71">
        <f>IF(F125&lt;&gt;0,VLOOKUP($J125,'Table 1'!$B$13:$C$33,2,FALSE)/12*1000*Study_MW,0)</f>
        <v>208816.44512596272</v>
      </c>
      <c r="E125" s="71">
        <f t="shared" si="41"/>
        <v>351048.26747098111</v>
      </c>
      <c r="F125" s="75">
        <v>26258.24362148</v>
      </c>
      <c r="G125" s="76">
        <f t="shared" si="42"/>
        <v>13.369068873434227</v>
      </c>
      <c r="I125" s="77">
        <f t="shared" si="47"/>
        <v>122</v>
      </c>
      <c r="J125" s="73">
        <f t="shared" si="43"/>
        <v>2029</v>
      </c>
      <c r="K125" s="78">
        <f t="shared" si="45"/>
        <v>47239</v>
      </c>
    </row>
    <row r="126" spans="2:11" outlineLevel="1">
      <c r="B126" s="78">
        <f t="shared" si="40"/>
        <v>47270</v>
      </c>
      <c r="C126" s="75">
        <v>-157951.77928633988</v>
      </c>
      <c r="D126" s="71">
        <f>IF(F126&lt;&gt;0,VLOOKUP($J126,'Table 1'!$B$13:$C$33,2,FALSE)/12*1000*Study_MW,0)</f>
        <v>208816.44512596272</v>
      </c>
      <c r="E126" s="71">
        <f t="shared" si="41"/>
        <v>50864.665839622845</v>
      </c>
      <c r="F126" s="75">
        <v>24057.248377157001</v>
      </c>
      <c r="G126" s="76">
        <f t="shared" si="42"/>
        <v>2.1143176909592123</v>
      </c>
      <c r="I126" s="77">
        <f t="shared" si="47"/>
        <v>123</v>
      </c>
      <c r="J126" s="73">
        <f t="shared" si="43"/>
        <v>2029</v>
      </c>
      <c r="K126" s="78">
        <f t="shared" si="45"/>
        <v>47270</v>
      </c>
    </row>
    <row r="127" spans="2:11" outlineLevel="1">
      <c r="B127" s="78">
        <f t="shared" si="40"/>
        <v>47300</v>
      </c>
      <c r="C127" s="75">
        <v>386353.20121195912</v>
      </c>
      <c r="D127" s="71">
        <f>IF(F127&lt;&gt;0,VLOOKUP($J127,'Table 1'!$B$13:$C$33,2,FALSE)/12*1000*Study_MW,0)</f>
        <v>208816.44512596272</v>
      </c>
      <c r="E127" s="71">
        <f t="shared" si="41"/>
        <v>595169.64633792185</v>
      </c>
      <c r="F127" s="75">
        <v>24538.844625400001</v>
      </c>
      <c r="G127" s="76">
        <f t="shared" si="42"/>
        <v>24.254183741066015</v>
      </c>
      <c r="I127" s="77">
        <f t="shared" si="47"/>
        <v>124</v>
      </c>
      <c r="J127" s="73">
        <f t="shared" si="43"/>
        <v>2029</v>
      </c>
      <c r="K127" s="78">
        <f t="shared" si="45"/>
        <v>47300</v>
      </c>
    </row>
    <row r="128" spans="2:11" outlineLevel="1">
      <c r="B128" s="78">
        <f t="shared" si="40"/>
        <v>47331</v>
      </c>
      <c r="C128" s="75">
        <v>158715.71945978701</v>
      </c>
      <c r="D128" s="71">
        <f>IF(F128&lt;&gt;0,VLOOKUP($J128,'Table 1'!$B$13:$C$33,2,FALSE)/12*1000*Study_MW,0)</f>
        <v>208816.44512596272</v>
      </c>
      <c r="E128" s="71">
        <f t="shared" si="41"/>
        <v>367532.16458574974</v>
      </c>
      <c r="F128" s="75">
        <v>22024.947179882001</v>
      </c>
      <c r="G128" s="76">
        <f t="shared" si="42"/>
        <v>16.687084948901056</v>
      </c>
      <c r="I128" s="77">
        <f t="shared" si="47"/>
        <v>125</v>
      </c>
      <c r="J128" s="73">
        <f t="shared" si="43"/>
        <v>2029</v>
      </c>
      <c r="K128" s="78">
        <f t="shared" si="45"/>
        <v>47331</v>
      </c>
    </row>
    <row r="129" spans="2:11" outlineLevel="1">
      <c r="B129" s="78">
        <f t="shared" si="40"/>
        <v>47362</v>
      </c>
      <c r="C129" s="75">
        <v>87529.277891069651</v>
      </c>
      <c r="D129" s="71">
        <f>IF(F129&lt;&gt;0,VLOOKUP($J129,'Table 1'!$B$13:$C$33,2,FALSE)/12*1000*Study_MW,0)</f>
        <v>208816.44512596272</v>
      </c>
      <c r="E129" s="71">
        <f t="shared" si="41"/>
        <v>296345.72301703237</v>
      </c>
      <c r="F129" s="75">
        <v>21015.40282386</v>
      </c>
      <c r="G129" s="76">
        <f t="shared" si="42"/>
        <v>14.101358203830095</v>
      </c>
      <c r="I129" s="77">
        <f t="shared" si="47"/>
        <v>126</v>
      </c>
      <c r="J129" s="73">
        <f t="shared" si="43"/>
        <v>2029</v>
      </c>
      <c r="K129" s="78">
        <f t="shared" si="45"/>
        <v>47362</v>
      </c>
    </row>
    <row r="130" spans="2:11" outlineLevel="1">
      <c r="B130" s="78">
        <f t="shared" si="40"/>
        <v>47392</v>
      </c>
      <c r="C130" s="75">
        <v>25175.224974498153</v>
      </c>
      <c r="D130" s="71">
        <f>IF(F130&lt;&gt;0,VLOOKUP($J130,'Table 1'!$B$13:$C$33,2,FALSE)/12*1000*Study_MW,0)</f>
        <v>208816.44512596272</v>
      </c>
      <c r="E130" s="71">
        <f t="shared" si="41"/>
        <v>233991.67010046088</v>
      </c>
      <c r="F130" s="75">
        <v>17559.285117445001</v>
      </c>
      <c r="G130" s="76">
        <f t="shared" si="42"/>
        <v>13.325808456062493</v>
      </c>
      <c r="I130" s="77">
        <f t="shared" si="47"/>
        <v>127</v>
      </c>
      <c r="J130" s="73">
        <f t="shared" si="43"/>
        <v>2029</v>
      </c>
      <c r="K130" s="78">
        <f t="shared" si="45"/>
        <v>47392</v>
      </c>
    </row>
    <row r="131" spans="2:11" outlineLevel="1">
      <c r="B131" s="78">
        <f t="shared" si="40"/>
        <v>47423</v>
      </c>
      <c r="C131" s="75">
        <v>112686.39273791015</v>
      </c>
      <c r="D131" s="71">
        <f>IF(F131&lt;&gt;0,VLOOKUP($J131,'Table 1'!$B$13:$C$33,2,FALSE)/12*1000*Study_MW,0)</f>
        <v>208816.44512596272</v>
      </c>
      <c r="E131" s="71">
        <f t="shared" si="41"/>
        <v>321502.83786387288</v>
      </c>
      <c r="F131" s="75">
        <v>12409.936282500001</v>
      </c>
      <c r="G131" s="76">
        <f t="shared" si="42"/>
        <v>25.906888685419233</v>
      </c>
      <c r="I131" s="77">
        <f t="shared" si="47"/>
        <v>128</v>
      </c>
      <c r="J131" s="73">
        <f t="shared" si="43"/>
        <v>2029</v>
      </c>
      <c r="K131" s="78">
        <f t="shared" si="45"/>
        <v>47423</v>
      </c>
    </row>
    <row r="132" spans="2:11" outlineLevel="1">
      <c r="B132" s="82">
        <f t="shared" si="40"/>
        <v>47453</v>
      </c>
      <c r="C132" s="79">
        <v>88753.776568263769</v>
      </c>
      <c r="D132" s="80">
        <f>IF(F132&lt;&gt;0,VLOOKUP($J132,'Table 1'!$B$13:$C$33,2,FALSE)/12*1000*Study_MW,0)</f>
        <v>208816.44512596272</v>
      </c>
      <c r="E132" s="80">
        <f t="shared" si="41"/>
        <v>297570.22169422649</v>
      </c>
      <c r="F132" s="79">
        <v>8869.6863370999999</v>
      </c>
      <c r="G132" s="81">
        <f t="shared" si="42"/>
        <v>33.549125683233456</v>
      </c>
      <c r="I132" s="64">
        <f t="shared" si="47"/>
        <v>129</v>
      </c>
      <c r="J132" s="73">
        <f t="shared" si="43"/>
        <v>2029</v>
      </c>
      <c r="K132" s="82">
        <f t="shared" si="45"/>
        <v>47453</v>
      </c>
    </row>
    <row r="133" spans="2:11" outlineLevel="1">
      <c r="B133" s="74">
        <f t="shared" si="40"/>
        <v>47484</v>
      </c>
      <c r="C133" s="69">
        <v>71566.695395305753</v>
      </c>
      <c r="D133" s="70">
        <f>IF(F133&lt;&gt;0,VLOOKUP($J133,'Table 1'!$B$13:$C$33,2,FALSE)/12*1000*Study_MW,0)</f>
        <v>213492.51625584275</v>
      </c>
      <c r="E133" s="70">
        <f t="shared" si="41"/>
        <v>285059.21165114851</v>
      </c>
      <c r="F133" s="69">
        <v>11845.188425664999</v>
      </c>
      <c r="G133" s="72">
        <f t="shared" si="42"/>
        <v>24.065401191382485</v>
      </c>
      <c r="I133" s="60">
        <f>I13</f>
        <v>1</v>
      </c>
      <c r="J133" s="73">
        <f t="shared" si="43"/>
        <v>2030</v>
      </c>
      <c r="K133" s="74">
        <f t="shared" si="45"/>
        <v>47484</v>
      </c>
    </row>
    <row r="134" spans="2:11" outlineLevel="1">
      <c r="B134" s="78">
        <f t="shared" si="40"/>
        <v>47515</v>
      </c>
      <c r="C134" s="75">
        <v>53348.966976568103</v>
      </c>
      <c r="D134" s="71">
        <f>IF(F134&lt;&gt;0,VLOOKUP($J134,'Table 1'!$B$13:$C$33,2,FALSE)/12*1000*Study_MW,0)</f>
        <v>213492.51625584275</v>
      </c>
      <c r="E134" s="71">
        <f t="shared" si="41"/>
        <v>266841.48323241086</v>
      </c>
      <c r="F134" s="75">
        <v>11553.31808508</v>
      </c>
      <c r="G134" s="76">
        <f t="shared" si="42"/>
        <v>23.096523549975743</v>
      </c>
      <c r="I134" s="77">
        <f t="shared" ref="I134:I197" si="48">I14</f>
        <v>2</v>
      </c>
      <c r="J134" s="73">
        <f t="shared" si="43"/>
        <v>2030</v>
      </c>
      <c r="K134" s="78">
        <f t="shared" si="45"/>
        <v>47515</v>
      </c>
    </row>
    <row r="135" spans="2:11" outlineLevel="1">
      <c r="B135" s="78">
        <f t="shared" si="40"/>
        <v>47543</v>
      </c>
      <c r="C135" s="75">
        <v>-75826.201779410243</v>
      </c>
      <c r="D135" s="71">
        <f>IF(F135&lt;&gt;0,VLOOKUP($J135,'Table 1'!$B$13:$C$33,2,FALSE)/12*1000*Study_MW,0)</f>
        <v>213492.51625584275</v>
      </c>
      <c r="E135" s="71">
        <f t="shared" si="41"/>
        <v>137666.31447643251</v>
      </c>
      <c r="F135" s="75">
        <v>16106.28267052</v>
      </c>
      <c r="G135" s="76">
        <f t="shared" si="42"/>
        <v>8.5473673405973987</v>
      </c>
      <c r="I135" s="77">
        <f t="shared" si="48"/>
        <v>3</v>
      </c>
      <c r="J135" s="73">
        <f t="shared" si="43"/>
        <v>2030</v>
      </c>
      <c r="K135" s="78">
        <f t="shared" si="45"/>
        <v>47543</v>
      </c>
    </row>
    <row r="136" spans="2:11" outlineLevel="1">
      <c r="B136" s="78">
        <f t="shared" si="40"/>
        <v>47574</v>
      </c>
      <c r="C136" s="75">
        <v>19827.096324369311</v>
      </c>
      <c r="D136" s="71">
        <f>IF(F136&lt;&gt;0,VLOOKUP($J136,'Table 1'!$B$13:$C$33,2,FALSE)/12*1000*Study_MW,0)</f>
        <v>213492.51625584275</v>
      </c>
      <c r="E136" s="71">
        <f t="shared" si="41"/>
        <v>233319.61258021207</v>
      </c>
      <c r="F136" s="75">
        <v>19092.045848090998</v>
      </c>
      <c r="G136" s="76">
        <f t="shared" si="42"/>
        <v>12.220775837050567</v>
      </c>
      <c r="I136" s="77">
        <f t="shared" si="48"/>
        <v>4</v>
      </c>
      <c r="J136" s="73">
        <f t="shared" si="43"/>
        <v>2030</v>
      </c>
      <c r="K136" s="78">
        <f t="shared" si="45"/>
        <v>47574</v>
      </c>
    </row>
    <row r="137" spans="2:11" outlineLevel="1">
      <c r="B137" s="78">
        <f t="shared" si="40"/>
        <v>47604</v>
      </c>
      <c r="C137" s="75">
        <v>78711.145807877183</v>
      </c>
      <c r="D137" s="71">
        <f>IF(F137&lt;&gt;0,VLOOKUP($J137,'Table 1'!$B$13:$C$33,2,FALSE)/12*1000*Study_MW,0)</f>
        <v>213492.51625584275</v>
      </c>
      <c r="E137" s="71">
        <f t="shared" si="41"/>
        <v>292203.66206371994</v>
      </c>
      <c r="F137" s="75">
        <v>26126.951568820001</v>
      </c>
      <c r="G137" s="76">
        <f t="shared" si="42"/>
        <v>11.183993712164908</v>
      </c>
      <c r="I137" s="77">
        <f t="shared" si="48"/>
        <v>5</v>
      </c>
      <c r="J137" s="73">
        <f t="shared" si="43"/>
        <v>2030</v>
      </c>
      <c r="K137" s="78">
        <f t="shared" si="45"/>
        <v>47604</v>
      </c>
    </row>
    <row r="138" spans="2:11" outlineLevel="1">
      <c r="B138" s="78">
        <f t="shared" si="40"/>
        <v>47635</v>
      </c>
      <c r="C138" s="75">
        <v>-275221.56112575531</v>
      </c>
      <c r="D138" s="71">
        <f>IF(F138&lt;&gt;0,VLOOKUP($J138,'Table 1'!$B$13:$C$33,2,FALSE)/12*1000*Study_MW,0)</f>
        <v>213492.51625584275</v>
      </c>
      <c r="E138" s="71">
        <f t="shared" si="41"/>
        <v>-61729.044869912555</v>
      </c>
      <c r="F138" s="75">
        <v>23936.962111798999</v>
      </c>
      <c r="G138" s="76">
        <f t="shared" si="42"/>
        <v>-2.57881700199062</v>
      </c>
      <c r="I138" s="77">
        <f t="shared" si="48"/>
        <v>6</v>
      </c>
      <c r="J138" s="73">
        <f t="shared" si="43"/>
        <v>2030</v>
      </c>
      <c r="K138" s="78">
        <f t="shared" si="45"/>
        <v>47635</v>
      </c>
    </row>
    <row r="139" spans="2:11" outlineLevel="1">
      <c r="B139" s="78">
        <f t="shared" si="40"/>
        <v>47665</v>
      </c>
      <c r="C139" s="75">
        <v>91331.786813259125</v>
      </c>
      <c r="D139" s="71">
        <f>IF(F139&lt;&gt;0,VLOOKUP($J139,'Table 1'!$B$13:$C$33,2,FALSE)/12*1000*Study_MW,0)</f>
        <v>213492.51625584275</v>
      </c>
      <c r="E139" s="71">
        <f t="shared" si="41"/>
        <v>304824.30306910188</v>
      </c>
      <c r="F139" s="75">
        <v>24416.1501465</v>
      </c>
      <c r="G139" s="76">
        <f t="shared" si="42"/>
        <v>12.484535901037525</v>
      </c>
      <c r="I139" s="77">
        <f t="shared" si="48"/>
        <v>7</v>
      </c>
      <c r="J139" s="73">
        <f t="shared" si="43"/>
        <v>2030</v>
      </c>
      <c r="K139" s="78">
        <f t="shared" si="45"/>
        <v>47665</v>
      </c>
    </row>
    <row r="140" spans="2:11" outlineLevel="1">
      <c r="B140" s="78">
        <f t="shared" si="40"/>
        <v>47696</v>
      </c>
      <c r="C140" s="75">
        <v>412970.12956571579</v>
      </c>
      <c r="D140" s="71">
        <f>IF(F140&lt;&gt;0,VLOOKUP($J140,'Table 1'!$B$13:$C$33,2,FALSE)/12*1000*Study_MW,0)</f>
        <v>213492.51625584275</v>
      </c>
      <c r="E140" s="71">
        <f t="shared" si="41"/>
        <v>626462.64582155854</v>
      </c>
      <c r="F140" s="75">
        <v>21914.822081061</v>
      </c>
      <c r="G140" s="76">
        <f t="shared" si="42"/>
        <v>28.586252879641382</v>
      </c>
      <c r="I140" s="77">
        <f t="shared" si="48"/>
        <v>8</v>
      </c>
      <c r="J140" s="73">
        <f t="shared" si="43"/>
        <v>2030</v>
      </c>
      <c r="K140" s="78">
        <f t="shared" si="45"/>
        <v>47696</v>
      </c>
    </row>
    <row r="141" spans="2:11" outlineLevel="1">
      <c r="B141" s="78">
        <f t="shared" si="40"/>
        <v>47727</v>
      </c>
      <c r="C141" s="75">
        <v>-5172.8701797276735</v>
      </c>
      <c r="D141" s="71">
        <f>IF(F141&lt;&gt;0,VLOOKUP($J141,'Table 1'!$B$13:$C$33,2,FALSE)/12*1000*Study_MW,0)</f>
        <v>213492.51625584275</v>
      </c>
      <c r="E141" s="71">
        <f t="shared" si="41"/>
        <v>208319.64607611508</v>
      </c>
      <c r="F141" s="75">
        <v>20910.3258193</v>
      </c>
      <c r="G141" s="76">
        <f t="shared" si="42"/>
        <v>9.9625251120591507</v>
      </c>
      <c r="I141" s="77">
        <f t="shared" si="48"/>
        <v>9</v>
      </c>
      <c r="J141" s="73">
        <f t="shared" si="43"/>
        <v>2030</v>
      </c>
      <c r="K141" s="78">
        <f t="shared" si="45"/>
        <v>47727</v>
      </c>
    </row>
    <row r="142" spans="2:11" outlineLevel="1">
      <c r="B142" s="78">
        <f t="shared" ref="B142:B205" si="49">EDATE(B141,1)</f>
        <v>47757</v>
      </c>
      <c r="C142" s="75">
        <v>-118591.82643675804</v>
      </c>
      <c r="D142" s="71">
        <f>IF(F142&lt;&gt;0,VLOOKUP($J142,'Table 1'!$B$13:$C$33,2,FALSE)/12*1000*Study_MW,0)</f>
        <v>213492.51625584275</v>
      </c>
      <c r="E142" s="71">
        <f t="shared" ref="E142:E192" si="50">C142+D142</f>
        <v>94900.689819084713</v>
      </c>
      <c r="F142" s="75">
        <v>17471.488602180001</v>
      </c>
      <c r="G142" s="76">
        <f t="shared" ref="G142:G192" si="51">IF(ISNUMBER($F142),E142/$F142,"")</f>
        <v>5.431746085290265</v>
      </c>
      <c r="I142" s="77">
        <f t="shared" si="48"/>
        <v>10</v>
      </c>
      <c r="J142" s="73">
        <f t="shared" ref="J142:J192" si="52">YEAR(B142)</f>
        <v>2030</v>
      </c>
      <c r="K142" s="78">
        <f t="shared" si="45"/>
        <v>47757</v>
      </c>
    </row>
    <row r="143" spans="2:11" outlineLevel="1">
      <c r="B143" s="78">
        <f t="shared" si="49"/>
        <v>47788</v>
      </c>
      <c r="C143" s="75">
        <v>188332.63148912787</v>
      </c>
      <c r="D143" s="71">
        <f>IF(F143&lt;&gt;0,VLOOKUP($J143,'Table 1'!$B$13:$C$33,2,FALSE)/12*1000*Study_MW,0)</f>
        <v>213492.51625584275</v>
      </c>
      <c r="E143" s="71">
        <f t="shared" si="50"/>
        <v>401825.14774497063</v>
      </c>
      <c r="F143" s="75">
        <v>12347.886569099999</v>
      </c>
      <c r="G143" s="76">
        <f t="shared" si="51"/>
        <v>32.542018060849294</v>
      </c>
      <c r="I143" s="77">
        <f t="shared" si="48"/>
        <v>11</v>
      </c>
      <c r="J143" s="73">
        <f t="shared" si="52"/>
        <v>2030</v>
      </c>
      <c r="K143" s="78">
        <f t="shared" si="45"/>
        <v>47788</v>
      </c>
    </row>
    <row r="144" spans="2:11" outlineLevel="1">
      <c r="B144" s="82">
        <f t="shared" si="49"/>
        <v>47818</v>
      </c>
      <c r="C144" s="79">
        <v>78088.449938774109</v>
      </c>
      <c r="D144" s="80">
        <f>IF(F144&lt;&gt;0,VLOOKUP($J144,'Table 1'!$B$13:$C$33,2,FALSE)/12*1000*Study_MW,0)</f>
        <v>213492.51625584275</v>
      </c>
      <c r="E144" s="80">
        <f t="shared" si="50"/>
        <v>291580.96619461686</v>
      </c>
      <c r="F144" s="79">
        <v>8825.3378805550001</v>
      </c>
      <c r="G144" s="81">
        <f t="shared" si="51"/>
        <v>33.03907115409843</v>
      </c>
      <c r="I144" s="64">
        <f t="shared" si="48"/>
        <v>12</v>
      </c>
      <c r="J144" s="73">
        <f t="shared" si="52"/>
        <v>2030</v>
      </c>
      <c r="K144" s="82">
        <f t="shared" si="45"/>
        <v>47818</v>
      </c>
    </row>
    <row r="145" spans="2:11" outlineLevel="1">
      <c r="B145" s="74">
        <f t="shared" si="49"/>
        <v>47849</v>
      </c>
      <c r="C145" s="69">
        <v>178060.68892815709</v>
      </c>
      <c r="D145" s="70">
        <f>IF(F145&lt;&gt;0,VLOOKUP($J145,'Table 1'!$B$13:$C$33,2,FALSE)/12*1000*Study_MW,0)</f>
        <v>218168.58738572276</v>
      </c>
      <c r="E145" s="70">
        <f t="shared" si="50"/>
        <v>396229.27631387988</v>
      </c>
      <c r="F145" s="69">
        <v>11785.962483630001</v>
      </c>
      <c r="G145" s="72">
        <f t="shared" si="51"/>
        <v>33.618745763378996</v>
      </c>
      <c r="I145" s="60">
        <f>I25</f>
        <v>14</v>
      </c>
      <c r="J145" s="73">
        <f t="shared" si="52"/>
        <v>2031</v>
      </c>
      <c r="K145" s="74">
        <f t="shared" si="45"/>
        <v>47849</v>
      </c>
    </row>
    <row r="146" spans="2:11" outlineLevel="1">
      <c r="B146" s="78">
        <f t="shared" si="49"/>
        <v>47880</v>
      </c>
      <c r="C146" s="75">
        <v>72614.604249835014</v>
      </c>
      <c r="D146" s="71">
        <f>IF(F146&lt;&gt;0,VLOOKUP($J146,'Table 1'!$B$13:$C$33,2,FALSE)/12*1000*Study_MW,0)</f>
        <v>218168.58738572276</v>
      </c>
      <c r="E146" s="71">
        <f t="shared" si="50"/>
        <v>290783.1916355578</v>
      </c>
      <c r="F146" s="75">
        <v>11495.551493499999</v>
      </c>
      <c r="G146" s="76">
        <f t="shared" si="51"/>
        <v>25.295279813237073</v>
      </c>
      <c r="I146" s="77">
        <f t="shared" si="48"/>
        <v>15</v>
      </c>
      <c r="J146" s="73">
        <f t="shared" si="52"/>
        <v>2031</v>
      </c>
      <c r="K146" s="78">
        <f t="shared" si="45"/>
        <v>47880</v>
      </c>
    </row>
    <row r="147" spans="2:11" outlineLevel="1">
      <c r="B147" s="78">
        <f t="shared" si="49"/>
        <v>47908</v>
      </c>
      <c r="C147" s="75">
        <v>208514.36158722639</v>
      </c>
      <c r="D147" s="71">
        <f>IF(F147&lt;&gt;0,VLOOKUP($J147,'Table 1'!$B$13:$C$33,2,FALSE)/12*1000*Study_MW,0)</f>
        <v>218168.58738572276</v>
      </c>
      <c r="E147" s="71">
        <f t="shared" si="50"/>
        <v>426682.94897294918</v>
      </c>
      <c r="F147" s="75">
        <v>16025.75138512</v>
      </c>
      <c r="G147" s="76">
        <f t="shared" si="51"/>
        <v>26.624832665825995</v>
      </c>
      <c r="I147" s="77">
        <f t="shared" si="48"/>
        <v>16</v>
      </c>
      <c r="J147" s="73">
        <f t="shared" si="52"/>
        <v>2031</v>
      </c>
      <c r="K147" s="78">
        <f t="shared" si="45"/>
        <v>47908</v>
      </c>
    </row>
    <row r="148" spans="2:11" outlineLevel="1">
      <c r="B148" s="78">
        <f t="shared" si="49"/>
        <v>47939</v>
      </c>
      <c r="C148" s="75">
        <v>28814.872947767377</v>
      </c>
      <c r="D148" s="71">
        <f>IF(F148&lt;&gt;0,VLOOKUP($J148,'Table 1'!$B$13:$C$33,2,FALSE)/12*1000*Study_MW,0)</f>
        <v>218168.58738572276</v>
      </c>
      <c r="E148" s="71">
        <f t="shared" si="50"/>
        <v>246983.46033349013</v>
      </c>
      <c r="F148" s="75">
        <v>18996.585315275999</v>
      </c>
      <c r="G148" s="76">
        <f t="shared" si="51"/>
        <v>13.001466117959618</v>
      </c>
      <c r="I148" s="77">
        <f t="shared" si="48"/>
        <v>17</v>
      </c>
      <c r="J148" s="73">
        <f t="shared" si="52"/>
        <v>2031</v>
      </c>
      <c r="K148" s="78">
        <f t="shared" si="45"/>
        <v>47939</v>
      </c>
    </row>
    <row r="149" spans="2:11" outlineLevel="1">
      <c r="B149" s="78">
        <f t="shared" si="49"/>
        <v>47969</v>
      </c>
      <c r="C149" s="75">
        <v>-21580.777279436588</v>
      </c>
      <c r="D149" s="71">
        <f>IF(F149&lt;&gt;0,VLOOKUP($J149,'Table 1'!$B$13:$C$33,2,FALSE)/12*1000*Study_MW,0)</f>
        <v>218168.58738572276</v>
      </c>
      <c r="E149" s="71">
        <f t="shared" si="50"/>
        <v>196587.81010628617</v>
      </c>
      <c r="F149" s="75">
        <v>25996.317478919998</v>
      </c>
      <c r="G149" s="76">
        <f t="shared" si="51"/>
        <v>7.5621406864913121</v>
      </c>
      <c r="I149" s="77">
        <f t="shared" si="48"/>
        <v>18</v>
      </c>
      <c r="J149" s="73">
        <f t="shared" si="52"/>
        <v>2031</v>
      </c>
      <c r="K149" s="78">
        <f t="shared" si="45"/>
        <v>47969</v>
      </c>
    </row>
    <row r="150" spans="2:11" outlineLevel="1">
      <c r="B150" s="78">
        <f t="shared" si="49"/>
        <v>48000</v>
      </c>
      <c r="C150" s="75">
        <v>-222968.55277653039</v>
      </c>
      <c r="D150" s="71">
        <f>IF(F150&lt;&gt;0,VLOOKUP($J150,'Table 1'!$B$13:$C$33,2,FALSE)/12*1000*Study_MW,0)</f>
        <v>218168.58738572276</v>
      </c>
      <c r="E150" s="71">
        <f t="shared" si="50"/>
        <v>-4799.9653908076289</v>
      </c>
      <c r="F150" s="75">
        <v>23817.277277186</v>
      </c>
      <c r="G150" s="76">
        <f t="shared" si="51"/>
        <v>-0.20153291809746032</v>
      </c>
      <c r="I150" s="77">
        <f t="shared" si="48"/>
        <v>19</v>
      </c>
      <c r="J150" s="73">
        <f t="shared" si="52"/>
        <v>2031</v>
      </c>
      <c r="K150" s="78">
        <f t="shared" si="45"/>
        <v>48000</v>
      </c>
    </row>
    <row r="151" spans="2:11" outlineLevel="1">
      <c r="B151" s="78">
        <f t="shared" si="49"/>
        <v>48030</v>
      </c>
      <c r="C151" s="75">
        <v>254356.61784765124</v>
      </c>
      <c r="D151" s="71">
        <f>IF(F151&lt;&gt;0,VLOOKUP($J151,'Table 1'!$B$13:$C$33,2,FALSE)/12*1000*Study_MW,0)</f>
        <v>218168.58738572276</v>
      </c>
      <c r="E151" s="71">
        <f t="shared" si="50"/>
        <v>472525.20523337403</v>
      </c>
      <c r="F151" s="75">
        <v>24294.069832144</v>
      </c>
      <c r="G151" s="76">
        <f t="shared" si="51"/>
        <v>19.450228327250706</v>
      </c>
      <c r="I151" s="77">
        <f t="shared" si="48"/>
        <v>20</v>
      </c>
      <c r="J151" s="73">
        <f t="shared" si="52"/>
        <v>2031</v>
      </c>
      <c r="K151" s="78">
        <f t="shared" si="45"/>
        <v>48030</v>
      </c>
    </row>
    <row r="152" spans="2:11" outlineLevel="1">
      <c r="B152" s="78">
        <f t="shared" si="49"/>
        <v>48061</v>
      </c>
      <c r="C152" s="75">
        <v>207064.09414201975</v>
      </c>
      <c r="D152" s="71">
        <f>IF(F152&lt;&gt;0,VLOOKUP($J152,'Table 1'!$B$13:$C$33,2,FALSE)/12*1000*Study_MW,0)</f>
        <v>218168.58738572276</v>
      </c>
      <c r="E152" s="71">
        <f t="shared" si="50"/>
        <v>425232.68152774253</v>
      </c>
      <c r="F152" s="75">
        <v>21805.248110162</v>
      </c>
      <c r="G152" s="76">
        <f t="shared" si="51"/>
        <v>19.501391563142516</v>
      </c>
      <c r="I152" s="77">
        <f t="shared" si="48"/>
        <v>21</v>
      </c>
      <c r="J152" s="73">
        <f t="shared" si="52"/>
        <v>2031</v>
      </c>
      <c r="K152" s="78">
        <f t="shared" si="45"/>
        <v>48061</v>
      </c>
    </row>
    <row r="153" spans="2:11" outlineLevel="1">
      <c r="B153" s="78">
        <f t="shared" si="49"/>
        <v>48092</v>
      </c>
      <c r="C153" s="75">
        <v>-140901.10580822825</v>
      </c>
      <c r="D153" s="71">
        <f>IF(F153&lt;&gt;0,VLOOKUP($J153,'Table 1'!$B$13:$C$33,2,FALSE)/12*1000*Study_MW,0)</f>
        <v>218168.58738572276</v>
      </c>
      <c r="E153" s="71">
        <f t="shared" si="50"/>
        <v>77267.481577494502</v>
      </c>
      <c r="F153" s="75">
        <v>20805.774153999999</v>
      </c>
      <c r="G153" s="76">
        <f t="shared" si="51"/>
        <v>3.7137518174318691</v>
      </c>
      <c r="I153" s="77">
        <f t="shared" si="48"/>
        <v>22</v>
      </c>
      <c r="J153" s="73">
        <f t="shared" si="52"/>
        <v>2031</v>
      </c>
      <c r="K153" s="78">
        <f t="shared" si="45"/>
        <v>48092</v>
      </c>
    </row>
    <row r="154" spans="2:11" outlineLevel="1">
      <c r="B154" s="78">
        <f t="shared" si="49"/>
        <v>48122</v>
      </c>
      <c r="C154" s="75">
        <v>126313.71223442256</v>
      </c>
      <c r="D154" s="71">
        <f>IF(F154&lt;&gt;0,VLOOKUP($J154,'Table 1'!$B$13:$C$33,2,FALSE)/12*1000*Study_MW,0)</f>
        <v>218168.58738572276</v>
      </c>
      <c r="E154" s="71">
        <f t="shared" si="50"/>
        <v>344482.29962014535</v>
      </c>
      <c r="F154" s="75">
        <v>17384.131228874001</v>
      </c>
      <c r="G154" s="76">
        <f t="shared" si="51"/>
        <v>19.815905384330101</v>
      </c>
      <c r="I154" s="77">
        <f t="shared" si="48"/>
        <v>23</v>
      </c>
      <c r="J154" s="73">
        <f t="shared" si="52"/>
        <v>2031</v>
      </c>
      <c r="K154" s="78">
        <f t="shared" ref="K154:K192" si="53">IF(ISNUMBER(F154),IF(F154&lt;&gt;0,B154,""),"")</f>
        <v>48122</v>
      </c>
    </row>
    <row r="155" spans="2:11" outlineLevel="1">
      <c r="B155" s="78">
        <f t="shared" si="49"/>
        <v>48153</v>
      </c>
      <c r="C155" s="75">
        <v>66862.212064340711</v>
      </c>
      <c r="D155" s="71">
        <f>IF(F155&lt;&gt;0,VLOOKUP($J155,'Table 1'!$B$13:$C$33,2,FALSE)/12*1000*Study_MW,0)</f>
        <v>218168.58738572276</v>
      </c>
      <c r="E155" s="71">
        <f t="shared" si="50"/>
        <v>285030.7994500635</v>
      </c>
      <c r="F155" s="75">
        <v>12286.1471363</v>
      </c>
      <c r="G155" s="76">
        <f t="shared" si="51"/>
        <v>23.199363990027972</v>
      </c>
      <c r="I155" s="77">
        <f t="shared" si="48"/>
        <v>24</v>
      </c>
      <c r="J155" s="73">
        <f t="shared" si="52"/>
        <v>2031</v>
      </c>
      <c r="K155" s="78">
        <f t="shared" si="53"/>
        <v>48153</v>
      </c>
    </row>
    <row r="156" spans="2:11" outlineLevel="1">
      <c r="B156" s="82">
        <f t="shared" si="49"/>
        <v>48183</v>
      </c>
      <c r="C156" s="79">
        <v>25319.696669429541</v>
      </c>
      <c r="D156" s="80">
        <f>IF(F156&lt;&gt;0,VLOOKUP($J156,'Table 1'!$B$13:$C$33,2,FALSE)/12*1000*Study_MW,0)</f>
        <v>218168.58738572276</v>
      </c>
      <c r="E156" s="80">
        <f t="shared" si="50"/>
        <v>243488.2840551523</v>
      </c>
      <c r="F156" s="79">
        <v>8781.2111887800002</v>
      </c>
      <c r="G156" s="81">
        <f t="shared" si="51"/>
        <v>27.728325719607348</v>
      </c>
      <c r="I156" s="64">
        <f t="shared" si="48"/>
        <v>25</v>
      </c>
      <c r="J156" s="73">
        <f t="shared" si="52"/>
        <v>2031</v>
      </c>
      <c r="K156" s="82">
        <f t="shared" si="53"/>
        <v>48183</v>
      </c>
    </row>
    <row r="157" spans="2:11" outlineLevel="1">
      <c r="B157" s="74">
        <f t="shared" si="49"/>
        <v>48214</v>
      </c>
      <c r="C157" s="69">
        <v>224749.4931601733</v>
      </c>
      <c r="D157" s="70">
        <f>IF(F157&lt;&gt;0,VLOOKUP($J157,'Table 1'!$B$13:$C$33,2,FALSE)/12*1000*Study_MW,0)</f>
        <v>222865.25794789294</v>
      </c>
      <c r="E157" s="70">
        <f t="shared" si="50"/>
        <v>447614.75110806624</v>
      </c>
      <c r="F157" s="69">
        <v>11727.032699089999</v>
      </c>
      <c r="G157" s="72">
        <f t="shared" si="51"/>
        <v>38.169480941483215</v>
      </c>
      <c r="I157" s="60">
        <f>I37</f>
        <v>27</v>
      </c>
      <c r="J157" s="73">
        <f t="shared" si="52"/>
        <v>2032</v>
      </c>
      <c r="K157" s="74">
        <f t="shared" si="53"/>
        <v>48214</v>
      </c>
    </row>
    <row r="158" spans="2:11" outlineLevel="1">
      <c r="B158" s="78">
        <f t="shared" si="49"/>
        <v>48245</v>
      </c>
      <c r="C158" s="75">
        <v>38976.529775395989</v>
      </c>
      <c r="D158" s="71">
        <f>IF(F158&lt;&gt;0,VLOOKUP($J158,'Table 1'!$B$13:$C$33,2,FALSE)/12*1000*Study_MW,0)</f>
        <v>222865.25794789294</v>
      </c>
      <c r="E158" s="71">
        <f t="shared" si="50"/>
        <v>261841.78772328893</v>
      </c>
      <c r="F158" s="75">
        <v>12010.14306312</v>
      </c>
      <c r="G158" s="76">
        <f t="shared" si="51"/>
        <v>21.801720957624259</v>
      </c>
      <c r="I158" s="77">
        <f t="shared" si="48"/>
        <v>28</v>
      </c>
      <c r="J158" s="73">
        <f t="shared" si="52"/>
        <v>2032</v>
      </c>
      <c r="K158" s="78">
        <f t="shared" si="53"/>
        <v>48245</v>
      </c>
    </row>
    <row r="159" spans="2:11" outlineLevel="1">
      <c r="B159" s="78">
        <f t="shared" si="49"/>
        <v>48274</v>
      </c>
      <c r="C159" s="75">
        <v>135543.77978110313</v>
      </c>
      <c r="D159" s="71">
        <f>IF(F159&lt;&gt;0,VLOOKUP($J159,'Table 1'!$B$13:$C$33,2,FALSE)/12*1000*Study_MW,0)</f>
        <v>222865.25794789294</v>
      </c>
      <c r="E159" s="71">
        <f t="shared" si="50"/>
        <v>358409.03772899607</v>
      </c>
      <c r="F159" s="75">
        <v>15945.62267798</v>
      </c>
      <c r="G159" s="76">
        <f t="shared" si="51"/>
        <v>22.476954645611841</v>
      </c>
      <c r="I159" s="77">
        <f t="shared" si="48"/>
        <v>29</v>
      </c>
      <c r="J159" s="73">
        <f t="shared" si="52"/>
        <v>2032</v>
      </c>
      <c r="K159" s="78">
        <f t="shared" si="53"/>
        <v>48274</v>
      </c>
    </row>
    <row r="160" spans="2:11" outlineLevel="1">
      <c r="B160" s="78">
        <f t="shared" si="49"/>
        <v>48305</v>
      </c>
      <c r="C160" s="75">
        <v>-84536.435512959957</v>
      </c>
      <c r="D160" s="71">
        <f>IF(F160&lt;&gt;0,VLOOKUP($J160,'Table 1'!$B$13:$C$33,2,FALSE)/12*1000*Study_MW,0)</f>
        <v>222865.25794789294</v>
      </c>
      <c r="E160" s="71">
        <f t="shared" si="50"/>
        <v>138328.82243493298</v>
      </c>
      <c r="F160" s="75">
        <v>18901.60281773</v>
      </c>
      <c r="G160" s="76">
        <f t="shared" si="51"/>
        <v>7.3183646788503234</v>
      </c>
      <c r="I160" s="77">
        <f t="shared" si="48"/>
        <v>30</v>
      </c>
      <c r="J160" s="73">
        <f t="shared" si="52"/>
        <v>2032</v>
      </c>
      <c r="K160" s="78">
        <f t="shared" si="53"/>
        <v>48305</v>
      </c>
    </row>
    <row r="161" spans="2:11" outlineLevel="1">
      <c r="B161" s="78">
        <f t="shared" si="49"/>
        <v>48335</v>
      </c>
      <c r="C161" s="75">
        <v>56392.75913579762</v>
      </c>
      <c r="D161" s="71">
        <f>IF(F161&lt;&gt;0,VLOOKUP($J161,'Table 1'!$B$13:$C$33,2,FALSE)/12*1000*Study_MW,0)</f>
        <v>222865.25794789294</v>
      </c>
      <c r="E161" s="71">
        <f t="shared" si="50"/>
        <v>279258.01708369056</v>
      </c>
      <c r="F161" s="75">
        <v>25866.336293349999</v>
      </c>
      <c r="G161" s="76">
        <f t="shared" si="51"/>
        <v>10.796195252262503</v>
      </c>
      <c r="I161" s="77">
        <f t="shared" si="48"/>
        <v>31</v>
      </c>
      <c r="J161" s="73">
        <f t="shared" si="52"/>
        <v>2032</v>
      </c>
      <c r="K161" s="78">
        <f t="shared" si="53"/>
        <v>48335</v>
      </c>
    </row>
    <row r="162" spans="2:11" outlineLevel="1">
      <c r="B162" s="78">
        <f t="shared" si="49"/>
        <v>48366</v>
      </c>
      <c r="C162" s="75">
        <v>-423120.57489551604</v>
      </c>
      <c r="D162" s="71">
        <f>IF(F162&lt;&gt;0,VLOOKUP($J162,'Table 1'!$B$13:$C$33,2,FALSE)/12*1000*Study_MW,0)</f>
        <v>222865.25794789294</v>
      </c>
      <c r="E162" s="71">
        <f t="shared" si="50"/>
        <v>-200255.3169476231</v>
      </c>
      <c r="F162" s="75">
        <v>23698.190868217</v>
      </c>
      <c r="G162" s="76">
        <f t="shared" si="51"/>
        <v>-8.4502364784392459</v>
      </c>
      <c r="I162" s="77">
        <f t="shared" si="48"/>
        <v>32</v>
      </c>
      <c r="J162" s="73">
        <f t="shared" si="52"/>
        <v>2032</v>
      </c>
      <c r="K162" s="78">
        <f t="shared" si="53"/>
        <v>48366</v>
      </c>
    </row>
    <row r="163" spans="2:11" outlineLevel="1">
      <c r="B163" s="78">
        <f t="shared" si="49"/>
        <v>48396</v>
      </c>
      <c r="C163" s="75">
        <v>296539.42826780677</v>
      </c>
      <c r="D163" s="71">
        <f>IF(F163&lt;&gt;0,VLOOKUP($J163,'Table 1'!$B$13:$C$33,2,FALSE)/12*1000*Study_MW,0)</f>
        <v>222865.25794789294</v>
      </c>
      <c r="E163" s="71">
        <f t="shared" si="50"/>
        <v>519404.68621569971</v>
      </c>
      <c r="F163" s="75">
        <v>24172.599832250002</v>
      </c>
      <c r="G163" s="76">
        <f t="shared" si="51"/>
        <v>21.487332344067237</v>
      </c>
      <c r="I163" s="77">
        <f t="shared" si="48"/>
        <v>33</v>
      </c>
      <c r="J163" s="73">
        <f t="shared" si="52"/>
        <v>2032</v>
      </c>
      <c r="K163" s="78">
        <f t="shared" si="53"/>
        <v>48396</v>
      </c>
    </row>
    <row r="164" spans="2:11" outlineLevel="1">
      <c r="B164" s="78">
        <f t="shared" si="49"/>
        <v>48427</v>
      </c>
      <c r="C164" s="75">
        <v>179514.15691819787</v>
      </c>
      <c r="D164" s="71">
        <f>IF(F164&lt;&gt;0,VLOOKUP($J164,'Table 1'!$B$13:$C$33,2,FALSE)/12*1000*Study_MW,0)</f>
        <v>222865.25794789294</v>
      </c>
      <c r="E164" s="71">
        <f t="shared" si="50"/>
        <v>402379.41486609081</v>
      </c>
      <c r="F164" s="75">
        <v>21696.221903564001</v>
      </c>
      <c r="G164" s="76">
        <f t="shared" si="51"/>
        <v>18.546059155119199</v>
      </c>
      <c r="I164" s="77">
        <f t="shared" si="48"/>
        <v>34</v>
      </c>
      <c r="J164" s="73">
        <f t="shared" si="52"/>
        <v>2032</v>
      </c>
      <c r="K164" s="78">
        <f t="shared" si="53"/>
        <v>48427</v>
      </c>
    </row>
    <row r="165" spans="2:11" outlineLevel="1">
      <c r="B165" s="78">
        <f t="shared" si="49"/>
        <v>48458</v>
      </c>
      <c r="C165" s="75">
        <v>34910.360539823771</v>
      </c>
      <c r="D165" s="71">
        <f>IF(F165&lt;&gt;0,VLOOKUP($J165,'Table 1'!$B$13:$C$33,2,FALSE)/12*1000*Study_MW,0)</f>
        <v>222865.25794789294</v>
      </c>
      <c r="E165" s="71">
        <f t="shared" si="50"/>
        <v>257775.61848771671</v>
      </c>
      <c r="F165" s="75">
        <v>20701.745392460001</v>
      </c>
      <c r="G165" s="76">
        <f t="shared" si="51"/>
        <v>12.451878505935246</v>
      </c>
      <c r="I165" s="77">
        <f t="shared" si="48"/>
        <v>35</v>
      </c>
      <c r="J165" s="73">
        <f t="shared" si="52"/>
        <v>2032</v>
      </c>
      <c r="K165" s="78">
        <f t="shared" si="53"/>
        <v>48458</v>
      </c>
    </row>
    <row r="166" spans="2:11" outlineLevel="1">
      <c r="B166" s="78">
        <f t="shared" si="49"/>
        <v>48488</v>
      </c>
      <c r="C166" s="75">
        <v>-90187.026370227337</v>
      </c>
      <c r="D166" s="71">
        <f>IF(F166&lt;&gt;0,VLOOKUP($J166,'Table 1'!$B$13:$C$33,2,FALSE)/12*1000*Study_MW,0)</f>
        <v>222865.25794789294</v>
      </c>
      <c r="E166" s="71">
        <f t="shared" si="50"/>
        <v>132678.2315776656</v>
      </c>
      <c r="F166" s="75">
        <v>17297.210319259</v>
      </c>
      <c r="G166" s="76">
        <f t="shared" si="51"/>
        <v>7.6704988335569615</v>
      </c>
      <c r="I166" s="77">
        <f t="shared" si="48"/>
        <v>36</v>
      </c>
      <c r="J166" s="73">
        <f t="shared" si="52"/>
        <v>2032</v>
      </c>
      <c r="K166" s="78">
        <f t="shared" si="53"/>
        <v>48488</v>
      </c>
    </row>
    <row r="167" spans="2:11" outlineLevel="1">
      <c r="B167" s="78">
        <f t="shared" si="49"/>
        <v>48519</v>
      </c>
      <c r="C167" s="75">
        <v>100560.87058484554</v>
      </c>
      <c r="D167" s="71">
        <f>IF(F167&lt;&gt;0,VLOOKUP($J167,'Table 1'!$B$13:$C$33,2,FALSE)/12*1000*Study_MW,0)</f>
        <v>222865.25794789294</v>
      </c>
      <c r="E167" s="71">
        <f t="shared" si="50"/>
        <v>323426.12853273848</v>
      </c>
      <c r="F167" s="75">
        <v>12224.7163991</v>
      </c>
      <c r="G167" s="76">
        <f t="shared" si="51"/>
        <v>26.456738788357459</v>
      </c>
      <c r="I167" s="77">
        <f t="shared" si="48"/>
        <v>37</v>
      </c>
      <c r="J167" s="73">
        <f t="shared" si="52"/>
        <v>2032</v>
      </c>
      <c r="K167" s="78">
        <f t="shared" si="53"/>
        <v>48519</v>
      </c>
    </row>
    <row r="168" spans="2:11" outlineLevel="1">
      <c r="B168" s="82">
        <f t="shared" si="49"/>
        <v>48549</v>
      </c>
      <c r="C168" s="79">
        <v>97012.852047652006</v>
      </c>
      <c r="D168" s="80">
        <f>IF(F168&lt;&gt;0,VLOOKUP($J168,'Table 1'!$B$13:$C$33,2,FALSE)/12*1000*Study_MW,0)</f>
        <v>222865.25794789294</v>
      </c>
      <c r="E168" s="80">
        <f t="shared" si="50"/>
        <v>319878.10999554495</v>
      </c>
      <c r="F168" s="79">
        <v>8737.305132644</v>
      </c>
      <c r="G168" s="81">
        <f t="shared" si="51"/>
        <v>36.610614501767607</v>
      </c>
      <c r="I168" s="64">
        <f t="shared" si="48"/>
        <v>38</v>
      </c>
      <c r="J168" s="73">
        <f t="shared" si="52"/>
        <v>2032</v>
      </c>
      <c r="K168" s="82">
        <f t="shared" si="53"/>
        <v>48549</v>
      </c>
    </row>
    <row r="169" spans="2:11" outlineLevel="1">
      <c r="B169" s="74">
        <f t="shared" si="49"/>
        <v>48580</v>
      </c>
      <c r="C169" s="69">
        <v>131688.68772549927</v>
      </c>
      <c r="D169" s="70">
        <f>IF(F169&lt;&gt;0,VLOOKUP($J169,'Table 1'!$B$13:$C$33,2,FALSE)/12*1000*Study_MW,0)</f>
        <v>227644.32623922403</v>
      </c>
      <c r="E169" s="70">
        <f t="shared" si="50"/>
        <v>359333.01396472333</v>
      </c>
      <c r="F169" s="69">
        <v>11668.397536070001</v>
      </c>
      <c r="G169" s="72">
        <f t="shared" si="51"/>
        <v>30.79540381221441</v>
      </c>
      <c r="I169" s="60">
        <f>I49</f>
        <v>40</v>
      </c>
      <c r="J169" s="73">
        <f t="shared" si="52"/>
        <v>2033</v>
      </c>
      <c r="K169" s="74">
        <f t="shared" si="53"/>
        <v>48580</v>
      </c>
    </row>
    <row r="170" spans="2:11" outlineLevel="1">
      <c r="B170" s="78">
        <f t="shared" si="49"/>
        <v>48611</v>
      </c>
      <c r="C170" s="75">
        <v>85772.691100656986</v>
      </c>
      <c r="D170" s="71">
        <f>IF(F170&lt;&gt;0,VLOOKUP($J170,'Table 1'!$B$13:$C$33,2,FALSE)/12*1000*Study_MW,0)</f>
        <v>227644.32623922403</v>
      </c>
      <c r="E170" s="71">
        <f t="shared" si="50"/>
        <v>313417.01733988104</v>
      </c>
      <c r="F170" s="75">
        <v>11380.8833911</v>
      </c>
      <c r="G170" s="76">
        <f t="shared" si="51"/>
        <v>27.538900678393492</v>
      </c>
      <c r="I170" s="77">
        <f t="shared" si="48"/>
        <v>41</v>
      </c>
      <c r="J170" s="73">
        <f t="shared" si="52"/>
        <v>2033</v>
      </c>
      <c r="K170" s="78">
        <f t="shared" si="53"/>
        <v>48611</v>
      </c>
    </row>
    <row r="171" spans="2:11" outlineLevel="1">
      <c r="B171" s="78">
        <f t="shared" si="49"/>
        <v>48639</v>
      </c>
      <c r="C171" s="75">
        <v>113794.28770409524</v>
      </c>
      <c r="D171" s="71">
        <f>IF(F171&lt;&gt;0,VLOOKUP($J171,'Table 1'!$B$13:$C$33,2,FALSE)/12*1000*Study_MW,0)</f>
        <v>227644.32623922403</v>
      </c>
      <c r="E171" s="71">
        <f t="shared" si="50"/>
        <v>341438.6139433193</v>
      </c>
      <c r="F171" s="75">
        <v>15865.894582774999</v>
      </c>
      <c r="G171" s="76">
        <f t="shared" si="51"/>
        <v>21.520287567900915</v>
      </c>
      <c r="I171" s="77">
        <f t="shared" si="48"/>
        <v>42</v>
      </c>
      <c r="J171" s="73">
        <f t="shared" si="52"/>
        <v>2033</v>
      </c>
      <c r="K171" s="78">
        <f t="shared" si="53"/>
        <v>48639</v>
      </c>
    </row>
    <row r="172" spans="2:11" outlineLevel="1">
      <c r="B172" s="78">
        <f t="shared" si="49"/>
        <v>48670</v>
      </c>
      <c r="C172" s="75">
        <v>84263.286131381989</v>
      </c>
      <c r="D172" s="71">
        <f>IF(F172&lt;&gt;0,VLOOKUP($J172,'Table 1'!$B$13:$C$33,2,FALSE)/12*1000*Study_MW,0)</f>
        <v>227644.32623922403</v>
      </c>
      <c r="E172" s="71">
        <f t="shared" si="50"/>
        <v>311907.61237060605</v>
      </c>
      <c r="F172" s="75">
        <v>18807.094869730001</v>
      </c>
      <c r="G172" s="76">
        <f t="shared" si="51"/>
        <v>16.584571648682488</v>
      </c>
      <c r="I172" s="77">
        <f t="shared" si="48"/>
        <v>43</v>
      </c>
      <c r="J172" s="73">
        <f t="shared" si="52"/>
        <v>2033</v>
      </c>
      <c r="K172" s="78">
        <f t="shared" si="53"/>
        <v>48670</v>
      </c>
    </row>
    <row r="173" spans="2:11" outlineLevel="1">
      <c r="B173" s="78">
        <f t="shared" si="49"/>
        <v>48700</v>
      </c>
      <c r="C173" s="75">
        <v>85850.845977857709</v>
      </c>
      <c r="D173" s="71">
        <f>IF(F173&lt;&gt;0,VLOOKUP($J173,'Table 1'!$B$13:$C$33,2,FALSE)/12*1000*Study_MW,0)</f>
        <v>227644.32623922403</v>
      </c>
      <c r="E173" s="71">
        <f t="shared" si="50"/>
        <v>313495.17221708177</v>
      </c>
      <c r="F173" s="75">
        <v>25737.004681959999</v>
      </c>
      <c r="G173" s="76">
        <f t="shared" si="51"/>
        <v>12.180717068323879</v>
      </c>
      <c r="I173" s="77">
        <f t="shared" si="48"/>
        <v>44</v>
      </c>
      <c r="J173" s="73">
        <f t="shared" si="52"/>
        <v>2033</v>
      </c>
      <c r="K173" s="78">
        <f t="shared" si="53"/>
        <v>48700</v>
      </c>
    </row>
    <row r="174" spans="2:11" outlineLevel="1">
      <c r="B174" s="78">
        <f t="shared" si="49"/>
        <v>48731</v>
      </c>
      <c r="C174" s="75">
        <v>28189.738686814904</v>
      </c>
      <c r="D174" s="71">
        <f>IF(F174&lt;&gt;0,VLOOKUP($J174,'Table 1'!$B$13:$C$33,2,FALSE)/12*1000*Study_MW,0)</f>
        <v>227644.32623922403</v>
      </c>
      <c r="E174" s="71">
        <f t="shared" si="50"/>
        <v>255834.06492603893</v>
      </c>
      <c r="F174" s="75">
        <v>23579.699951993</v>
      </c>
      <c r="G174" s="76">
        <f t="shared" si="51"/>
        <v>10.84975913378471</v>
      </c>
      <c r="I174" s="77">
        <f t="shared" si="48"/>
        <v>45</v>
      </c>
      <c r="J174" s="73">
        <f t="shared" si="52"/>
        <v>2033</v>
      </c>
      <c r="K174" s="78">
        <f t="shared" si="53"/>
        <v>48731</v>
      </c>
    </row>
    <row r="175" spans="2:11" outlineLevel="1">
      <c r="B175" s="78">
        <f t="shared" si="49"/>
        <v>48761</v>
      </c>
      <c r="C175" s="75">
        <v>332136.80626526475</v>
      </c>
      <c r="D175" s="71">
        <f>IF(F175&lt;&gt;0,VLOOKUP($J175,'Table 1'!$B$13:$C$33,2,FALSE)/12*1000*Study_MW,0)</f>
        <v>227644.32623922403</v>
      </c>
      <c r="E175" s="71">
        <f t="shared" si="50"/>
        <v>559781.13250448881</v>
      </c>
      <c r="F175" s="75">
        <v>24051.736566759999</v>
      </c>
      <c r="G175" s="76">
        <f t="shared" si="51"/>
        <v>23.274042227708332</v>
      </c>
      <c r="I175" s="77">
        <f t="shared" si="48"/>
        <v>46</v>
      </c>
      <c r="J175" s="73">
        <f t="shared" si="52"/>
        <v>2033</v>
      </c>
      <c r="K175" s="78">
        <f t="shared" si="53"/>
        <v>48761</v>
      </c>
    </row>
    <row r="176" spans="2:11" outlineLevel="1">
      <c r="B176" s="78">
        <f t="shared" si="49"/>
        <v>48792</v>
      </c>
      <c r="C176" s="75">
        <v>269576.80891263485</v>
      </c>
      <c r="D176" s="71">
        <f>IF(F176&lt;&gt;0,VLOOKUP($J176,'Table 1'!$B$13:$C$33,2,FALSE)/12*1000*Study_MW,0)</f>
        <v>227644.32623922403</v>
      </c>
      <c r="E176" s="71">
        <f t="shared" si="50"/>
        <v>497221.13515185891</v>
      </c>
      <c r="F176" s="75">
        <v>21587.740711859002</v>
      </c>
      <c r="G176" s="76">
        <f t="shared" si="51"/>
        <v>23.032569354453827</v>
      </c>
      <c r="I176" s="77">
        <f t="shared" si="48"/>
        <v>47</v>
      </c>
      <c r="J176" s="73">
        <f t="shared" si="52"/>
        <v>2033</v>
      </c>
      <c r="K176" s="78">
        <f t="shared" si="53"/>
        <v>48792</v>
      </c>
    </row>
    <row r="177" spans="2:11" outlineLevel="1">
      <c r="B177" s="78">
        <f t="shared" si="49"/>
        <v>48823</v>
      </c>
      <c r="C177" s="75">
        <v>76518.772126719356</v>
      </c>
      <c r="D177" s="71">
        <f>IF(F177&lt;&gt;0,VLOOKUP($J177,'Table 1'!$B$13:$C$33,2,FALSE)/12*1000*Study_MW,0)</f>
        <v>227644.32623922403</v>
      </c>
      <c r="E177" s="71">
        <f t="shared" si="50"/>
        <v>304163.09836594341</v>
      </c>
      <c r="F177" s="75">
        <v>20598.23662344</v>
      </c>
      <c r="G177" s="76">
        <f t="shared" si="51"/>
        <v>14.766462970903904</v>
      </c>
      <c r="I177" s="77">
        <f t="shared" si="48"/>
        <v>48</v>
      </c>
      <c r="J177" s="73">
        <f t="shared" si="52"/>
        <v>2033</v>
      </c>
      <c r="K177" s="78">
        <f t="shared" si="53"/>
        <v>48823</v>
      </c>
    </row>
    <row r="178" spans="2:11" outlineLevel="1">
      <c r="B178" s="78">
        <f t="shared" si="49"/>
        <v>48853</v>
      </c>
      <c r="C178" s="75">
        <v>172670.74639472365</v>
      </c>
      <c r="D178" s="71">
        <f>IF(F178&lt;&gt;0,VLOOKUP($J178,'Table 1'!$B$13:$C$33,2,FALSE)/12*1000*Study_MW,0)</f>
        <v>227644.32623922403</v>
      </c>
      <c r="E178" s="71">
        <f t="shared" si="50"/>
        <v>400315.07263394771</v>
      </c>
      <c r="F178" s="75">
        <v>17210.724422724001</v>
      </c>
      <c r="G178" s="76">
        <f t="shared" si="51"/>
        <v>23.259629449728209</v>
      </c>
      <c r="I178" s="77">
        <f t="shared" si="48"/>
        <v>49</v>
      </c>
      <c r="J178" s="73">
        <f t="shared" si="52"/>
        <v>2033</v>
      </c>
      <c r="K178" s="78">
        <f t="shared" si="53"/>
        <v>48853</v>
      </c>
    </row>
    <row r="179" spans="2:11" outlineLevel="1">
      <c r="B179" s="78">
        <f t="shared" si="49"/>
        <v>48884</v>
      </c>
      <c r="C179" s="75">
        <v>80793.301418930292</v>
      </c>
      <c r="D179" s="71">
        <f>IF(F179&lt;&gt;0,VLOOKUP($J179,'Table 1'!$B$13:$C$33,2,FALSE)/12*1000*Study_MW,0)</f>
        <v>227644.32623922403</v>
      </c>
      <c r="E179" s="71">
        <f t="shared" si="50"/>
        <v>308437.62765815435</v>
      </c>
      <c r="F179" s="75">
        <v>12163.5928133</v>
      </c>
      <c r="G179" s="76">
        <f t="shared" si="51"/>
        <v>25.357444333462094</v>
      </c>
      <c r="I179" s="77">
        <f t="shared" si="48"/>
        <v>50</v>
      </c>
      <c r="J179" s="73">
        <f t="shared" si="52"/>
        <v>2033</v>
      </c>
      <c r="K179" s="78">
        <f t="shared" si="53"/>
        <v>48884</v>
      </c>
    </row>
    <row r="180" spans="2:11" outlineLevel="1">
      <c r="B180" s="82">
        <f t="shared" si="49"/>
        <v>48914</v>
      </c>
      <c r="C180" s="79">
        <v>194100.54385265708</v>
      </c>
      <c r="D180" s="80">
        <f>IF(F180&lt;&gt;0,VLOOKUP($J180,'Table 1'!$B$13:$C$33,2,FALSE)/12*1000*Study_MW,0)</f>
        <v>227644.32623922403</v>
      </c>
      <c r="E180" s="80">
        <f t="shared" si="50"/>
        <v>421744.87009188114</v>
      </c>
      <c r="F180" s="79">
        <v>8693.6185976699999</v>
      </c>
      <c r="G180" s="81">
        <f t="shared" si="51"/>
        <v>48.512005139599076</v>
      </c>
      <c r="I180" s="64">
        <f t="shared" si="48"/>
        <v>51</v>
      </c>
      <c r="J180" s="73">
        <f t="shared" si="52"/>
        <v>2033</v>
      </c>
      <c r="K180" s="82">
        <f t="shared" si="53"/>
        <v>48914</v>
      </c>
    </row>
    <row r="181" spans="2:11" outlineLevel="1" collapsed="1">
      <c r="B181" s="74">
        <f t="shared" si="49"/>
        <v>48945</v>
      </c>
      <c r="C181" s="69">
        <v>112037.17315360904</v>
      </c>
      <c r="D181" s="70">
        <f>IF(F181&lt;&gt;0,VLOOKUP($J181,'Table 1'!$B$13:$C$33,2,FALSE)/12*1000*Study_MW,0)</f>
        <v>232423.39453055512</v>
      </c>
      <c r="E181" s="70">
        <f t="shared" si="50"/>
        <v>344460.56768416415</v>
      </c>
      <c r="F181" s="69">
        <v>11610.055542829999</v>
      </c>
      <c r="G181" s="72">
        <f t="shared" si="51"/>
        <v>29.669157603375293</v>
      </c>
      <c r="I181" s="60">
        <f>I61</f>
        <v>53</v>
      </c>
      <c r="J181" s="73">
        <f t="shared" si="52"/>
        <v>2034</v>
      </c>
      <c r="K181" s="74">
        <f t="shared" si="53"/>
        <v>48945</v>
      </c>
    </row>
    <row r="182" spans="2:11" outlineLevel="1">
      <c r="B182" s="78">
        <f t="shared" si="49"/>
        <v>48976</v>
      </c>
      <c r="C182" s="75">
        <v>17522.962955892086</v>
      </c>
      <c r="D182" s="71">
        <f>IF(F182&lt;&gt;0,VLOOKUP($J182,'Table 1'!$B$13:$C$33,2,FALSE)/12*1000*Study_MW,0)</f>
        <v>232423.39453055512</v>
      </c>
      <c r="E182" s="71">
        <f t="shared" si="50"/>
        <v>249946.3574864472</v>
      </c>
      <c r="F182" s="75">
        <v>11323.978923119999</v>
      </c>
      <c r="G182" s="76">
        <f t="shared" si="51"/>
        <v>22.072308610194906</v>
      </c>
      <c r="I182" s="77">
        <f t="shared" si="48"/>
        <v>54</v>
      </c>
      <c r="J182" s="73">
        <f t="shared" si="52"/>
        <v>2034</v>
      </c>
      <c r="K182" s="78">
        <f t="shared" si="53"/>
        <v>48976</v>
      </c>
    </row>
    <row r="183" spans="2:11" outlineLevel="1">
      <c r="B183" s="78">
        <f t="shared" si="49"/>
        <v>49004</v>
      </c>
      <c r="C183" s="75">
        <v>133248.25461429358</v>
      </c>
      <c r="D183" s="71">
        <f>IF(F183&lt;&gt;0,VLOOKUP($J183,'Table 1'!$B$13:$C$33,2,FALSE)/12*1000*Study_MW,0)</f>
        <v>232423.39453055512</v>
      </c>
      <c r="E183" s="71">
        <f t="shared" si="50"/>
        <v>365671.64914484869</v>
      </c>
      <c r="F183" s="75">
        <v>15786.565177009999</v>
      </c>
      <c r="G183" s="76">
        <f t="shared" si="51"/>
        <v>23.163471283631534</v>
      </c>
      <c r="I183" s="77">
        <f t="shared" si="48"/>
        <v>55</v>
      </c>
      <c r="J183" s="73">
        <f t="shared" si="52"/>
        <v>2034</v>
      </c>
      <c r="K183" s="78">
        <f t="shared" si="53"/>
        <v>49004</v>
      </c>
    </row>
    <row r="184" spans="2:11" outlineLevel="1">
      <c r="B184" s="78">
        <f t="shared" si="49"/>
        <v>49035</v>
      </c>
      <c r="C184" s="75">
        <v>94351.349352493882</v>
      </c>
      <c r="D184" s="71">
        <f>IF(F184&lt;&gt;0,VLOOKUP($J184,'Table 1'!$B$13:$C$33,2,FALSE)/12*1000*Study_MW,0)</f>
        <v>232423.39453055512</v>
      </c>
      <c r="E184" s="71">
        <f t="shared" si="50"/>
        <v>326774.743883049</v>
      </c>
      <c r="F184" s="75">
        <v>18713.059043503999</v>
      </c>
      <c r="G184" s="76">
        <f t="shared" si="51"/>
        <v>17.46239046878253</v>
      </c>
      <c r="I184" s="77">
        <f t="shared" si="48"/>
        <v>56</v>
      </c>
      <c r="J184" s="73">
        <f t="shared" si="52"/>
        <v>2034</v>
      </c>
      <c r="K184" s="78">
        <f t="shared" si="53"/>
        <v>49035</v>
      </c>
    </row>
    <row r="185" spans="2:11" outlineLevel="1">
      <c r="B185" s="78">
        <f t="shared" si="49"/>
        <v>49065</v>
      </c>
      <c r="C185" s="75">
        <v>109647.22399690747</v>
      </c>
      <c r="D185" s="71">
        <f>IF(F185&lt;&gt;0,VLOOKUP($J185,'Table 1'!$B$13:$C$33,2,FALSE)/12*1000*Study_MW,0)</f>
        <v>232423.39453055512</v>
      </c>
      <c r="E185" s="71">
        <f t="shared" si="50"/>
        <v>342070.61852746259</v>
      </c>
      <c r="F185" s="75">
        <v>25608.31878577</v>
      </c>
      <c r="G185" s="76">
        <f t="shared" si="51"/>
        <v>13.357792887112293</v>
      </c>
      <c r="I185" s="77">
        <f t="shared" si="48"/>
        <v>57</v>
      </c>
      <c r="J185" s="73">
        <f t="shared" si="52"/>
        <v>2034</v>
      </c>
      <c r="K185" s="78">
        <f t="shared" si="53"/>
        <v>49065</v>
      </c>
    </row>
    <row r="186" spans="2:11" outlineLevel="1">
      <c r="B186" s="78">
        <f t="shared" si="49"/>
        <v>49096</v>
      </c>
      <c r="C186" s="75">
        <v>25844.510384052992</v>
      </c>
      <c r="D186" s="71">
        <f>IF(F186&lt;&gt;0,VLOOKUP($J186,'Table 1'!$B$13:$C$33,2,FALSE)/12*1000*Study_MW,0)</f>
        <v>232423.39453055512</v>
      </c>
      <c r="E186" s="71">
        <f t="shared" si="50"/>
        <v>258267.90491460811</v>
      </c>
      <c r="F186" s="75">
        <v>23461.801485012998</v>
      </c>
      <c r="G186" s="76">
        <f t="shared" si="51"/>
        <v>11.008016800397245</v>
      </c>
      <c r="I186" s="77">
        <f t="shared" si="48"/>
        <v>58</v>
      </c>
      <c r="J186" s="73">
        <f t="shared" si="52"/>
        <v>2034</v>
      </c>
      <c r="K186" s="78">
        <f t="shared" si="53"/>
        <v>49096</v>
      </c>
    </row>
    <row r="187" spans="2:11" outlineLevel="1">
      <c r="B187" s="78">
        <f t="shared" si="49"/>
        <v>49126</v>
      </c>
      <c r="C187" s="75">
        <v>341319.38773402572</v>
      </c>
      <c r="D187" s="71">
        <f>IF(F187&lt;&gt;0,VLOOKUP($J187,'Table 1'!$B$13:$C$33,2,FALSE)/12*1000*Study_MW,0)</f>
        <v>232423.39453055512</v>
      </c>
      <c r="E187" s="71">
        <f t="shared" si="50"/>
        <v>573742.78226458083</v>
      </c>
      <c r="F187" s="75">
        <v>23931.47732115</v>
      </c>
      <c r="G187" s="76">
        <f t="shared" si="51"/>
        <v>23.974398845721169</v>
      </c>
      <c r="I187" s="77">
        <f t="shared" si="48"/>
        <v>59</v>
      </c>
      <c r="J187" s="73">
        <f t="shared" si="52"/>
        <v>2034</v>
      </c>
      <c r="K187" s="78">
        <f t="shared" si="53"/>
        <v>49126</v>
      </c>
    </row>
    <row r="188" spans="2:11" outlineLevel="1">
      <c r="B188" s="78">
        <f t="shared" si="49"/>
        <v>49157</v>
      </c>
      <c r="C188" s="75">
        <v>261084.16303253174</v>
      </c>
      <c r="D188" s="71">
        <f>IF(F188&lt;&gt;0,VLOOKUP($J188,'Table 1'!$B$13:$C$33,2,FALSE)/12*1000*Study_MW,0)</f>
        <v>232423.39453055512</v>
      </c>
      <c r="E188" s="71">
        <f t="shared" si="50"/>
        <v>493507.55756308686</v>
      </c>
      <c r="F188" s="75">
        <v>21479.802173897999</v>
      </c>
      <c r="G188" s="76">
        <f t="shared" si="51"/>
        <v>22.975423775680365</v>
      </c>
      <c r="I188" s="77">
        <f t="shared" si="48"/>
        <v>60</v>
      </c>
      <c r="J188" s="73">
        <f t="shared" si="52"/>
        <v>2034</v>
      </c>
      <c r="K188" s="78">
        <f t="shared" si="53"/>
        <v>49157</v>
      </c>
    </row>
    <row r="189" spans="2:11" outlineLevel="1">
      <c r="B189" s="78">
        <f t="shared" si="49"/>
        <v>49188</v>
      </c>
      <c r="C189" s="75">
        <v>-14180.352727159858</v>
      </c>
      <c r="D189" s="71">
        <f>IF(F189&lt;&gt;0,VLOOKUP($J189,'Table 1'!$B$13:$C$33,2,FALSE)/12*1000*Study_MW,0)</f>
        <v>232423.39453055512</v>
      </c>
      <c r="E189" s="71">
        <f t="shared" si="50"/>
        <v>218243.04180339526</v>
      </c>
      <c r="F189" s="75">
        <v>20495.245351279998</v>
      </c>
      <c r="G189" s="76">
        <f t="shared" si="51"/>
        <v>10.648471782737904</v>
      </c>
      <c r="I189" s="77">
        <f t="shared" si="48"/>
        <v>61</v>
      </c>
      <c r="J189" s="73">
        <f t="shared" si="52"/>
        <v>2034</v>
      </c>
      <c r="K189" s="78">
        <f t="shared" si="53"/>
        <v>49188</v>
      </c>
    </row>
    <row r="190" spans="2:11" outlineLevel="1">
      <c r="B190" s="78">
        <f t="shared" si="49"/>
        <v>49218</v>
      </c>
      <c r="C190" s="75">
        <v>154507.13997156918</v>
      </c>
      <c r="D190" s="71">
        <f>IF(F190&lt;&gt;0,VLOOKUP($J190,'Table 1'!$B$13:$C$33,2,FALSE)/12*1000*Study_MW,0)</f>
        <v>232423.39453055512</v>
      </c>
      <c r="E190" s="71">
        <f t="shared" si="50"/>
        <v>386930.5345021243</v>
      </c>
      <c r="F190" s="75">
        <v>17124.671238112001</v>
      </c>
      <c r="G190" s="76">
        <f t="shared" si="51"/>
        <v>22.594917538678743</v>
      </c>
      <c r="I190" s="77">
        <f t="shared" si="48"/>
        <v>62</v>
      </c>
      <c r="J190" s="73">
        <f t="shared" si="52"/>
        <v>2034</v>
      </c>
      <c r="K190" s="78">
        <f t="shared" si="53"/>
        <v>49218</v>
      </c>
    </row>
    <row r="191" spans="2:11" outlineLevel="1">
      <c r="B191" s="78">
        <f t="shared" si="49"/>
        <v>49249</v>
      </c>
      <c r="C191" s="75">
        <v>110821.22561582923</v>
      </c>
      <c r="D191" s="71">
        <f>IF(F191&lt;&gt;0,VLOOKUP($J191,'Table 1'!$B$13:$C$33,2,FALSE)/12*1000*Study_MW,0)</f>
        <v>232423.39453055512</v>
      </c>
      <c r="E191" s="71">
        <f t="shared" si="50"/>
        <v>343244.62014638435</v>
      </c>
      <c r="F191" s="75">
        <v>12102.774846099999</v>
      </c>
      <c r="G191" s="76">
        <f t="shared" si="51"/>
        <v>28.360820102093495</v>
      </c>
      <c r="I191" s="77">
        <f t="shared" si="48"/>
        <v>63</v>
      </c>
      <c r="J191" s="73">
        <f t="shared" si="52"/>
        <v>2034</v>
      </c>
      <c r="K191" s="78">
        <f t="shared" si="53"/>
        <v>49249</v>
      </c>
    </row>
    <row r="192" spans="2:11" outlineLevel="1">
      <c r="B192" s="82">
        <f t="shared" si="49"/>
        <v>49279</v>
      </c>
      <c r="C192" s="79">
        <v>118381.95143219829</v>
      </c>
      <c r="D192" s="80">
        <f>IF(F192&lt;&gt;0,VLOOKUP($J192,'Table 1'!$B$13:$C$33,2,FALSE)/12*1000*Study_MW,0)</f>
        <v>232423.39453055512</v>
      </c>
      <c r="E192" s="80">
        <f t="shared" si="50"/>
        <v>350805.3459627534</v>
      </c>
      <c r="F192" s="79">
        <v>8650.1504937000009</v>
      </c>
      <c r="G192" s="81">
        <f t="shared" si="51"/>
        <v>40.554825747627021</v>
      </c>
      <c r="I192" s="64">
        <f t="shared" si="48"/>
        <v>64</v>
      </c>
      <c r="J192" s="73">
        <f t="shared" si="52"/>
        <v>2034</v>
      </c>
      <c r="K192" s="82">
        <f t="shared" si="53"/>
        <v>49279</v>
      </c>
    </row>
    <row r="193" spans="2:20">
      <c r="B193" s="74">
        <f t="shared" si="49"/>
        <v>49310</v>
      </c>
      <c r="C193" s="69">
        <v>146198.42253553867</v>
      </c>
      <c r="D193" s="70">
        <f>IF(F193&lt;&gt;0,VLOOKUP($J193,'Table 1'!$B$13:$C$33,2,FALSE)/12*1000*Study_MW,0)</f>
        <v>237305.45998333735</v>
      </c>
      <c r="E193" s="70">
        <f t="shared" ref="E193:E204" si="54">C193+D193</f>
        <v>383503.88251887599</v>
      </c>
      <c r="F193" s="69">
        <v>11552.0052485</v>
      </c>
      <c r="G193" s="72">
        <f t="shared" ref="G193:G204" si="55">IF(ISNUMBER($F193),E193/$F193,"")</f>
        <v>33.198035688970371</v>
      </c>
      <c r="I193" s="60">
        <f>I73</f>
        <v>66</v>
      </c>
      <c r="J193" s="73">
        <f t="shared" ref="J193:J256" si="56">YEAR(B193)</f>
        <v>2035</v>
      </c>
      <c r="K193" s="74">
        <f t="shared" ref="K193:K256" si="57">IF(ISNUMBER(F193),IF(F193&lt;&gt;0,B193,""),"")</f>
        <v>49310</v>
      </c>
      <c r="M193" s="41">
        <v>2.0995109139608337E-2</v>
      </c>
    </row>
    <row r="194" spans="2:20">
      <c r="B194" s="78">
        <f t="shared" si="49"/>
        <v>49341</v>
      </c>
      <c r="C194" s="75">
        <v>118947.83150716126</v>
      </c>
      <c r="D194" s="71">
        <f>IF(F194&lt;&gt;0,VLOOKUP($J194,'Table 1'!$B$13:$C$33,2,FALSE)/12*1000*Study_MW,0)</f>
        <v>237305.45998333735</v>
      </c>
      <c r="E194" s="71">
        <f t="shared" si="54"/>
        <v>356253.29149049858</v>
      </c>
      <c r="F194" s="75">
        <v>11267.35905062</v>
      </c>
      <c r="G194" s="76">
        <f t="shared" si="55"/>
        <v>31.618171559989058</v>
      </c>
      <c r="I194" s="77">
        <f t="shared" si="48"/>
        <v>67</v>
      </c>
      <c r="J194" s="73">
        <f t="shared" si="56"/>
        <v>2035</v>
      </c>
      <c r="K194" s="78">
        <f t="shared" si="57"/>
        <v>49341</v>
      </c>
      <c r="M194" s="41">
        <v>2.0995109139608337E-2</v>
      </c>
    </row>
    <row r="195" spans="2:20">
      <c r="B195" s="78">
        <f t="shared" si="49"/>
        <v>49369</v>
      </c>
      <c r="C195" s="75">
        <v>130310.24852219224</v>
      </c>
      <c r="D195" s="71">
        <f>IF(F195&lt;&gt;0,VLOOKUP($J195,'Table 1'!$B$13:$C$33,2,FALSE)/12*1000*Study_MW,0)</f>
        <v>237305.45998333735</v>
      </c>
      <c r="E195" s="71">
        <f t="shared" si="54"/>
        <v>367615.70850552956</v>
      </c>
      <c r="F195" s="75">
        <v>15707.63226472</v>
      </c>
      <c r="G195" s="76">
        <f t="shared" si="55"/>
        <v>23.403636035662092</v>
      </c>
      <c r="I195" s="77">
        <f t="shared" si="48"/>
        <v>68</v>
      </c>
      <c r="J195" s="73">
        <f t="shared" si="56"/>
        <v>2035</v>
      </c>
      <c r="K195" s="78">
        <f t="shared" si="57"/>
        <v>49369</v>
      </c>
      <c r="M195" s="41">
        <v>2.0995109139608337E-2</v>
      </c>
    </row>
    <row r="196" spans="2:20">
      <c r="B196" s="78">
        <f t="shared" si="49"/>
        <v>49400</v>
      </c>
      <c r="C196" s="75">
        <v>75199.332661688328</v>
      </c>
      <c r="D196" s="71">
        <f>IF(F196&lt;&gt;0,VLOOKUP($J196,'Table 1'!$B$13:$C$33,2,FALSE)/12*1000*Study_MW,0)</f>
        <v>237305.45998333735</v>
      </c>
      <c r="E196" s="71">
        <f t="shared" si="54"/>
        <v>312504.79264502565</v>
      </c>
      <c r="F196" s="75">
        <v>18619.494058830001</v>
      </c>
      <c r="G196" s="76">
        <f t="shared" si="55"/>
        <v>16.783742439920122</v>
      </c>
      <c r="I196" s="77">
        <f t="shared" si="48"/>
        <v>69</v>
      </c>
      <c r="J196" s="73">
        <f t="shared" si="56"/>
        <v>2035</v>
      </c>
      <c r="K196" s="78">
        <f t="shared" si="57"/>
        <v>49400</v>
      </c>
      <c r="M196" s="41">
        <v>2.0995109139608337E-2</v>
      </c>
    </row>
    <row r="197" spans="2:20">
      <c r="B197" s="78">
        <f t="shared" si="49"/>
        <v>49430</v>
      </c>
      <c r="C197" s="75">
        <v>151376.18520389497</v>
      </c>
      <c r="D197" s="71">
        <f>IF(F197&lt;&gt;0,VLOOKUP($J197,'Table 1'!$B$13:$C$33,2,FALSE)/12*1000*Study_MW,0)</f>
        <v>237305.45998333735</v>
      </c>
      <c r="E197" s="71">
        <f t="shared" si="54"/>
        <v>388681.64518723229</v>
      </c>
      <c r="F197" s="75">
        <v>25480.277655009999</v>
      </c>
      <c r="G197" s="76">
        <f t="shared" si="55"/>
        <v>15.254215454391201</v>
      </c>
      <c r="I197" s="77">
        <f t="shared" si="48"/>
        <v>70</v>
      </c>
      <c r="J197" s="73">
        <f t="shared" si="56"/>
        <v>2035</v>
      </c>
      <c r="K197" s="78">
        <f t="shared" si="57"/>
        <v>49430</v>
      </c>
      <c r="M197" s="41">
        <v>2.0995109139608337E-2</v>
      </c>
    </row>
    <row r="198" spans="2:20">
      <c r="B198" s="78">
        <f t="shared" si="49"/>
        <v>49461</v>
      </c>
      <c r="C198" s="75">
        <v>-188659.17808389664</v>
      </c>
      <c r="D198" s="71">
        <f>IF(F198&lt;&gt;0,VLOOKUP($J198,'Table 1'!$B$13:$C$33,2,FALSE)/12*1000*Study_MW,0)</f>
        <v>237305.45998333735</v>
      </c>
      <c r="E198" s="71">
        <f t="shared" si="54"/>
        <v>48646.281899440713</v>
      </c>
      <c r="F198" s="75">
        <v>23344.492532676999</v>
      </c>
      <c r="G198" s="76">
        <f t="shared" si="55"/>
        <v>2.0838440514972403</v>
      </c>
      <c r="I198" s="77">
        <f t="shared" ref="I198:I204" si="58">I78</f>
        <v>71</v>
      </c>
      <c r="J198" s="73">
        <f t="shared" si="56"/>
        <v>2035</v>
      </c>
      <c r="K198" s="78">
        <f t="shared" si="57"/>
        <v>49461</v>
      </c>
      <c r="M198" s="41">
        <v>2.0995109139608337E-2</v>
      </c>
    </row>
    <row r="199" spans="2:20">
      <c r="B199" s="78">
        <f t="shared" si="49"/>
        <v>49491</v>
      </c>
      <c r="C199" s="75">
        <v>352284.26134288311</v>
      </c>
      <c r="D199" s="71">
        <f>IF(F199&lt;&gt;0,VLOOKUP($J199,'Table 1'!$B$13:$C$33,2,FALSE)/12*1000*Study_MW,0)</f>
        <v>237305.45998333735</v>
      </c>
      <c r="E199" s="71">
        <f t="shared" si="54"/>
        <v>589589.72132622043</v>
      </c>
      <c r="F199" s="75">
        <v>23811.820131764998</v>
      </c>
      <c r="G199" s="76">
        <f t="shared" si="55"/>
        <v>24.760380267601089</v>
      </c>
      <c r="I199" s="77">
        <f t="shared" si="58"/>
        <v>72</v>
      </c>
      <c r="J199" s="73">
        <f t="shared" si="56"/>
        <v>2035</v>
      </c>
      <c r="K199" s="78">
        <f t="shared" si="57"/>
        <v>49491</v>
      </c>
      <c r="M199" s="41">
        <v>2.0995109139608337E-2</v>
      </c>
    </row>
    <row r="200" spans="2:20">
      <c r="B200" s="78">
        <f t="shared" si="49"/>
        <v>49522</v>
      </c>
      <c r="C200" s="75">
        <v>265513.67391458154</v>
      </c>
      <c r="D200" s="71">
        <f>IF(F200&lt;&gt;0,VLOOKUP($J200,'Table 1'!$B$13:$C$33,2,FALSE)/12*1000*Study_MW,0)</f>
        <v>237305.45998333735</v>
      </c>
      <c r="E200" s="71">
        <f t="shared" si="54"/>
        <v>502819.13389791886</v>
      </c>
      <c r="F200" s="75">
        <v>21372.403470825</v>
      </c>
      <c r="G200" s="76">
        <f t="shared" si="55"/>
        <v>23.526560060701936</v>
      </c>
      <c r="I200" s="77">
        <f t="shared" si="58"/>
        <v>73</v>
      </c>
      <c r="J200" s="73">
        <f t="shared" si="56"/>
        <v>2035</v>
      </c>
      <c r="K200" s="78">
        <f t="shared" si="57"/>
        <v>49522</v>
      </c>
      <c r="M200" s="41">
        <v>2.0995109139608337E-2</v>
      </c>
    </row>
    <row r="201" spans="2:20">
      <c r="B201" s="78">
        <f t="shared" si="49"/>
        <v>49553</v>
      </c>
      <c r="C201" s="75">
        <v>-43736.984512254596</v>
      </c>
      <c r="D201" s="71">
        <f>IF(F201&lt;&gt;0,VLOOKUP($J201,'Table 1'!$B$13:$C$33,2,FALSE)/12*1000*Study_MW,0)</f>
        <v>237305.45998333735</v>
      </c>
      <c r="E201" s="71">
        <f t="shared" si="54"/>
        <v>193568.47547108275</v>
      </c>
      <c r="F201" s="75">
        <v>20392.769206879999</v>
      </c>
      <c r="G201" s="76">
        <f t="shared" si="55"/>
        <v>9.4920152092820089</v>
      </c>
      <c r="I201" s="77">
        <f t="shared" si="58"/>
        <v>74</v>
      </c>
      <c r="J201" s="73">
        <f t="shared" si="56"/>
        <v>2035</v>
      </c>
      <c r="K201" s="78">
        <f t="shared" si="57"/>
        <v>49553</v>
      </c>
      <c r="M201" s="41">
        <v>2.0995109139608337E-2</v>
      </c>
    </row>
    <row r="202" spans="2:20">
      <c r="B202" s="78">
        <f t="shared" si="49"/>
        <v>49583</v>
      </c>
      <c r="C202" s="75">
        <v>-73460.923891767859</v>
      </c>
      <c r="D202" s="71">
        <f>IF(F202&lt;&gt;0,VLOOKUP($J202,'Table 1'!$B$13:$C$33,2,FALSE)/12*1000*Study_MW,0)</f>
        <v>237305.45998333735</v>
      </c>
      <c r="E202" s="71">
        <f t="shared" si="54"/>
        <v>163844.53609156949</v>
      </c>
      <c r="F202" s="75">
        <v>17039.047428550999</v>
      </c>
      <c r="G202" s="76">
        <f t="shared" si="55"/>
        <v>9.6158272214811742</v>
      </c>
      <c r="I202" s="77">
        <f t="shared" si="58"/>
        <v>75</v>
      </c>
      <c r="J202" s="73">
        <f t="shared" si="56"/>
        <v>2035</v>
      </c>
      <c r="K202" s="78">
        <f t="shared" si="57"/>
        <v>49583</v>
      </c>
      <c r="M202" s="41">
        <v>2.0995109139608337E-2</v>
      </c>
    </row>
    <row r="203" spans="2:20">
      <c r="B203" s="78">
        <f t="shared" si="49"/>
        <v>49614</v>
      </c>
      <c r="C203" s="75">
        <v>125726.80109420419</v>
      </c>
      <c r="D203" s="71">
        <f>IF(F203&lt;&gt;0,VLOOKUP($J203,'Table 1'!$B$13:$C$33,2,FALSE)/12*1000*Study_MW,0)</f>
        <v>237305.45998333735</v>
      </c>
      <c r="E203" s="71">
        <f t="shared" si="54"/>
        <v>363032.26107754151</v>
      </c>
      <c r="F203" s="75">
        <v>12042.260953000001</v>
      </c>
      <c r="G203" s="76">
        <f t="shared" si="55"/>
        <v>30.146520034271632</v>
      </c>
      <c r="I203" s="77">
        <f t="shared" si="58"/>
        <v>76</v>
      </c>
      <c r="J203" s="73">
        <f t="shared" si="56"/>
        <v>2035</v>
      </c>
      <c r="K203" s="78">
        <f t="shared" si="57"/>
        <v>49614</v>
      </c>
      <c r="M203" s="41">
        <v>2.0995109139608337E-2</v>
      </c>
    </row>
    <row r="204" spans="2:20">
      <c r="B204" s="82">
        <f t="shared" si="49"/>
        <v>49644</v>
      </c>
      <c r="C204" s="79">
        <v>118679.65924823284</v>
      </c>
      <c r="D204" s="80">
        <f>IF(F204&lt;&gt;0,VLOOKUP($J204,'Table 1'!$B$13:$C$33,2,FALSE)/12*1000*Study_MW,0)</f>
        <v>237305.45998333735</v>
      </c>
      <c r="E204" s="80">
        <f t="shared" si="54"/>
        <v>355985.11923157016</v>
      </c>
      <c r="F204" s="79">
        <v>8606.8997724199999</v>
      </c>
      <c r="G204" s="81">
        <f t="shared" si="55"/>
        <v>41.360435074693328</v>
      </c>
      <c r="I204" s="64">
        <f t="shared" si="58"/>
        <v>77</v>
      </c>
      <c r="J204" s="73">
        <f t="shared" si="56"/>
        <v>2035</v>
      </c>
      <c r="K204" s="82">
        <f t="shared" si="57"/>
        <v>49644</v>
      </c>
      <c r="M204" s="41">
        <v>2.0995109139608337E-2</v>
      </c>
    </row>
    <row r="205" spans="2:20" outlineLevel="1">
      <c r="B205" s="74">
        <f t="shared" si="49"/>
        <v>49675</v>
      </c>
      <c r="C205" s="69">
        <v>173113.56988164783</v>
      </c>
      <c r="D205" s="70">
        <f>IF(F205&lt;&gt;0,VLOOKUP($J205,'Table 1'!$B$13:$C$33,2,FALSE)/12*1000*Study_MW,0)</f>
        <v>242249.32373299025</v>
      </c>
      <c r="E205" s="70">
        <f t="shared" ref="E205:E216" si="59">C205+D205</f>
        <v>415362.89361463807</v>
      </c>
      <c r="F205" s="69">
        <v>11494.245248929999</v>
      </c>
      <c r="G205" s="72">
        <f t="shared" ref="G205:G216" si="60">IF(ISNUMBER($F205),E205/$F205,"")</f>
        <v>36.136595715434581</v>
      </c>
      <c r="I205" s="60">
        <f>I85</f>
        <v>79</v>
      </c>
      <c r="J205" s="73">
        <f t="shared" ref="J205:J216" si="61">YEAR(B205)</f>
        <v>2036</v>
      </c>
      <c r="K205" s="74">
        <f t="shared" ref="K205:K216" si="62">IF(ISNUMBER(F205),IF(F205&lt;&gt;0,B205,""),"")</f>
        <v>49675</v>
      </c>
      <c r="M205" s="41">
        <v>2.0839652371155371E-2</v>
      </c>
      <c r="T205" s="176"/>
    </row>
    <row r="206" spans="2:20" outlineLevel="1">
      <c r="B206" s="78">
        <f t="shared" ref="B206:B240" si="63">EDATE(B205,1)</f>
        <v>49706</v>
      </c>
      <c r="C206" s="75">
        <v>123267.29780262709</v>
      </c>
      <c r="D206" s="71">
        <f>IF(F206&lt;&gt;0,VLOOKUP($J206,'Table 1'!$B$13:$C$33,2,FALSE)/12*1000*Study_MW,0)</f>
        <v>242249.32373299025</v>
      </c>
      <c r="E206" s="71">
        <f t="shared" si="59"/>
        <v>365516.62153561733</v>
      </c>
      <c r="F206" s="75">
        <v>11771.735691627</v>
      </c>
      <c r="G206" s="76">
        <f t="shared" si="60"/>
        <v>31.050359191771694</v>
      </c>
      <c r="I206" s="77">
        <f t="shared" ref="I206:I216" si="64">I86</f>
        <v>80</v>
      </c>
      <c r="J206" s="73">
        <f t="shared" si="61"/>
        <v>2036</v>
      </c>
      <c r="K206" s="78">
        <f t="shared" si="62"/>
        <v>49706</v>
      </c>
      <c r="M206" s="41">
        <v>2.0839652371155371E-2</v>
      </c>
      <c r="T206" s="176"/>
    </row>
    <row r="207" spans="2:20" outlineLevel="1">
      <c r="B207" s="78">
        <f t="shared" si="63"/>
        <v>49735</v>
      </c>
      <c r="C207" s="75">
        <v>156824.50837379694</v>
      </c>
      <c r="D207" s="71">
        <f>IF(F207&lt;&gt;0,VLOOKUP($J207,'Table 1'!$B$13:$C$33,2,FALSE)/12*1000*Study_MW,0)</f>
        <v>242249.32373299025</v>
      </c>
      <c r="E207" s="71">
        <f t="shared" si="59"/>
        <v>399073.83210678719</v>
      </c>
      <c r="F207" s="75">
        <v>15629.09390206</v>
      </c>
      <c r="G207" s="76">
        <f t="shared" si="60"/>
        <v>25.534035089147878</v>
      </c>
      <c r="I207" s="77">
        <f t="shared" si="64"/>
        <v>81</v>
      </c>
      <c r="J207" s="73">
        <f t="shared" si="61"/>
        <v>2036</v>
      </c>
      <c r="K207" s="78">
        <f t="shared" si="62"/>
        <v>49735</v>
      </c>
      <c r="M207" s="41">
        <v>2.0839652371155371E-2</v>
      </c>
      <c r="T207" s="176"/>
    </row>
    <row r="208" spans="2:20" outlineLevel="1">
      <c r="B208" s="78">
        <f t="shared" si="63"/>
        <v>49766</v>
      </c>
      <c r="C208" s="75">
        <v>100984.78576634824</v>
      </c>
      <c r="D208" s="71">
        <f>IF(F208&lt;&gt;0,VLOOKUP($J208,'Table 1'!$B$13:$C$33,2,FALSE)/12*1000*Study_MW,0)</f>
        <v>242249.32373299025</v>
      </c>
      <c r="E208" s="71">
        <f t="shared" si="59"/>
        <v>343234.10949933849</v>
      </c>
      <c r="F208" s="75">
        <v>18526.396487059999</v>
      </c>
      <c r="G208" s="76">
        <f t="shared" si="60"/>
        <v>18.526760438225253</v>
      </c>
      <c r="I208" s="77">
        <f t="shared" si="64"/>
        <v>82</v>
      </c>
      <c r="J208" s="73">
        <f t="shared" si="61"/>
        <v>2036</v>
      </c>
      <c r="K208" s="78">
        <f t="shared" si="62"/>
        <v>49766</v>
      </c>
      <c r="M208" s="41">
        <v>2.0839652371155371E-2</v>
      </c>
      <c r="T208" s="176"/>
    </row>
    <row r="209" spans="2:20" outlineLevel="1">
      <c r="B209" s="78">
        <f t="shared" si="63"/>
        <v>49796</v>
      </c>
      <c r="C209" s="75">
        <v>191076.5872669369</v>
      </c>
      <c r="D209" s="71">
        <f>IF(F209&lt;&gt;0,VLOOKUP($J209,'Table 1'!$B$13:$C$33,2,FALSE)/12*1000*Study_MW,0)</f>
        <v>242249.32373299025</v>
      </c>
      <c r="E209" s="71">
        <f t="shared" si="59"/>
        <v>433325.91099992715</v>
      </c>
      <c r="F209" s="75">
        <v>25352.87580329</v>
      </c>
      <c r="G209" s="76">
        <f t="shared" si="60"/>
        <v>17.091785340726325</v>
      </c>
      <c r="I209" s="77">
        <f t="shared" si="64"/>
        <v>83</v>
      </c>
      <c r="J209" s="73">
        <f t="shared" si="61"/>
        <v>2036</v>
      </c>
      <c r="K209" s="78">
        <f t="shared" si="62"/>
        <v>49796</v>
      </c>
      <c r="M209" s="41">
        <v>2.0839652371155371E-2</v>
      </c>
      <c r="T209" s="176"/>
    </row>
    <row r="210" spans="2:20" outlineLevel="1">
      <c r="B210" s="78">
        <f t="shared" si="63"/>
        <v>49827</v>
      </c>
      <c r="C210" s="75">
        <v>225153.11804547906</v>
      </c>
      <c r="D210" s="71">
        <f>IF(F210&lt;&gt;0,VLOOKUP($J210,'Table 1'!$B$13:$C$33,2,FALSE)/12*1000*Study_MW,0)</f>
        <v>242249.32373299025</v>
      </c>
      <c r="E210" s="71">
        <f t="shared" si="59"/>
        <v>467402.44177846931</v>
      </c>
      <c r="F210" s="75">
        <v>23227.770021585002</v>
      </c>
      <c r="G210" s="76">
        <f t="shared" si="60"/>
        <v>20.122570584439384</v>
      </c>
      <c r="I210" s="77">
        <f t="shared" si="64"/>
        <v>84</v>
      </c>
      <c r="J210" s="73">
        <f t="shared" si="61"/>
        <v>2036</v>
      </c>
      <c r="K210" s="78">
        <f t="shared" si="62"/>
        <v>49827</v>
      </c>
      <c r="M210" s="41">
        <v>2.0839652371155371E-2</v>
      </c>
      <c r="T210" s="176"/>
    </row>
    <row r="211" spans="2:20" outlineLevel="1">
      <c r="B211" s="78">
        <f t="shared" si="63"/>
        <v>49857</v>
      </c>
      <c r="C211" s="75">
        <v>518015.44587913156</v>
      </c>
      <c r="D211" s="71">
        <f>IF(F211&lt;&gt;0,VLOOKUP($J211,'Table 1'!$B$13:$C$33,2,FALSE)/12*1000*Study_MW,0)</f>
        <v>242249.32373299025</v>
      </c>
      <c r="E211" s="71">
        <f t="shared" si="59"/>
        <v>760264.76961212186</v>
      </c>
      <c r="F211" s="75">
        <v>23692.760910469999</v>
      </c>
      <c r="G211" s="76">
        <f t="shared" si="60"/>
        <v>32.088483587244383</v>
      </c>
      <c r="I211" s="77">
        <f t="shared" si="64"/>
        <v>85</v>
      </c>
      <c r="J211" s="73">
        <f t="shared" si="61"/>
        <v>2036</v>
      </c>
      <c r="K211" s="78">
        <f t="shared" si="62"/>
        <v>49857</v>
      </c>
      <c r="M211" s="41">
        <v>2.0839652371155371E-2</v>
      </c>
      <c r="T211" s="176"/>
    </row>
    <row r="212" spans="2:20" outlineLevel="1">
      <c r="B212" s="78">
        <f t="shared" si="63"/>
        <v>49888</v>
      </c>
      <c r="C212" s="75">
        <v>303032.80949622393</v>
      </c>
      <c r="D212" s="71">
        <f>IF(F212&lt;&gt;0,VLOOKUP($J212,'Table 1'!$B$13:$C$33,2,FALSE)/12*1000*Study_MW,0)</f>
        <v>242249.32373299025</v>
      </c>
      <c r="E212" s="71">
        <f t="shared" si="59"/>
        <v>545282.13322921423</v>
      </c>
      <c r="F212" s="75">
        <v>21265.540890658998</v>
      </c>
      <c r="G212" s="76">
        <f t="shared" si="60"/>
        <v>25.641583067785138</v>
      </c>
      <c r="I212" s="77">
        <f t="shared" si="64"/>
        <v>86</v>
      </c>
      <c r="J212" s="73">
        <f t="shared" si="61"/>
        <v>2036</v>
      </c>
      <c r="K212" s="78">
        <f t="shared" si="62"/>
        <v>49888</v>
      </c>
      <c r="M212" s="41">
        <v>2.0839652371155371E-2</v>
      </c>
      <c r="T212" s="176"/>
    </row>
    <row r="213" spans="2:20" outlineLevel="1">
      <c r="B213" s="78">
        <f t="shared" si="63"/>
        <v>49919</v>
      </c>
      <c r="C213" s="75">
        <v>215375.3177652657</v>
      </c>
      <c r="D213" s="71">
        <f>IF(F213&lt;&gt;0,VLOOKUP($J213,'Table 1'!$B$13:$C$33,2,FALSE)/12*1000*Study_MW,0)</f>
        <v>242249.32373299025</v>
      </c>
      <c r="E213" s="71">
        <f t="shared" si="59"/>
        <v>457624.64149825595</v>
      </c>
      <c r="F213" s="75">
        <v>20290.805376299999</v>
      </c>
      <c r="G213" s="76">
        <f t="shared" si="60"/>
        <v>22.553301015482077</v>
      </c>
      <c r="I213" s="77">
        <f t="shared" si="64"/>
        <v>87</v>
      </c>
      <c r="J213" s="73">
        <f t="shared" si="61"/>
        <v>2036</v>
      </c>
      <c r="K213" s="78">
        <f t="shared" si="62"/>
        <v>49919</v>
      </c>
      <c r="M213" s="41">
        <v>2.0839652371155371E-2</v>
      </c>
      <c r="T213" s="176"/>
    </row>
    <row r="214" spans="2:20" outlineLevel="1">
      <c r="B214" s="78">
        <f t="shared" si="63"/>
        <v>49949</v>
      </c>
      <c r="C214" s="75">
        <v>101492.58372332156</v>
      </c>
      <c r="D214" s="71">
        <f>IF(F214&lt;&gt;0,VLOOKUP($J214,'Table 1'!$B$13:$C$33,2,FALSE)/12*1000*Study_MW,0)</f>
        <v>242249.32373299025</v>
      </c>
      <c r="E214" s="71">
        <f t="shared" si="59"/>
        <v>343741.9074563118</v>
      </c>
      <c r="F214" s="75">
        <v>16953.852152259999</v>
      </c>
      <c r="G214" s="76">
        <f t="shared" si="60"/>
        <v>20.275150707297517</v>
      </c>
      <c r="I214" s="77">
        <f t="shared" si="64"/>
        <v>88</v>
      </c>
      <c r="J214" s="73">
        <f t="shared" si="61"/>
        <v>2036</v>
      </c>
      <c r="K214" s="78">
        <f t="shared" si="62"/>
        <v>49949</v>
      </c>
      <c r="M214" s="41">
        <v>2.0839652371155371E-2</v>
      </c>
      <c r="T214" s="176"/>
    </row>
    <row r="215" spans="2:20" outlineLevel="1">
      <c r="B215" s="78">
        <f t="shared" si="63"/>
        <v>49980</v>
      </c>
      <c r="C215" s="75">
        <v>213244.48656356335</v>
      </c>
      <c r="D215" s="71">
        <f>IF(F215&lt;&gt;0,VLOOKUP($J215,'Table 1'!$B$13:$C$33,2,FALSE)/12*1000*Study_MW,0)</f>
        <v>242249.32373299025</v>
      </c>
      <c r="E215" s="71">
        <f t="shared" si="59"/>
        <v>455493.81029655359</v>
      </c>
      <c r="F215" s="75">
        <v>11982.049696100001</v>
      </c>
      <c r="G215" s="76">
        <f t="shared" si="60"/>
        <v>38.014682116099955</v>
      </c>
      <c r="I215" s="77">
        <f t="shared" si="64"/>
        <v>89</v>
      </c>
      <c r="J215" s="73">
        <f t="shared" si="61"/>
        <v>2036</v>
      </c>
      <c r="K215" s="78">
        <f t="shared" si="62"/>
        <v>49980</v>
      </c>
      <c r="M215" s="41">
        <v>2.0839652371155371E-2</v>
      </c>
      <c r="T215" s="176"/>
    </row>
    <row r="216" spans="2:20" outlineLevel="1">
      <c r="B216" s="82">
        <f t="shared" si="63"/>
        <v>50010</v>
      </c>
      <c r="C216" s="79">
        <v>158759.94410049915</v>
      </c>
      <c r="D216" s="80">
        <f>IF(F216&lt;&gt;0,VLOOKUP($J216,'Table 1'!$B$13:$C$33,2,FALSE)/12*1000*Study_MW,0)</f>
        <v>242249.32373299025</v>
      </c>
      <c r="E216" s="80">
        <f t="shared" si="59"/>
        <v>401009.2678334894</v>
      </c>
      <c r="F216" s="79">
        <v>8563.8652729500009</v>
      </c>
      <c r="G216" s="81">
        <f t="shared" si="60"/>
        <v>46.825732896584142</v>
      </c>
      <c r="I216" s="64">
        <f t="shared" si="64"/>
        <v>90</v>
      </c>
      <c r="J216" s="73">
        <f t="shared" si="61"/>
        <v>2036</v>
      </c>
      <c r="K216" s="82">
        <f t="shared" si="62"/>
        <v>50010</v>
      </c>
      <c r="M216" s="41">
        <v>2.0839652371155371E-2</v>
      </c>
      <c r="T216" s="176"/>
    </row>
    <row r="217" spans="2:20" outlineLevel="1">
      <c r="B217" s="74">
        <f t="shared" si="63"/>
        <v>50041</v>
      </c>
      <c r="C217" s="69">
        <v>183259.14875951409</v>
      </c>
      <c r="D217" s="70">
        <f>IF(F217&lt;&gt;0,VLOOKUP($J217,'Table 1'!$B$13:$C$33,2,FALSE)/12*1000*Study_MW,0)</f>
        <v>247316.78407638439</v>
      </c>
      <c r="E217" s="70">
        <f t="shared" ref="E217:E240" si="65">C217+D217</f>
        <v>430575.93283589848</v>
      </c>
      <c r="F217" s="69">
        <v>11436.77399725</v>
      </c>
      <c r="G217" s="72">
        <f t="shared" ref="G217:G240" si="66">IF(ISNUMBER($F217),E217/$F217,"")</f>
        <v>37.648372953722046</v>
      </c>
      <c r="I217" s="60">
        <f>I97</f>
        <v>92</v>
      </c>
      <c r="J217" s="73">
        <f t="shared" ref="J217:J228" si="67">YEAR(B217)</f>
        <v>2037</v>
      </c>
      <c r="K217" s="74">
        <f t="shared" ref="K217:K228" si="68">IF(ISNUMBER(F217),IF(F217&lt;&gt;0,B217,""),"")</f>
        <v>50041</v>
      </c>
      <c r="M217" s="41">
        <v>2.0854082421584375E-2</v>
      </c>
      <c r="T217" s="176"/>
    </row>
    <row r="218" spans="2:20" outlineLevel="1">
      <c r="B218" s="78">
        <f t="shared" si="63"/>
        <v>50072</v>
      </c>
      <c r="C218" s="75">
        <v>173681.15673956275</v>
      </c>
      <c r="D218" s="71">
        <f>IF(F218&lt;&gt;0,VLOOKUP($J218,'Table 1'!$B$13:$C$33,2,FALSE)/12*1000*Study_MW,0)</f>
        <v>247316.78407638439</v>
      </c>
      <c r="E218" s="71">
        <f t="shared" si="65"/>
        <v>420997.94081594713</v>
      </c>
      <c r="F218" s="75">
        <v>11154.96714656</v>
      </c>
      <c r="G218" s="76">
        <f t="shared" si="66"/>
        <v>37.740849908802794</v>
      </c>
      <c r="I218" s="77">
        <f t="shared" ref="I218:I228" si="69">I98</f>
        <v>93</v>
      </c>
      <c r="J218" s="73">
        <f t="shared" si="67"/>
        <v>2037</v>
      </c>
      <c r="K218" s="78">
        <f t="shared" si="68"/>
        <v>50072</v>
      </c>
      <c r="M218" s="41">
        <v>2.0854082421584375E-2</v>
      </c>
      <c r="T218" s="176"/>
    </row>
    <row r="219" spans="2:20" outlineLevel="1">
      <c r="B219" s="78">
        <f t="shared" si="63"/>
        <v>50100</v>
      </c>
      <c r="C219" s="75">
        <v>167512.49631908536</v>
      </c>
      <c r="D219" s="71">
        <f>IF(F219&lt;&gt;0,VLOOKUP($J219,'Table 1'!$B$13:$C$33,2,FALSE)/12*1000*Study_MW,0)</f>
        <v>247316.78407638439</v>
      </c>
      <c r="E219" s="71">
        <f t="shared" si="65"/>
        <v>414829.28039546974</v>
      </c>
      <c r="F219" s="75">
        <v>15550.94843427</v>
      </c>
      <c r="G219" s="76">
        <f t="shared" si="66"/>
        <v>26.675497134393453</v>
      </c>
      <c r="I219" s="77">
        <f t="shared" si="69"/>
        <v>94</v>
      </c>
      <c r="J219" s="73">
        <f t="shared" si="67"/>
        <v>2037</v>
      </c>
      <c r="K219" s="78">
        <f t="shared" si="68"/>
        <v>50100</v>
      </c>
      <c r="M219" s="41">
        <v>2.0854082421584375E-2</v>
      </c>
      <c r="T219" s="176"/>
    </row>
    <row r="220" spans="2:20" outlineLevel="1">
      <c r="B220" s="78">
        <f t="shared" si="63"/>
        <v>50131</v>
      </c>
      <c r="C220" s="75">
        <v>91573.555639326572</v>
      </c>
      <c r="D220" s="71">
        <f>IF(F220&lt;&gt;0,VLOOKUP($J220,'Table 1'!$B$13:$C$33,2,FALSE)/12*1000*Study_MW,0)</f>
        <v>247316.78407638439</v>
      </c>
      <c r="E220" s="71">
        <f t="shared" si="65"/>
        <v>338890.33971571096</v>
      </c>
      <c r="F220" s="75">
        <v>18433.764409776999</v>
      </c>
      <c r="G220" s="76">
        <f t="shared" si="66"/>
        <v>18.384217796337275</v>
      </c>
      <c r="I220" s="77">
        <f t="shared" si="69"/>
        <v>95</v>
      </c>
      <c r="J220" s="73">
        <f t="shared" si="67"/>
        <v>2037</v>
      </c>
      <c r="K220" s="78">
        <f t="shared" si="68"/>
        <v>50131</v>
      </c>
      <c r="M220" s="41">
        <v>2.0854082421584375E-2</v>
      </c>
      <c r="T220" s="176"/>
    </row>
    <row r="221" spans="2:20" outlineLevel="1">
      <c r="B221" s="78">
        <f t="shared" si="63"/>
        <v>50161</v>
      </c>
      <c r="C221" s="75">
        <v>41318.176426872611</v>
      </c>
      <c r="D221" s="71">
        <f>IF(F221&lt;&gt;0,VLOOKUP($J221,'Table 1'!$B$13:$C$33,2,FALSE)/12*1000*Study_MW,0)</f>
        <v>247316.78407638439</v>
      </c>
      <c r="E221" s="71">
        <f t="shared" si="65"/>
        <v>288634.960503257</v>
      </c>
      <c r="F221" s="75">
        <v>25226.11175118</v>
      </c>
      <c r="G221" s="76">
        <f t="shared" si="66"/>
        <v>11.441912386269975</v>
      </c>
      <c r="I221" s="77">
        <f t="shared" si="69"/>
        <v>96</v>
      </c>
      <c r="J221" s="73">
        <f t="shared" si="67"/>
        <v>2037</v>
      </c>
      <c r="K221" s="78">
        <f t="shared" si="68"/>
        <v>50161</v>
      </c>
      <c r="M221" s="41">
        <v>2.0854082421584375E-2</v>
      </c>
      <c r="T221" s="176"/>
    </row>
    <row r="222" spans="2:20" outlineLevel="1">
      <c r="B222" s="78">
        <f t="shared" si="63"/>
        <v>50192</v>
      </c>
      <c r="C222" s="75">
        <v>-50161.265342712402</v>
      </c>
      <c r="D222" s="71">
        <f>IF(F222&lt;&gt;0,VLOOKUP($J222,'Table 1'!$B$13:$C$33,2,FALSE)/12*1000*Study_MW,0)</f>
        <v>247316.78407638439</v>
      </c>
      <c r="E222" s="71">
        <f t="shared" si="65"/>
        <v>197155.51873367198</v>
      </c>
      <c r="F222" s="75">
        <v>23111.631196536</v>
      </c>
      <c r="G222" s="76">
        <f t="shared" si="66"/>
        <v>8.5305756680308189</v>
      </c>
      <c r="I222" s="77">
        <f t="shared" si="69"/>
        <v>97</v>
      </c>
      <c r="J222" s="73">
        <f t="shared" si="67"/>
        <v>2037</v>
      </c>
      <c r="K222" s="78">
        <f t="shared" si="68"/>
        <v>50192</v>
      </c>
      <c r="M222" s="41">
        <v>2.0854082421584375E-2</v>
      </c>
      <c r="T222" s="176"/>
    </row>
    <row r="223" spans="2:20" outlineLevel="1">
      <c r="B223" s="78">
        <f t="shared" si="63"/>
        <v>50222</v>
      </c>
      <c r="C223" s="75">
        <v>424531.71396309137</v>
      </c>
      <c r="D223" s="71">
        <f>IF(F223&lt;&gt;0,VLOOKUP($J223,'Table 1'!$B$13:$C$33,2,FALSE)/12*1000*Study_MW,0)</f>
        <v>247316.78407638439</v>
      </c>
      <c r="E223" s="71">
        <f t="shared" si="65"/>
        <v>671848.49803947576</v>
      </c>
      <c r="F223" s="75">
        <v>23574.297250399999</v>
      </c>
      <c r="G223" s="76">
        <f t="shared" si="66"/>
        <v>28.499195157474997</v>
      </c>
      <c r="I223" s="77">
        <f t="shared" si="69"/>
        <v>98</v>
      </c>
      <c r="J223" s="73">
        <f t="shared" si="67"/>
        <v>2037</v>
      </c>
      <c r="K223" s="78">
        <f t="shared" si="68"/>
        <v>50222</v>
      </c>
      <c r="M223" s="41">
        <v>2.0854082421584375E-2</v>
      </c>
      <c r="T223" s="176"/>
    </row>
    <row r="224" spans="2:20" outlineLevel="1">
      <c r="B224" s="78">
        <f t="shared" si="63"/>
        <v>50253</v>
      </c>
      <c r="C224" s="75">
        <v>120278.9545725584</v>
      </c>
      <c r="D224" s="71">
        <f>IF(F224&lt;&gt;0,VLOOKUP($J224,'Table 1'!$B$13:$C$33,2,FALSE)/12*1000*Study_MW,0)</f>
        <v>247316.78407638439</v>
      </c>
      <c r="E224" s="71">
        <f t="shared" si="65"/>
        <v>367595.73864894279</v>
      </c>
      <c r="F224" s="75">
        <v>21159.213388348999</v>
      </c>
      <c r="G224" s="76">
        <f t="shared" si="66"/>
        <v>17.372845195245009</v>
      </c>
      <c r="I224" s="77">
        <f t="shared" si="69"/>
        <v>99</v>
      </c>
      <c r="J224" s="73">
        <f t="shared" si="67"/>
        <v>2037</v>
      </c>
      <c r="K224" s="78">
        <f t="shared" si="68"/>
        <v>50253</v>
      </c>
      <c r="M224" s="41">
        <v>2.0854082421584375E-2</v>
      </c>
      <c r="T224" s="176"/>
    </row>
    <row r="225" spans="2:20" outlineLevel="1">
      <c r="B225" s="78">
        <f t="shared" si="63"/>
        <v>50284</v>
      </c>
      <c r="C225" s="75">
        <v>-66435.152036517859</v>
      </c>
      <c r="D225" s="71">
        <f>IF(F225&lt;&gt;0,VLOOKUP($J225,'Table 1'!$B$13:$C$33,2,FALSE)/12*1000*Study_MW,0)</f>
        <v>247316.78407638439</v>
      </c>
      <c r="E225" s="71">
        <f t="shared" si="65"/>
        <v>180881.63203986653</v>
      </c>
      <c r="F225" s="75">
        <v>20189.351231649998</v>
      </c>
      <c r="G225" s="76">
        <f t="shared" si="66"/>
        <v>8.959259263185535</v>
      </c>
      <c r="I225" s="77">
        <f t="shared" si="69"/>
        <v>100</v>
      </c>
      <c r="J225" s="73">
        <f t="shared" si="67"/>
        <v>2037</v>
      </c>
      <c r="K225" s="78">
        <f t="shared" si="68"/>
        <v>50284</v>
      </c>
      <c r="M225" s="41">
        <v>2.0854082421584375E-2</v>
      </c>
      <c r="T225" s="176"/>
    </row>
    <row r="226" spans="2:20" outlineLevel="1">
      <c r="B226" s="78">
        <f t="shared" si="63"/>
        <v>50314</v>
      </c>
      <c r="C226" s="75">
        <v>95398.739273816347</v>
      </c>
      <c r="D226" s="71">
        <f>IF(F226&lt;&gt;0,VLOOKUP($J226,'Table 1'!$B$13:$C$33,2,FALSE)/12*1000*Study_MW,0)</f>
        <v>247316.78407638439</v>
      </c>
      <c r="E226" s="71">
        <f t="shared" si="65"/>
        <v>342715.52335020073</v>
      </c>
      <c r="F226" s="75">
        <v>16869.082996153</v>
      </c>
      <c r="G226" s="76">
        <f t="shared" si="66"/>
        <v>20.316191664262789</v>
      </c>
      <c r="I226" s="77">
        <f t="shared" si="69"/>
        <v>101</v>
      </c>
      <c r="J226" s="73">
        <f t="shared" si="67"/>
        <v>2037</v>
      </c>
      <c r="K226" s="78">
        <f t="shared" si="68"/>
        <v>50314</v>
      </c>
      <c r="M226" s="41">
        <v>2.0854082421584375E-2</v>
      </c>
      <c r="T226" s="176"/>
    </row>
    <row r="227" spans="2:20" outlineLevel="1">
      <c r="B227" s="78">
        <f t="shared" si="63"/>
        <v>50345</v>
      </c>
      <c r="C227" s="75">
        <v>181231.04832006991</v>
      </c>
      <c r="D227" s="71">
        <f>IF(F227&lt;&gt;0,VLOOKUP($J227,'Table 1'!$B$13:$C$33,2,FALSE)/12*1000*Study_MW,0)</f>
        <v>247316.78407638439</v>
      </c>
      <c r="E227" s="71">
        <f t="shared" si="65"/>
        <v>428547.83239645429</v>
      </c>
      <c r="F227" s="75">
        <v>11922.139385099999</v>
      </c>
      <c r="G227" s="76">
        <f t="shared" si="66"/>
        <v>35.945547904937513</v>
      </c>
      <c r="I227" s="77">
        <f t="shared" si="69"/>
        <v>102</v>
      </c>
      <c r="J227" s="73">
        <f t="shared" si="67"/>
        <v>2037</v>
      </c>
      <c r="K227" s="78">
        <f t="shared" si="68"/>
        <v>50345</v>
      </c>
      <c r="M227" s="41">
        <v>2.0854082421584375E-2</v>
      </c>
      <c r="T227" s="176"/>
    </row>
    <row r="228" spans="2:20" outlineLevel="1">
      <c r="B228" s="82">
        <f t="shared" si="63"/>
        <v>50375</v>
      </c>
      <c r="C228" s="79">
        <v>191191.01406037807</v>
      </c>
      <c r="D228" s="80">
        <f>IF(F228&lt;&gt;0,VLOOKUP($J228,'Table 1'!$B$13:$C$33,2,FALSE)/12*1000*Study_MW,0)</f>
        <v>247316.78407638439</v>
      </c>
      <c r="E228" s="80">
        <f t="shared" si="65"/>
        <v>438507.79813676246</v>
      </c>
      <c r="F228" s="79">
        <v>8521.0459399600004</v>
      </c>
      <c r="G228" s="81">
        <f t="shared" si="66"/>
        <v>51.461733832504244</v>
      </c>
      <c r="I228" s="64">
        <f t="shared" si="69"/>
        <v>103</v>
      </c>
      <c r="J228" s="73">
        <f t="shared" si="67"/>
        <v>2037</v>
      </c>
      <c r="K228" s="82">
        <f t="shared" si="68"/>
        <v>50375</v>
      </c>
      <c r="M228" s="41">
        <v>2.0854082421584375E-2</v>
      </c>
      <c r="T228" s="176"/>
    </row>
    <row r="229" spans="2:20" outlineLevel="1">
      <c r="B229" s="74">
        <f t="shared" si="63"/>
        <v>50406</v>
      </c>
      <c r="C229" s="69">
        <v>243245.87257617712</v>
      </c>
      <c r="D229" s="70">
        <f>IF(F229&lt;&gt;0,VLOOKUP($J229,'Table 1'!$B$13:$C$33,2,FALSE)/12*1000*Study_MW,0)</f>
        <v>252487.24158122964</v>
      </c>
      <c r="E229" s="70">
        <f t="shared" si="65"/>
        <v>495733.11415740673</v>
      </c>
      <c r="F229" s="69">
        <v>11379.590106989999</v>
      </c>
      <c r="G229" s="72">
        <f t="shared" si="66"/>
        <v>43.563354171509125</v>
      </c>
      <c r="I229" s="60">
        <f>I109</f>
        <v>105</v>
      </c>
      <c r="J229" s="73">
        <f t="shared" si="56"/>
        <v>2038</v>
      </c>
      <c r="K229" s="74">
        <f t="shared" si="57"/>
        <v>50406</v>
      </c>
      <c r="M229" s="41">
        <v>2.0886076981620372E-2</v>
      </c>
      <c r="T229" s="176"/>
    </row>
    <row r="230" spans="2:20" outlineLevel="1">
      <c r="B230" s="78">
        <f t="shared" si="63"/>
        <v>50437</v>
      </c>
      <c r="C230" s="75">
        <v>211698.6345410645</v>
      </c>
      <c r="D230" s="71">
        <f>IF(F230&lt;&gt;0,VLOOKUP($J230,'Table 1'!$B$13:$C$33,2,FALSE)/12*1000*Study_MW,0)</f>
        <v>252487.24158122964</v>
      </c>
      <c r="E230" s="71">
        <f t="shared" si="65"/>
        <v>464185.87612229411</v>
      </c>
      <c r="F230" s="75">
        <v>11099.1923243</v>
      </c>
      <c r="G230" s="76">
        <f t="shared" si="66"/>
        <v>41.821590486906821</v>
      </c>
      <c r="I230" s="77">
        <f t="shared" ref="I230:I264" si="70">I110</f>
        <v>106</v>
      </c>
      <c r="J230" s="73">
        <f t="shared" si="56"/>
        <v>2038</v>
      </c>
      <c r="K230" s="78">
        <f t="shared" si="57"/>
        <v>50437</v>
      </c>
      <c r="M230" s="41">
        <v>2.0886076981620372E-2</v>
      </c>
      <c r="T230" s="176"/>
    </row>
    <row r="231" spans="2:20" outlineLevel="1">
      <c r="B231" s="78">
        <f t="shared" si="63"/>
        <v>50465</v>
      </c>
      <c r="C231" s="75">
        <v>620066.58102156222</v>
      </c>
      <c r="D231" s="71">
        <f>IF(F231&lt;&gt;0,VLOOKUP($J231,'Table 1'!$B$13:$C$33,2,FALSE)/12*1000*Study_MW,0)</f>
        <v>252487.24158122964</v>
      </c>
      <c r="E231" s="71">
        <f t="shared" si="65"/>
        <v>872553.82260279183</v>
      </c>
      <c r="F231" s="75">
        <v>15473.193863500001</v>
      </c>
      <c r="G231" s="76">
        <f t="shared" si="66"/>
        <v>56.391319743047681</v>
      </c>
      <c r="I231" s="77">
        <f t="shared" si="70"/>
        <v>107</v>
      </c>
      <c r="J231" s="73">
        <f t="shared" si="56"/>
        <v>2038</v>
      </c>
      <c r="K231" s="78">
        <f t="shared" si="57"/>
        <v>50465</v>
      </c>
      <c r="M231" s="41">
        <v>2.0886076981620372E-2</v>
      </c>
      <c r="T231" s="176"/>
    </row>
    <row r="232" spans="2:20" outlineLevel="1">
      <c r="B232" s="78">
        <f t="shared" si="63"/>
        <v>50496</v>
      </c>
      <c r="C232" s="75">
        <v>142063.0302015841</v>
      </c>
      <c r="D232" s="71">
        <f>IF(F232&lt;&gt;0,VLOOKUP($J232,'Table 1'!$B$13:$C$33,2,FALSE)/12*1000*Study_MW,0)</f>
        <v>252487.24158122964</v>
      </c>
      <c r="E232" s="71">
        <f t="shared" si="65"/>
        <v>394550.27178281371</v>
      </c>
      <c r="F232" s="75">
        <v>18341.595580001998</v>
      </c>
      <c r="G232" s="76">
        <f t="shared" si="66"/>
        <v>21.511229492650862</v>
      </c>
      <c r="I232" s="77">
        <f t="shared" si="70"/>
        <v>108</v>
      </c>
      <c r="J232" s="73">
        <f t="shared" si="56"/>
        <v>2038</v>
      </c>
      <c r="K232" s="78">
        <f t="shared" si="57"/>
        <v>50496</v>
      </c>
      <c r="M232" s="41">
        <v>2.0886076981620372E-2</v>
      </c>
      <c r="T232" s="176"/>
    </row>
    <row r="233" spans="2:20" outlineLevel="1">
      <c r="B233" s="78">
        <f t="shared" si="63"/>
        <v>50526</v>
      </c>
      <c r="C233" s="75">
        <v>146646.36572466791</v>
      </c>
      <c r="D233" s="71">
        <f>IF(F233&lt;&gt;0,VLOOKUP($J233,'Table 1'!$B$13:$C$33,2,FALSE)/12*1000*Study_MW,0)</f>
        <v>252487.24158122964</v>
      </c>
      <c r="E233" s="71">
        <f t="shared" si="65"/>
        <v>399133.60730589752</v>
      </c>
      <c r="F233" s="75">
        <v>25099.980821599998</v>
      </c>
      <c r="G233" s="76">
        <f t="shared" si="66"/>
        <v>15.901749493068129</v>
      </c>
      <c r="I233" s="77">
        <f t="shared" si="70"/>
        <v>109</v>
      </c>
      <c r="J233" s="73">
        <f t="shared" si="56"/>
        <v>2038</v>
      </c>
      <c r="K233" s="78">
        <f t="shared" si="57"/>
        <v>50526</v>
      </c>
      <c r="M233" s="41">
        <v>2.0886076981620372E-2</v>
      </c>
      <c r="T233" s="176"/>
    </row>
    <row r="234" spans="2:20" outlineLevel="1">
      <c r="B234" s="78">
        <f t="shared" si="63"/>
        <v>50557</v>
      </c>
      <c r="C234" s="75">
        <v>242285.33905914426</v>
      </c>
      <c r="D234" s="71">
        <f>IF(F234&lt;&gt;0,VLOOKUP($J234,'Table 1'!$B$13:$C$33,2,FALSE)/12*1000*Study_MW,0)</f>
        <v>252487.24158122964</v>
      </c>
      <c r="E234" s="71">
        <f t="shared" si="65"/>
        <v>494772.58064037387</v>
      </c>
      <c r="F234" s="75">
        <v>22996.07298863</v>
      </c>
      <c r="G234" s="76">
        <f t="shared" si="66"/>
        <v>21.515524884836005</v>
      </c>
      <c r="I234" s="77">
        <f t="shared" si="70"/>
        <v>110</v>
      </c>
      <c r="J234" s="73">
        <f t="shared" si="56"/>
        <v>2038</v>
      </c>
      <c r="K234" s="78">
        <f t="shared" si="57"/>
        <v>50557</v>
      </c>
      <c r="M234" s="41">
        <v>2.0886076981620372E-2</v>
      </c>
      <c r="T234" s="176"/>
    </row>
    <row r="235" spans="2:20" outlineLevel="1">
      <c r="B235" s="78">
        <f t="shared" si="63"/>
        <v>50587</v>
      </c>
      <c r="C235" s="75">
        <v>461074.84527048469</v>
      </c>
      <c r="D235" s="71">
        <f>IF(F235&lt;&gt;0,VLOOKUP($J235,'Table 1'!$B$13:$C$33,2,FALSE)/12*1000*Study_MW,0)</f>
        <v>252487.24158122964</v>
      </c>
      <c r="E235" s="71">
        <f t="shared" si="65"/>
        <v>713562.0868517143</v>
      </c>
      <c r="F235" s="75">
        <v>23456.425631270002</v>
      </c>
      <c r="G235" s="76">
        <f t="shared" si="66"/>
        <v>30.420751143791378</v>
      </c>
      <c r="I235" s="77">
        <f t="shared" si="70"/>
        <v>111</v>
      </c>
      <c r="J235" s="73">
        <f t="shared" si="56"/>
        <v>2038</v>
      </c>
      <c r="K235" s="78">
        <f t="shared" si="57"/>
        <v>50587</v>
      </c>
      <c r="M235" s="41">
        <v>2.0886076981620372E-2</v>
      </c>
      <c r="T235" s="176"/>
    </row>
    <row r="236" spans="2:20" outlineLevel="1">
      <c r="B236" s="78">
        <f t="shared" si="63"/>
        <v>50618</v>
      </c>
      <c r="C236" s="75">
        <v>367252.91651901603</v>
      </c>
      <c r="D236" s="71">
        <f>IF(F236&lt;&gt;0,VLOOKUP($J236,'Table 1'!$B$13:$C$33,2,FALSE)/12*1000*Study_MW,0)</f>
        <v>252487.24158122964</v>
      </c>
      <c r="E236" s="71">
        <f t="shared" si="65"/>
        <v>619740.15810024564</v>
      </c>
      <c r="F236" s="75">
        <v>21053.417288052999</v>
      </c>
      <c r="G236" s="76">
        <f t="shared" si="66"/>
        <v>29.436558902574181</v>
      </c>
      <c r="I236" s="77">
        <f t="shared" si="70"/>
        <v>112</v>
      </c>
      <c r="J236" s="73">
        <f t="shared" si="56"/>
        <v>2038</v>
      </c>
      <c r="K236" s="78">
        <f t="shared" si="57"/>
        <v>50618</v>
      </c>
      <c r="M236" s="41">
        <v>2.0886076981620372E-2</v>
      </c>
      <c r="T236" s="176"/>
    </row>
    <row r="237" spans="2:20" outlineLevel="1">
      <c r="B237" s="78">
        <f t="shared" si="63"/>
        <v>50649</v>
      </c>
      <c r="C237" s="75">
        <v>217692.35311159492</v>
      </c>
      <c r="D237" s="71">
        <f>IF(F237&lt;&gt;0,VLOOKUP($J237,'Table 1'!$B$13:$C$33,2,FALSE)/12*1000*Study_MW,0)</f>
        <v>252487.24158122964</v>
      </c>
      <c r="E237" s="71">
        <f t="shared" si="65"/>
        <v>470179.59469282452</v>
      </c>
      <c r="F237" s="75">
        <v>20088.404555720001</v>
      </c>
      <c r="G237" s="76">
        <f t="shared" si="66"/>
        <v>23.405521995968812</v>
      </c>
      <c r="I237" s="77">
        <f t="shared" si="70"/>
        <v>113</v>
      </c>
      <c r="J237" s="73">
        <f t="shared" si="56"/>
        <v>2038</v>
      </c>
      <c r="K237" s="78">
        <f t="shared" si="57"/>
        <v>50649</v>
      </c>
      <c r="M237" s="41">
        <v>2.0886076981620372E-2</v>
      </c>
      <c r="T237" s="176"/>
    </row>
    <row r="238" spans="2:20" outlineLevel="1">
      <c r="B238" s="78">
        <f t="shared" si="63"/>
        <v>50679</v>
      </c>
      <c r="C238" s="75">
        <v>99061.029896736145</v>
      </c>
      <c r="D238" s="71">
        <f>IF(F238&lt;&gt;0,VLOOKUP($J238,'Table 1'!$B$13:$C$33,2,FALSE)/12*1000*Study_MW,0)</f>
        <v>252487.24158122964</v>
      </c>
      <c r="E238" s="71">
        <f t="shared" si="65"/>
        <v>351548.27147796575</v>
      </c>
      <c r="F238" s="75">
        <v>16784.737695723001</v>
      </c>
      <c r="G238" s="76">
        <f t="shared" si="66"/>
        <v>20.944519828126086</v>
      </c>
      <c r="I238" s="77">
        <f t="shared" si="70"/>
        <v>114</v>
      </c>
      <c r="J238" s="73">
        <f t="shared" si="56"/>
        <v>2038</v>
      </c>
      <c r="K238" s="78">
        <f t="shared" si="57"/>
        <v>50679</v>
      </c>
      <c r="M238" s="41">
        <v>2.0886076981620372E-2</v>
      </c>
      <c r="T238" s="176"/>
    </row>
    <row r="239" spans="2:20" outlineLevel="1">
      <c r="B239" s="78">
        <f t="shared" si="63"/>
        <v>50710</v>
      </c>
      <c r="C239" s="75">
        <v>256040.14159017801</v>
      </c>
      <c r="D239" s="71">
        <f>IF(F239&lt;&gt;0,VLOOKUP($J239,'Table 1'!$B$13:$C$33,2,FALSE)/12*1000*Study_MW,0)</f>
        <v>252487.24158122964</v>
      </c>
      <c r="E239" s="71">
        <f t="shared" si="65"/>
        <v>508527.38317140762</v>
      </c>
      <c r="F239" s="75">
        <v>11862.5287193</v>
      </c>
      <c r="G239" s="76">
        <f t="shared" si="66"/>
        <v>42.868379517096372</v>
      </c>
      <c r="I239" s="77">
        <f t="shared" si="70"/>
        <v>115</v>
      </c>
      <c r="J239" s="73">
        <f t="shared" si="56"/>
        <v>2038</v>
      </c>
      <c r="K239" s="78">
        <f t="shared" si="57"/>
        <v>50710</v>
      </c>
      <c r="M239" s="41">
        <v>2.0886076981620372E-2</v>
      </c>
      <c r="T239" s="176"/>
    </row>
    <row r="240" spans="2:20" outlineLevel="1">
      <c r="B240" s="82">
        <f t="shared" si="63"/>
        <v>50740</v>
      </c>
      <c r="C240" s="79">
        <v>188308.47822862864</v>
      </c>
      <c r="D240" s="80">
        <f>IF(F240&lt;&gt;0,VLOOKUP($J240,'Table 1'!$B$13:$C$33,2,FALSE)/12*1000*Study_MW,0)</f>
        <v>252487.24158122964</v>
      </c>
      <c r="E240" s="80">
        <f t="shared" si="65"/>
        <v>440795.71980985824</v>
      </c>
      <c r="F240" s="79">
        <v>8478.4406913500006</v>
      </c>
      <c r="G240" s="81">
        <f t="shared" si="66"/>
        <v>51.990187330032668</v>
      </c>
      <c r="I240" s="64">
        <f t="shared" si="70"/>
        <v>116</v>
      </c>
      <c r="J240" s="73">
        <f t="shared" si="56"/>
        <v>2038</v>
      </c>
      <c r="K240" s="82">
        <f t="shared" si="57"/>
        <v>50740</v>
      </c>
      <c r="M240" s="41">
        <v>2.0886076981620372E-2</v>
      </c>
      <c r="T240" s="176"/>
    </row>
    <row r="241" spans="2:20" hidden="1" outlineLevel="1">
      <c r="B241" s="192">
        <f t="shared" ref="B241:B252" si="71">EDATE(B240,1)</f>
        <v>50771</v>
      </c>
      <c r="C241" s="184">
        <f t="shared" ref="C241:C252" si="72">(C229*(1+M241))*IF(AND(MONTH(K241)=2,OR(J229=2036,J229=2040)),28/29,1)</f>
        <v>248294.48920055994</v>
      </c>
      <c r="D241" s="185">
        <f>IF(ISNUMBER($F241)*SUM(F241:F252)&lt;&gt;0,VLOOKUP($J241,'Table 1'!$B$13:$C$33,2,FALSE)/12*1000*Study_MW,0)</f>
        <v>257719.49738294561</v>
      </c>
      <c r="E241" s="185">
        <f t="shared" ref="E241:E252" si="73">C241+D241</f>
        <v>506013.98658350552</v>
      </c>
      <c r="F241" s="184">
        <v>11379.590106989999</v>
      </c>
      <c r="G241" s="186">
        <f t="shared" ref="G241:G252" si="74">IFERROR(E241/$F241,0)</f>
        <v>44.466802567228022</v>
      </c>
      <c r="I241" s="60">
        <f>I121</f>
        <v>118</v>
      </c>
      <c r="J241" s="73">
        <f t="shared" si="56"/>
        <v>2039</v>
      </c>
      <c r="K241" s="74">
        <f t="shared" si="57"/>
        <v>50771</v>
      </c>
      <c r="M241" s="41">
        <v>2.0755199547329406E-2</v>
      </c>
      <c r="T241" s="176"/>
    </row>
    <row r="242" spans="2:20" hidden="1" outlineLevel="1">
      <c r="B242" s="193">
        <f t="shared" si="71"/>
        <v>50802</v>
      </c>
      <c r="C242" s="178">
        <f t="shared" si="72"/>
        <v>216092.48194486144</v>
      </c>
      <c r="D242" s="179">
        <f>IF(ISNUMBER($F242)*SUM(F242:F253)&lt;&gt;0,VLOOKUP($J242,'Table 1'!$B$13:$C$33,2,FALSE)/12*1000*Study_MW,0)</f>
        <v>257719.49738294561</v>
      </c>
      <c r="E242" s="179">
        <f t="shared" si="73"/>
        <v>473811.97932780709</v>
      </c>
      <c r="F242" s="178">
        <v>11099.1923243</v>
      </c>
      <c r="G242" s="180">
        <f t="shared" si="74"/>
        <v>42.688870098274407</v>
      </c>
      <c r="I242" s="77">
        <f t="shared" si="70"/>
        <v>119</v>
      </c>
      <c r="J242" s="73">
        <f t="shared" si="56"/>
        <v>2039</v>
      </c>
      <c r="K242" s="78">
        <f t="shared" si="57"/>
        <v>50802</v>
      </c>
      <c r="M242" s="41">
        <v>2.0755199547329406E-2</v>
      </c>
      <c r="T242" s="176"/>
    </row>
    <row r="243" spans="2:20" hidden="1" outlineLevel="1">
      <c r="B243" s="193">
        <f t="shared" si="71"/>
        <v>50830</v>
      </c>
      <c r="C243" s="178">
        <f t="shared" si="72"/>
        <v>632936.18664329499</v>
      </c>
      <c r="D243" s="179">
        <f>IF(ISNUMBER($F243)*SUM(F243:F254)&lt;&gt;0,VLOOKUP($J243,'Table 1'!$B$13:$C$33,2,FALSE)/12*1000*Study_MW,0)</f>
        <v>257719.49738294561</v>
      </c>
      <c r="E243" s="179">
        <f t="shared" si="73"/>
        <v>890655.6840262406</v>
      </c>
      <c r="F243" s="178">
        <v>15473.193863500001</v>
      </c>
      <c r="G243" s="180">
        <f t="shared" si="74"/>
        <v>57.56120500288079</v>
      </c>
      <c r="I243" s="77">
        <f t="shared" si="70"/>
        <v>120</v>
      </c>
      <c r="J243" s="73">
        <f t="shared" si="56"/>
        <v>2039</v>
      </c>
      <c r="K243" s="78">
        <f t="shared" si="57"/>
        <v>50830</v>
      </c>
      <c r="M243" s="41">
        <v>2.0755199547329406E-2</v>
      </c>
      <c r="T243" s="176"/>
    </row>
    <row r="244" spans="2:20" hidden="1" outlineLevel="1">
      <c r="B244" s="193">
        <f t="shared" si="71"/>
        <v>50861</v>
      </c>
      <c r="C244" s="178">
        <f t="shared" si="72"/>
        <v>145011.57674171627</v>
      </c>
      <c r="D244" s="179">
        <f>IF(ISNUMBER($F244)*SUM(F244:F255)&lt;&gt;0,VLOOKUP($J244,'Table 1'!$B$13:$C$33,2,FALSE)/12*1000*Study_MW,0)</f>
        <v>257719.49738294561</v>
      </c>
      <c r="E244" s="179">
        <f t="shared" si="73"/>
        <v>402731.07412466186</v>
      </c>
      <c r="F244" s="178">
        <v>18341.595580001998</v>
      </c>
      <c r="G244" s="180">
        <f t="shared" si="74"/>
        <v>21.95725406593105</v>
      </c>
      <c r="I244" s="77">
        <f t="shared" si="70"/>
        <v>121</v>
      </c>
      <c r="J244" s="73">
        <f t="shared" si="56"/>
        <v>2039</v>
      </c>
      <c r="K244" s="78">
        <f t="shared" si="57"/>
        <v>50861</v>
      </c>
      <c r="M244" s="41">
        <v>2.0755199547329406E-2</v>
      </c>
      <c r="T244" s="176"/>
    </row>
    <row r="245" spans="2:20" hidden="1" outlineLevel="1">
      <c r="B245" s="193">
        <f t="shared" si="71"/>
        <v>50891</v>
      </c>
      <c r="C245" s="178">
        <f t="shared" si="72"/>
        <v>149690.04030817404</v>
      </c>
      <c r="D245" s="179">
        <f>IF(ISNUMBER($F245)*SUM(F245:F256)&lt;&gt;0,VLOOKUP($J245,'Table 1'!$B$13:$C$33,2,FALSE)/12*1000*Study_MW,0)</f>
        <v>257719.49738294561</v>
      </c>
      <c r="E245" s="179">
        <f t="shared" si="73"/>
        <v>407409.53769111965</v>
      </c>
      <c r="F245" s="178">
        <v>25099.980821599998</v>
      </c>
      <c r="G245" s="180">
        <f t="shared" si="74"/>
        <v>16.231468087040128</v>
      </c>
      <c r="I245" s="77">
        <f t="shared" si="70"/>
        <v>122</v>
      </c>
      <c r="J245" s="73">
        <f t="shared" si="56"/>
        <v>2039</v>
      </c>
      <c r="K245" s="78">
        <f t="shared" si="57"/>
        <v>50891</v>
      </c>
      <c r="M245" s="41">
        <v>2.0755199547329406E-2</v>
      </c>
      <c r="T245" s="176"/>
    </row>
    <row r="246" spans="2:20" hidden="1" outlineLevel="1">
      <c r="B246" s="193">
        <f t="shared" si="71"/>
        <v>50922</v>
      </c>
      <c r="C246" s="178">
        <f t="shared" si="72"/>
        <v>247314.01961870916</v>
      </c>
      <c r="D246" s="179">
        <f>IF(ISNUMBER($F246)*SUM(F246:F257)&lt;&gt;0,VLOOKUP($J246,'Table 1'!$B$13:$C$33,2,FALSE)/12*1000*Study_MW,0)</f>
        <v>257719.49738294561</v>
      </c>
      <c r="E246" s="179">
        <f t="shared" si="73"/>
        <v>505033.51700165478</v>
      </c>
      <c r="F246" s="178">
        <v>22996.07298863</v>
      </c>
      <c r="G246" s="180">
        <f t="shared" si="74"/>
        <v>21.961728737396147</v>
      </c>
      <c r="I246" s="77">
        <f t="shared" si="70"/>
        <v>123</v>
      </c>
      <c r="J246" s="73">
        <f t="shared" si="56"/>
        <v>2039</v>
      </c>
      <c r="K246" s="78">
        <f t="shared" si="57"/>
        <v>50922</v>
      </c>
      <c r="M246" s="41">
        <v>2.0755199547329406E-2</v>
      </c>
      <c r="T246" s="176"/>
    </row>
    <row r="247" spans="2:20" hidden="1" outlineLevel="1">
      <c r="B247" s="193">
        <f t="shared" si="71"/>
        <v>50952</v>
      </c>
      <c r="C247" s="178">
        <f t="shared" si="72"/>
        <v>470644.54569032765</v>
      </c>
      <c r="D247" s="179">
        <f>IF(ISNUMBER($F247)*SUM(F247:F258)&lt;&gt;0,VLOOKUP($J247,'Table 1'!$B$13:$C$33,2,FALSE)/12*1000*Study_MW,0)</f>
        <v>257719.49738294561</v>
      </c>
      <c r="E247" s="179">
        <f t="shared" si="73"/>
        <v>728364.04307327326</v>
      </c>
      <c r="F247" s="178">
        <v>23456.425631270002</v>
      </c>
      <c r="G247" s="180">
        <f t="shared" si="74"/>
        <v>31.051791714688349</v>
      </c>
      <c r="I247" s="77">
        <f t="shared" si="70"/>
        <v>124</v>
      </c>
      <c r="J247" s="73">
        <f t="shared" si="56"/>
        <v>2039</v>
      </c>
      <c r="K247" s="78">
        <f t="shared" si="57"/>
        <v>50952</v>
      </c>
      <c r="M247" s="41">
        <v>2.0755199547329406E-2</v>
      </c>
      <c r="T247" s="176"/>
    </row>
    <row r="248" spans="2:20" hidden="1" outlineLevel="1">
      <c r="B248" s="193">
        <f t="shared" si="71"/>
        <v>50983</v>
      </c>
      <c r="C248" s="178">
        <f t="shared" si="72"/>
        <v>374875.3240857069</v>
      </c>
      <c r="D248" s="179">
        <f>IF(ISNUMBER($F248)*SUM(F248:F259)&lt;&gt;0,VLOOKUP($J248,'Table 1'!$B$13:$C$33,2,FALSE)/12*1000*Study_MW,0)</f>
        <v>257719.49738294561</v>
      </c>
      <c r="E248" s="179">
        <f t="shared" si="73"/>
        <v>632594.82146865246</v>
      </c>
      <c r="F248" s="178">
        <v>21053.417288052999</v>
      </c>
      <c r="G248" s="180">
        <f t="shared" si="74"/>
        <v>30.04713262524016</v>
      </c>
      <c r="I248" s="77">
        <f t="shared" si="70"/>
        <v>125</v>
      </c>
      <c r="J248" s="73">
        <f t="shared" si="56"/>
        <v>2039</v>
      </c>
      <c r="K248" s="78">
        <f t="shared" si="57"/>
        <v>50983</v>
      </c>
      <c r="M248" s="41">
        <v>2.0755199547329406E-2</v>
      </c>
      <c r="T248" s="176"/>
    </row>
    <row r="249" spans="2:20" hidden="1" outlineLevel="1">
      <c r="B249" s="193">
        <f t="shared" si="71"/>
        <v>51014</v>
      </c>
      <c r="C249" s="178">
        <f t="shared" si="72"/>
        <v>222210.60134035375</v>
      </c>
      <c r="D249" s="179">
        <f>IF(ISNUMBER($F249)*SUM(F249:F260)&lt;&gt;0,VLOOKUP($J249,'Table 1'!$B$13:$C$33,2,FALSE)/12*1000*Study_MW,0)</f>
        <v>257719.49738294561</v>
      </c>
      <c r="E249" s="179">
        <f t="shared" si="73"/>
        <v>479930.09872329934</v>
      </c>
      <c r="F249" s="178">
        <v>20088.404555720001</v>
      </c>
      <c r="G249" s="180">
        <f t="shared" si="74"/>
        <v>23.890901708600019</v>
      </c>
      <c r="I249" s="77">
        <f t="shared" si="70"/>
        <v>126</v>
      </c>
      <c r="J249" s="73">
        <f t="shared" si="56"/>
        <v>2039</v>
      </c>
      <c r="K249" s="78">
        <f t="shared" si="57"/>
        <v>51014</v>
      </c>
      <c r="M249" s="41">
        <v>2.0755199547329406E-2</v>
      </c>
      <c r="T249" s="176"/>
    </row>
    <row r="250" spans="2:20" hidden="1" outlineLevel="1">
      <c r="B250" s="193">
        <f t="shared" si="71"/>
        <v>51044</v>
      </c>
      <c r="C250" s="178">
        <f t="shared" si="72"/>
        <v>101117.06133960687</v>
      </c>
      <c r="D250" s="179">
        <f>IF(ISNUMBER($F250)*SUM(F250:F261)&lt;&gt;0,VLOOKUP($J250,'Table 1'!$B$13:$C$33,2,FALSE)/12*1000*Study_MW,0)</f>
        <v>257719.49738294561</v>
      </c>
      <c r="E250" s="179">
        <f t="shared" si="73"/>
        <v>358836.55872255249</v>
      </c>
      <c r="F250" s="178">
        <v>16784.737695723001</v>
      </c>
      <c r="G250" s="180">
        <f t="shared" si="74"/>
        <v>21.378740926883196</v>
      </c>
      <c r="I250" s="77">
        <f t="shared" si="70"/>
        <v>127</v>
      </c>
      <c r="J250" s="73">
        <f t="shared" si="56"/>
        <v>2039</v>
      </c>
      <c r="K250" s="78">
        <f t="shared" si="57"/>
        <v>51044</v>
      </c>
      <c r="M250" s="41">
        <v>2.0755199547329406E-2</v>
      </c>
      <c r="T250" s="176"/>
    </row>
    <row r="251" spans="2:20" hidden="1" outlineLevel="1">
      <c r="B251" s="193">
        <f t="shared" si="71"/>
        <v>51075</v>
      </c>
      <c r="C251" s="178">
        <f t="shared" si="72"/>
        <v>261354.30582100863</v>
      </c>
      <c r="D251" s="179">
        <f>IF(ISNUMBER($F251)*SUM(F251:F262)&lt;&gt;0,VLOOKUP($J251,'Table 1'!$B$13:$C$33,2,FALSE)/12*1000*Study_MW,0)</f>
        <v>257719.49738294561</v>
      </c>
      <c r="E251" s="179">
        <f t="shared" si="73"/>
        <v>519073.80320395424</v>
      </c>
      <c r="F251" s="178">
        <v>11862.5287193</v>
      </c>
      <c r="G251" s="180">
        <f t="shared" si="74"/>
        <v>43.757432794193008</v>
      </c>
      <c r="I251" s="77">
        <f t="shared" si="70"/>
        <v>128</v>
      </c>
      <c r="J251" s="73">
        <f t="shared" si="56"/>
        <v>2039</v>
      </c>
      <c r="K251" s="78">
        <f t="shared" si="57"/>
        <v>51075</v>
      </c>
      <c r="M251" s="41">
        <v>2.0755199547329406E-2</v>
      </c>
      <c r="O251" s="176"/>
      <c r="P251" s="176"/>
      <c r="T251" s="176"/>
    </row>
    <row r="252" spans="2:20" hidden="1" outlineLevel="1" collapsed="1">
      <c r="B252" s="194">
        <f t="shared" si="71"/>
        <v>51105</v>
      </c>
      <c r="C252" s="181">
        <f t="shared" si="72"/>
        <v>192216.85827071776</v>
      </c>
      <c r="D252" s="182">
        <f>IF(ISNUMBER($F252)*SUM(F252:F263)&lt;&gt;0,VLOOKUP($J252,'Table 1'!$B$13:$C$33,2,FALSE)/12*1000*Study_MW,0)</f>
        <v>257719.49738294561</v>
      </c>
      <c r="E252" s="182">
        <f t="shared" si="73"/>
        <v>449936.3556536634</v>
      </c>
      <c r="F252" s="181">
        <v>8478.4406913500006</v>
      </c>
      <c r="G252" s="183">
        <f t="shared" si="74"/>
        <v>53.068290742742832</v>
      </c>
      <c r="I252" s="64">
        <f t="shared" si="70"/>
        <v>129</v>
      </c>
      <c r="J252" s="73">
        <f t="shared" si="56"/>
        <v>2039</v>
      </c>
      <c r="K252" s="82">
        <f t="shared" si="57"/>
        <v>51105</v>
      </c>
      <c r="M252" s="41">
        <v>2.0755199547329406E-2</v>
      </c>
      <c r="O252" s="176"/>
      <c r="P252" s="176"/>
      <c r="T252" s="176"/>
    </row>
    <row r="253" spans="2:20" hidden="1" outlineLevel="1">
      <c r="B253" s="192"/>
      <c r="C253" s="184"/>
      <c r="D253" s="185"/>
      <c r="E253" s="185"/>
      <c r="F253" s="184"/>
      <c r="G253" s="186"/>
      <c r="I253" s="60">
        <f>I133</f>
        <v>1</v>
      </c>
      <c r="J253" s="73">
        <f t="shared" si="56"/>
        <v>1900</v>
      </c>
      <c r="K253" s="74" t="str">
        <f t="shared" si="57"/>
        <v/>
      </c>
      <c r="M253" s="41" t="e">
        <v>#N/A</v>
      </c>
      <c r="O253" s="176"/>
      <c r="P253" s="176"/>
      <c r="T253" s="176"/>
    </row>
    <row r="254" spans="2:20" hidden="1" outlineLevel="1">
      <c r="B254" s="193"/>
      <c r="C254" s="178"/>
      <c r="D254" s="179"/>
      <c r="E254" s="179"/>
      <c r="F254" s="178"/>
      <c r="G254" s="180"/>
      <c r="I254" s="77">
        <f t="shared" si="70"/>
        <v>2</v>
      </c>
      <c r="J254" s="73">
        <f t="shared" si="56"/>
        <v>1900</v>
      </c>
      <c r="K254" s="78" t="str">
        <f t="shared" si="57"/>
        <v/>
      </c>
      <c r="M254" s="41" t="e">
        <v>#N/A</v>
      </c>
      <c r="O254" s="176"/>
      <c r="P254" s="176"/>
      <c r="T254" s="176"/>
    </row>
    <row r="255" spans="2:20" hidden="1" outlineLevel="1">
      <c r="B255" s="193"/>
      <c r="C255" s="178"/>
      <c r="D255" s="179"/>
      <c r="E255" s="179"/>
      <c r="F255" s="178"/>
      <c r="G255" s="180"/>
      <c r="I255" s="77">
        <f t="shared" si="70"/>
        <v>3</v>
      </c>
      <c r="J255" s="73">
        <f t="shared" si="56"/>
        <v>1900</v>
      </c>
      <c r="K255" s="78" t="str">
        <f t="shared" si="57"/>
        <v/>
      </c>
      <c r="M255" s="41" t="e">
        <v>#N/A</v>
      </c>
      <c r="O255" s="176"/>
      <c r="P255" s="176"/>
      <c r="T255" s="176"/>
    </row>
    <row r="256" spans="2:20" hidden="1" outlineLevel="1">
      <c r="B256" s="193"/>
      <c r="C256" s="178"/>
      <c r="D256" s="179"/>
      <c r="E256" s="179"/>
      <c r="F256" s="178"/>
      <c r="G256" s="180"/>
      <c r="I256" s="77">
        <f t="shared" si="70"/>
        <v>4</v>
      </c>
      <c r="J256" s="73">
        <f t="shared" si="56"/>
        <v>1900</v>
      </c>
      <c r="K256" s="78" t="str">
        <f t="shared" si="57"/>
        <v/>
      </c>
      <c r="M256" s="41" t="e">
        <v>#N/A</v>
      </c>
      <c r="O256" s="176"/>
      <c r="P256" s="176"/>
      <c r="T256" s="176"/>
    </row>
    <row r="257" spans="2:20" hidden="1" outlineLevel="1">
      <c r="B257" s="193"/>
      <c r="C257" s="178"/>
      <c r="D257" s="179"/>
      <c r="E257" s="179"/>
      <c r="F257" s="178"/>
      <c r="G257" s="180"/>
      <c r="I257" s="77">
        <f t="shared" si="70"/>
        <v>5</v>
      </c>
      <c r="J257" s="73">
        <f t="shared" ref="J257:J264" si="75">YEAR(B257)</f>
        <v>1900</v>
      </c>
      <c r="K257" s="78" t="str">
        <f t="shared" ref="K257:K264" si="76">IF(ISNUMBER(F257),IF(F257&lt;&gt;0,B257,""),"")</f>
        <v/>
      </c>
      <c r="M257" s="41" t="e">
        <v>#N/A</v>
      </c>
      <c r="O257" s="176"/>
      <c r="P257" s="176"/>
      <c r="T257" s="176"/>
    </row>
    <row r="258" spans="2:20" hidden="1" outlineLevel="1">
      <c r="B258" s="193"/>
      <c r="C258" s="178"/>
      <c r="D258" s="179"/>
      <c r="E258" s="179"/>
      <c r="F258" s="178"/>
      <c r="G258" s="180"/>
      <c r="I258" s="77">
        <f t="shared" si="70"/>
        <v>6</v>
      </c>
      <c r="J258" s="73">
        <f t="shared" si="75"/>
        <v>1900</v>
      </c>
      <c r="K258" s="78" t="str">
        <f t="shared" si="76"/>
        <v/>
      </c>
      <c r="M258" s="41" t="e">
        <v>#N/A</v>
      </c>
      <c r="O258" s="176"/>
      <c r="P258" s="176"/>
      <c r="T258" s="176"/>
    </row>
    <row r="259" spans="2:20" hidden="1" outlineLevel="1">
      <c r="B259" s="193"/>
      <c r="C259" s="178"/>
      <c r="D259" s="179"/>
      <c r="E259" s="179"/>
      <c r="F259" s="178"/>
      <c r="G259" s="180"/>
      <c r="I259" s="77">
        <f t="shared" si="70"/>
        <v>7</v>
      </c>
      <c r="J259" s="73">
        <f t="shared" si="75"/>
        <v>1900</v>
      </c>
      <c r="K259" s="78" t="str">
        <f t="shared" si="76"/>
        <v/>
      </c>
      <c r="M259" s="41" t="e">
        <v>#N/A</v>
      </c>
      <c r="O259" s="176"/>
      <c r="P259" s="176"/>
    </row>
    <row r="260" spans="2:20" hidden="1" outlineLevel="1">
      <c r="B260" s="193"/>
      <c r="C260" s="178"/>
      <c r="D260" s="179"/>
      <c r="E260" s="179"/>
      <c r="F260" s="178"/>
      <c r="G260" s="180"/>
      <c r="I260" s="77">
        <f t="shared" si="70"/>
        <v>8</v>
      </c>
      <c r="J260" s="73">
        <f t="shared" si="75"/>
        <v>1900</v>
      </c>
      <c r="K260" s="78" t="str">
        <f t="shared" si="76"/>
        <v/>
      </c>
      <c r="M260" s="41" t="e">
        <v>#N/A</v>
      </c>
      <c r="O260" s="176"/>
      <c r="P260" s="176"/>
    </row>
    <row r="261" spans="2:20" hidden="1" outlineLevel="1">
      <c r="B261" s="193"/>
      <c r="C261" s="178"/>
      <c r="D261" s="179"/>
      <c r="E261" s="179"/>
      <c r="F261" s="178"/>
      <c r="G261" s="180"/>
      <c r="I261" s="77">
        <f t="shared" si="70"/>
        <v>9</v>
      </c>
      <c r="J261" s="73">
        <f t="shared" si="75"/>
        <v>1900</v>
      </c>
      <c r="K261" s="78" t="str">
        <f t="shared" si="76"/>
        <v/>
      </c>
      <c r="M261" s="41" t="e">
        <v>#N/A</v>
      </c>
      <c r="O261" s="176"/>
      <c r="P261" s="176"/>
    </row>
    <row r="262" spans="2:20" hidden="1" outlineLevel="1">
      <c r="B262" s="193"/>
      <c r="C262" s="178"/>
      <c r="D262" s="179"/>
      <c r="E262" s="179"/>
      <c r="F262" s="178"/>
      <c r="G262" s="180"/>
      <c r="I262" s="77">
        <f t="shared" si="70"/>
        <v>10</v>
      </c>
      <c r="J262" s="73">
        <f t="shared" si="75"/>
        <v>1900</v>
      </c>
      <c r="K262" s="78" t="str">
        <f t="shared" si="76"/>
        <v/>
      </c>
      <c r="M262" s="41" t="e">
        <v>#N/A</v>
      </c>
    </row>
    <row r="263" spans="2:20" hidden="1" outlineLevel="1">
      <c r="B263" s="193"/>
      <c r="C263" s="178"/>
      <c r="D263" s="179"/>
      <c r="E263" s="179"/>
      <c r="F263" s="178"/>
      <c r="G263" s="180"/>
      <c r="I263" s="77">
        <f t="shared" si="70"/>
        <v>11</v>
      </c>
      <c r="J263" s="73">
        <f t="shared" si="75"/>
        <v>1900</v>
      </c>
      <c r="K263" s="78" t="str">
        <f t="shared" si="76"/>
        <v/>
      </c>
      <c r="M263" s="41" t="e">
        <v>#N/A</v>
      </c>
    </row>
    <row r="264" spans="2:20" hidden="1" outlineLevel="1">
      <c r="B264" s="194"/>
      <c r="C264" s="181"/>
      <c r="D264" s="182"/>
      <c r="E264" s="182"/>
      <c r="F264" s="181"/>
      <c r="G264" s="183"/>
      <c r="I264" s="64">
        <f t="shared" si="70"/>
        <v>12</v>
      </c>
      <c r="J264" s="73">
        <f t="shared" si="75"/>
        <v>1900</v>
      </c>
      <c r="K264" s="82" t="str">
        <f t="shared" si="76"/>
        <v/>
      </c>
      <c r="M264" s="41" t="e">
        <v>#N/A</v>
      </c>
    </row>
    <row r="265" spans="2:20" hidden="1" outlineLevel="1">
      <c r="B265" s="192"/>
      <c r="C265" s="184"/>
      <c r="D265" s="185"/>
      <c r="E265" s="185"/>
      <c r="F265" s="184"/>
      <c r="G265" s="186"/>
      <c r="I265" s="60">
        <f>I145</f>
        <v>14</v>
      </c>
      <c r="J265" s="73">
        <f t="shared" ref="J265:J276" si="77">YEAR(B265)</f>
        <v>1900</v>
      </c>
      <c r="K265" s="74" t="str">
        <f t="shared" ref="K265:K276" si="78">IF(ISNUMBER(F265),IF(F265&lt;&gt;0,B265,""),"")</f>
        <v/>
      </c>
      <c r="M265" s="41" t="e">
        <v>#N/A</v>
      </c>
      <c r="O265" s="176"/>
      <c r="P265" s="176"/>
      <c r="T265" s="176"/>
    </row>
    <row r="266" spans="2:20" hidden="1" outlineLevel="1">
      <c r="B266" s="193"/>
      <c r="C266" s="178"/>
      <c r="D266" s="179"/>
      <c r="E266" s="179"/>
      <c r="F266" s="178"/>
      <c r="G266" s="180"/>
      <c r="I266" s="77">
        <f t="shared" ref="I266:I276" si="79">I146</f>
        <v>15</v>
      </c>
      <c r="J266" s="73">
        <f t="shared" si="77"/>
        <v>1900</v>
      </c>
      <c r="K266" s="78" t="str">
        <f t="shared" si="78"/>
        <v/>
      </c>
      <c r="M266" s="41" t="e">
        <v>#N/A</v>
      </c>
      <c r="O266" s="176"/>
      <c r="P266" s="176"/>
      <c r="T266" s="176"/>
    </row>
    <row r="267" spans="2:20" hidden="1" outlineLevel="1">
      <c r="B267" s="193"/>
      <c r="C267" s="178"/>
      <c r="D267" s="179"/>
      <c r="E267" s="179"/>
      <c r="F267" s="178"/>
      <c r="G267" s="180"/>
      <c r="I267" s="77">
        <f t="shared" si="79"/>
        <v>16</v>
      </c>
      <c r="J267" s="73">
        <f t="shared" si="77"/>
        <v>1900</v>
      </c>
      <c r="K267" s="78" t="str">
        <f t="shared" si="78"/>
        <v/>
      </c>
      <c r="M267" s="41" t="e">
        <v>#N/A</v>
      </c>
      <c r="O267" s="176"/>
      <c r="P267" s="176"/>
      <c r="T267" s="176"/>
    </row>
    <row r="268" spans="2:20" hidden="1" outlineLevel="1">
      <c r="B268" s="193"/>
      <c r="C268" s="178"/>
      <c r="D268" s="179"/>
      <c r="E268" s="179"/>
      <c r="F268" s="178"/>
      <c r="G268" s="180"/>
      <c r="I268" s="77">
        <f t="shared" si="79"/>
        <v>17</v>
      </c>
      <c r="J268" s="73">
        <f t="shared" si="77"/>
        <v>1900</v>
      </c>
      <c r="K268" s="78" t="str">
        <f t="shared" si="78"/>
        <v/>
      </c>
      <c r="M268" s="41" t="e">
        <v>#N/A</v>
      </c>
      <c r="O268" s="176"/>
      <c r="P268" s="176"/>
      <c r="T268" s="176"/>
    </row>
    <row r="269" spans="2:20" hidden="1" outlineLevel="1">
      <c r="B269" s="193"/>
      <c r="C269" s="178"/>
      <c r="D269" s="179"/>
      <c r="E269" s="179"/>
      <c r="F269" s="178"/>
      <c r="G269" s="180"/>
      <c r="I269" s="77">
        <f t="shared" si="79"/>
        <v>18</v>
      </c>
      <c r="J269" s="73">
        <f t="shared" si="77"/>
        <v>1900</v>
      </c>
      <c r="K269" s="78" t="str">
        <f t="shared" si="78"/>
        <v/>
      </c>
      <c r="M269" s="41" t="e">
        <v>#N/A</v>
      </c>
      <c r="O269" s="176"/>
      <c r="P269" s="176"/>
      <c r="T269" s="176"/>
    </row>
    <row r="270" spans="2:20" hidden="1" outlineLevel="1">
      <c r="B270" s="193"/>
      <c r="C270" s="178"/>
      <c r="D270" s="179"/>
      <c r="E270" s="179"/>
      <c r="F270" s="178"/>
      <c r="G270" s="180"/>
      <c r="I270" s="77">
        <f t="shared" si="79"/>
        <v>19</v>
      </c>
      <c r="J270" s="73">
        <f t="shared" si="77"/>
        <v>1900</v>
      </c>
      <c r="K270" s="78" t="str">
        <f t="shared" si="78"/>
        <v/>
      </c>
      <c r="M270" s="41" t="e">
        <v>#N/A</v>
      </c>
      <c r="O270" s="176"/>
      <c r="P270" s="176"/>
      <c r="T270" s="176"/>
    </row>
    <row r="271" spans="2:20" hidden="1" outlineLevel="1">
      <c r="B271" s="193"/>
      <c r="C271" s="178"/>
      <c r="D271" s="179"/>
      <c r="E271" s="179"/>
      <c r="F271" s="178"/>
      <c r="G271" s="180"/>
      <c r="I271" s="77">
        <f t="shared" si="79"/>
        <v>20</v>
      </c>
      <c r="J271" s="73">
        <f t="shared" si="77"/>
        <v>1900</v>
      </c>
      <c r="K271" s="78" t="str">
        <f t="shared" si="78"/>
        <v/>
      </c>
      <c r="M271" s="41" t="e">
        <v>#N/A</v>
      </c>
      <c r="O271" s="176"/>
      <c r="P271" s="176"/>
    </row>
    <row r="272" spans="2:20" hidden="1" outlineLevel="1">
      <c r="B272" s="193"/>
      <c r="C272" s="178"/>
      <c r="D272" s="179"/>
      <c r="E272" s="179"/>
      <c r="F272" s="178"/>
      <c r="G272" s="180"/>
      <c r="I272" s="77">
        <f t="shared" si="79"/>
        <v>21</v>
      </c>
      <c r="J272" s="73">
        <f t="shared" si="77"/>
        <v>1900</v>
      </c>
      <c r="K272" s="78" t="str">
        <f t="shared" si="78"/>
        <v/>
      </c>
      <c r="M272" s="41" t="e">
        <v>#N/A</v>
      </c>
      <c r="O272" s="176"/>
      <c r="P272" s="176"/>
    </row>
    <row r="273" spans="2:16" hidden="1" outlineLevel="1">
      <c r="B273" s="193"/>
      <c r="C273" s="178"/>
      <c r="D273" s="179"/>
      <c r="E273" s="179"/>
      <c r="F273" s="178"/>
      <c r="G273" s="180"/>
      <c r="I273" s="77">
        <f t="shared" si="79"/>
        <v>22</v>
      </c>
      <c r="J273" s="73">
        <f t="shared" si="77"/>
        <v>1900</v>
      </c>
      <c r="K273" s="78" t="str">
        <f t="shared" si="78"/>
        <v/>
      </c>
      <c r="M273" s="41" t="e">
        <v>#N/A</v>
      </c>
      <c r="O273" s="176"/>
      <c r="P273" s="176"/>
    </row>
    <row r="274" spans="2:16" hidden="1" outlineLevel="1">
      <c r="B274" s="193"/>
      <c r="C274" s="178"/>
      <c r="D274" s="179"/>
      <c r="E274" s="179"/>
      <c r="F274" s="178"/>
      <c r="G274" s="180"/>
      <c r="I274" s="77">
        <f t="shared" si="79"/>
        <v>23</v>
      </c>
      <c r="J274" s="73">
        <f t="shared" si="77"/>
        <v>1900</v>
      </c>
      <c r="K274" s="78" t="str">
        <f t="shared" si="78"/>
        <v/>
      </c>
      <c r="M274" s="41" t="e">
        <v>#N/A</v>
      </c>
    </row>
    <row r="275" spans="2:16" hidden="1" outlineLevel="1">
      <c r="B275" s="193"/>
      <c r="C275" s="178"/>
      <c r="D275" s="179"/>
      <c r="E275" s="179"/>
      <c r="F275" s="178"/>
      <c r="G275" s="180"/>
      <c r="I275" s="77">
        <f t="shared" si="79"/>
        <v>24</v>
      </c>
      <c r="J275" s="73">
        <f t="shared" si="77"/>
        <v>1900</v>
      </c>
      <c r="K275" s="78" t="str">
        <f t="shared" si="78"/>
        <v/>
      </c>
      <c r="M275" s="41" t="e">
        <v>#N/A</v>
      </c>
    </row>
    <row r="276" spans="2:16" hidden="1" outlineLevel="1">
      <c r="B276" s="194"/>
      <c r="C276" s="181"/>
      <c r="D276" s="182"/>
      <c r="E276" s="182"/>
      <c r="F276" s="181"/>
      <c r="G276" s="183"/>
      <c r="I276" s="64">
        <f t="shared" si="79"/>
        <v>25</v>
      </c>
      <c r="J276" s="73">
        <f t="shared" si="77"/>
        <v>1900</v>
      </c>
      <c r="K276" s="82" t="str">
        <f t="shared" si="78"/>
        <v/>
      </c>
      <c r="M276" s="41" t="e">
        <v>#N/A</v>
      </c>
    </row>
    <row r="277" spans="2:16" hidden="1"/>
  </sheetData>
  <printOptions horizontalCentered="1"/>
  <pageMargins left="0.25" right="0.25" top="0.75" bottom="0.75" header="0.3" footer="0.3"/>
  <pageSetup scale="8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zoomScale="60" zoomScaleNormal="100" workbookViewId="0">
      <selection activeCell="F34" sqref="F34"/>
    </sheetView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07" t="s">
        <v>163</v>
      </c>
      <c r="C1" s="407"/>
      <c r="D1" s="407"/>
      <c r="E1" s="407"/>
      <c r="F1" s="407"/>
      <c r="G1" s="407"/>
      <c r="H1" s="407"/>
      <c r="I1" s="407"/>
      <c r="J1" s="407"/>
      <c r="K1" s="407"/>
      <c r="M1" s="347"/>
    </row>
    <row r="2" spans="1:14">
      <c r="B2" s="166"/>
      <c r="C2" s="166"/>
      <c r="D2" s="166"/>
      <c r="E2" s="166"/>
      <c r="F2" s="166"/>
      <c r="G2" s="166"/>
      <c r="H2" s="166"/>
      <c r="I2" s="166"/>
      <c r="J2" s="166"/>
      <c r="K2" s="166"/>
      <c r="M2" s="166"/>
    </row>
    <row r="3" spans="1:14">
      <c r="A3" s="344" t="s">
        <v>106</v>
      </c>
      <c r="B3" s="345">
        <v>2024</v>
      </c>
      <c r="C3" s="345">
        <v>2030</v>
      </c>
      <c r="D3" s="345">
        <v>2024</v>
      </c>
      <c r="E3" s="345">
        <v>2024</v>
      </c>
      <c r="F3" s="345">
        <v>2024</v>
      </c>
      <c r="G3" s="345">
        <v>2024</v>
      </c>
      <c r="H3" s="345">
        <v>2029</v>
      </c>
      <c r="I3" s="345">
        <v>2024</v>
      </c>
      <c r="J3" s="345">
        <v>2030</v>
      </c>
      <c r="K3" s="345">
        <v>2026</v>
      </c>
      <c r="L3" s="345">
        <v>2029</v>
      </c>
      <c r="M3" s="345">
        <v>2032</v>
      </c>
    </row>
    <row r="4" spans="1:14" ht="51">
      <c r="B4" s="214" t="s">
        <v>162</v>
      </c>
      <c r="C4" s="214" t="s">
        <v>171</v>
      </c>
      <c r="D4" s="214" t="s">
        <v>170</v>
      </c>
      <c r="E4" s="214" t="s">
        <v>169</v>
      </c>
      <c r="F4" s="214" t="s">
        <v>167</v>
      </c>
      <c r="G4" s="214" t="s">
        <v>168</v>
      </c>
      <c r="H4" s="214" t="s">
        <v>168</v>
      </c>
      <c r="I4" s="214" t="s">
        <v>166</v>
      </c>
      <c r="J4" s="214" t="s">
        <v>166</v>
      </c>
      <c r="K4" s="214" t="s">
        <v>172</v>
      </c>
      <c r="L4" s="214" t="s">
        <v>177</v>
      </c>
      <c r="M4" s="214" t="s">
        <v>176</v>
      </c>
    </row>
    <row r="5" spans="1:14" hidden="1">
      <c r="A5" s="136">
        <v>2018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idden="1">
      <c r="A6" s="136">
        <f>A5+1</f>
        <v>2019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4" hidden="1">
      <c r="A7" s="136">
        <f t="shared" ref="A7:A46" si="0">A6+1</f>
        <v>2020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4" hidden="1">
      <c r="A8" s="136">
        <f t="shared" si="0"/>
        <v>2021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4" hidden="1">
      <c r="A9" s="136">
        <f t="shared" si="0"/>
        <v>2022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4" hidden="1">
      <c r="A10" s="136">
        <f t="shared" si="0"/>
        <v>2023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4">
      <c r="A11" s="136">
        <f t="shared" si="0"/>
        <v>2024</v>
      </c>
      <c r="B11" s="131">
        <f>INDEX('Table 3 WYAE Wind_2024'!$J$10:$J$36,MATCH($A11,'Table 3 WYAE Wind_2024'!$B$10:$B$36,0),1)</f>
        <v>23.315627401653863</v>
      </c>
      <c r="C11" s="131"/>
      <c r="D11" s="131">
        <f>INDEX('Table 3 PV wS YK_2024'!$I$10:$I$33,MATCH($A11,'Table 3 PV wS YK_2024'!$B$10:$B$33,0),1)</f>
        <v>41.520216560904331</v>
      </c>
      <c r="E11" s="131">
        <f>INDEX('Table 3 PV wS SO_2024'!$I$10:$I$33,MATCH($A11,'Table 3 PV wS SO_2024'!$B$10:$B$33,0),1)</f>
        <v>36.225894925663525</v>
      </c>
      <c r="F11" s="131">
        <f>INDEX('Table 3 PV wS UTN_2024'!$I$10:$I$33,MATCH($A11,'Table 3 PV wS UTN_2024'!$B$10:$B$33,0),1)</f>
        <v>35.440597682147882</v>
      </c>
      <c r="G11" s="131">
        <f>INDEX('Table 3 PV wS JB_2024'!$I$10:$I$33,MATCH($A11,'Table 3 PV wS JB_2024'!$B$10:$B$33,0),1)</f>
        <v>34.421764827712295</v>
      </c>
      <c r="H11" s="131"/>
      <c r="I11" s="131">
        <f>INDEX('Table 3 PV wS UTS_2024'!$I$10:$I$36,MATCH($A11,'Table 3 PV wS UTS_2024'!$B$10:$B$36,0),1)</f>
        <v>32.444245998025771</v>
      </c>
      <c r="J11" s="131"/>
      <c r="K11" s="131"/>
      <c r="L11" s="131"/>
      <c r="M11" s="131"/>
    </row>
    <row r="12" spans="1:14">
      <c r="A12" s="136">
        <f t="shared" si="0"/>
        <v>2025</v>
      </c>
      <c r="B12" s="131">
        <f>INDEX('Table 3 WYAE Wind_2024'!$J$10:$J$36,MATCH($A12,'Table 3 WYAE Wind_2024'!$B$10:$B$36,0),1)</f>
        <v>23.83980822266906</v>
      </c>
      <c r="C12" s="131"/>
      <c r="D12" s="131">
        <f>INDEX('Table 3 PV wS YK_2024'!$I$10:$I$33,MATCH($A12,'Table 3 PV wS YK_2024'!$B$10:$B$33,0),1)</f>
        <v>42.443800491745698</v>
      </c>
      <c r="E12" s="131">
        <f>INDEX('Table 3 PV wS SO_2024'!$I$10:$I$33,MATCH($A12,'Table 3 PV wS SO_2024'!$B$10:$B$33,0),1)</f>
        <v>37.033193425887497</v>
      </c>
      <c r="F12" s="131">
        <f>INDEX('Table 3 PV wS UTN_2024'!$I$10:$I$33,MATCH($A12,'Table 3 PV wS UTN_2024'!$B$10:$B$33,0),1)</f>
        <v>36.230070237715985</v>
      </c>
      <c r="G12" s="131">
        <f>INDEX('Table 3 PV wS JB_2024'!$I$10:$I$33,MATCH($A12,'Table 3 PV wS JB_2024'!$B$10:$B$33,0),1)</f>
        <v>35.187123591073899</v>
      </c>
      <c r="H12" s="131"/>
      <c r="I12" s="131">
        <f>INDEX('Table 3 PV wS UTS_2024'!$I$10:$I$36,MATCH($A12,'Table 3 PV wS UTS_2024'!$B$10:$B$36,0),1)</f>
        <v>33.168247277836322</v>
      </c>
      <c r="J12" s="131"/>
      <c r="K12" s="131"/>
      <c r="L12" s="131"/>
      <c r="M12" s="131"/>
    </row>
    <row r="13" spans="1:14">
      <c r="A13" s="136">
        <f t="shared" si="0"/>
        <v>2026</v>
      </c>
      <c r="B13" s="131">
        <f>INDEX('Table 3 WYAE Wind_2024'!$J$10:$J$36,MATCH($A13,'Table 3 WYAE Wind_2024'!$B$10:$B$36,0),1)</f>
        <v>24.372093797564695</v>
      </c>
      <c r="C13" s="131"/>
      <c r="D13" s="131">
        <f>INDEX('Table 3 PV wS YK_2024'!$I$10:$I$33,MATCH($A13,'Table 3 PV wS YK_2024'!$B$10:$B$33,0),1)</f>
        <v>43.378995433789953</v>
      </c>
      <c r="E13" s="131">
        <f>INDEX('Table 3 PV wS SO_2024'!$I$10:$I$33,MATCH($A13,'Table 3 PV wS SO_2024'!$B$10:$B$33,0),1)</f>
        <v>37.85188260074105</v>
      </c>
      <c r="F13" s="131">
        <f>INDEX('Table 3 PV wS UTN_2024'!$I$10:$I$33,MATCH($A13,'Table 3 PV wS UTN_2024'!$B$10:$B$33,0),1)</f>
        <v>37.030294755685013</v>
      </c>
      <c r="G13" s="131">
        <f>INDEX('Table 3 PV wS JB_2024'!$I$10:$I$33,MATCH($A13,'Table 3 PV wS JB_2024'!$B$10:$B$33,0),1)</f>
        <v>35.964592909479819</v>
      </c>
      <c r="H13" s="131"/>
      <c r="I13" s="131">
        <f>INDEX('Table 3 PV wS UTS_2024'!$I$10:$I$36,MATCH($A13,'Table 3 PV wS UTS_2024'!$B$10:$B$36,0),1)</f>
        <v>33.898840885142249</v>
      </c>
      <c r="J13" s="131"/>
      <c r="K13" s="131">
        <f>INDEX('Table 3 185 MW (NTN) 2026)'!$K$14:$K$41,MATCH($A13,'Table 3 185 MW (NTN) 2026)'!$B$14:$B$41,0),1)</f>
        <v>70.83</v>
      </c>
      <c r="L13" s="131"/>
      <c r="M13" s="131"/>
      <c r="N13" t="s">
        <v>173</v>
      </c>
    </row>
    <row r="14" spans="1:14">
      <c r="A14" s="136">
        <f t="shared" si="0"/>
        <v>2027</v>
      </c>
      <c r="B14" s="131">
        <f>INDEX('Table 3 WYAE Wind_2024'!$J$10:$J$36,MATCH($A14,'Table 3 WYAE Wind_2024'!$B$10:$B$36,0),1)</f>
        <v>25.923234555876729</v>
      </c>
      <c r="C14" s="131"/>
      <c r="D14" s="131">
        <f>INDEX('Table 3 PV wS YK_2024'!$I$10:$I$33,MATCH($A14,'Table 3 PV wS YK_2024'!$B$10:$B$33,0),1)</f>
        <v>44.34492448191078</v>
      </c>
      <c r="E14" s="131">
        <f>INDEX('Table 3 PV wS SO_2024'!$I$10:$I$33,MATCH($A14,'Table 3 PV wS SO_2024'!$B$10:$B$33,0),1)</f>
        <v>38.693633442491894</v>
      </c>
      <c r="F14" s="131">
        <f>INDEX('Table 3 PV wS UTN_2024'!$I$10:$I$33,MATCH($A14,'Table 3 PV wS UTN_2024'!$B$10:$B$33,0),1)</f>
        <v>37.853274473217134</v>
      </c>
      <c r="G14" s="131">
        <f>INDEX('Table 3 PV wS JB_2024'!$I$10:$I$33,MATCH($A14,'Table 3 PV wS JB_2024'!$B$10:$B$33,0),1)</f>
        <v>36.76481742744884</v>
      </c>
      <c r="H14" s="131"/>
      <c r="I14" s="131">
        <f>INDEX('Table 3 PV wS UTS_2024'!$I$10:$I$36,MATCH($A14,'Table 3 PV wS UTS_2024'!$B$10:$B$36,0),1)</f>
        <v>34.650509308043553</v>
      </c>
      <c r="J14" s="131"/>
      <c r="K14" s="131">
        <f>INDEX('Table 3 185 MW (NTN) 2026)'!$K$14:$K$41,MATCH($A14,'Table 3 185 MW (NTN) 2026)'!$B$14:$B$41,0),1)</f>
        <v>73.78</v>
      </c>
      <c r="L14" s="131"/>
      <c r="M14" s="131"/>
      <c r="N14" s="281">
        <v>2.2750000000000006E-2</v>
      </c>
    </row>
    <row r="15" spans="1:14">
      <c r="A15" s="136">
        <f t="shared" si="0"/>
        <v>2028</v>
      </c>
      <c r="B15" s="131">
        <f>INDEX('Table 3 WYAE Wind_2024'!$J$10:$J$36,MATCH($A15,'Table 3 WYAE Wind_2024'!$B$10:$B$36,0),1)</f>
        <v>26.488357883694299</v>
      </c>
      <c r="C15" s="131"/>
      <c r="D15" s="131">
        <f>INDEX('Table 3 PV wS YK_2024'!$I$10:$I$33,MATCH($A15,'Table 3 PV wS YK_2024'!$B$10:$B$33,0),1)</f>
        <v>45.341587636108187</v>
      </c>
      <c r="E15" s="131">
        <f>INDEX('Table 3 PV wS SO_2024'!$I$10:$I$33,MATCH($A15,'Table 3 PV wS SO_2024'!$B$10:$B$33,0),1)</f>
        <v>39.562289562289571</v>
      </c>
      <c r="F15" s="131">
        <f>INDEX('Table 3 PV wS UTN_2024'!$I$10:$I$33,MATCH($A15,'Table 3 PV wS UTN_2024'!$B$10:$B$33,0),1)</f>
        <v>38.702801923572864</v>
      </c>
      <c r="G15" s="131">
        <f>INDEX('Table 3 PV wS JB_2024'!$I$10:$I$33,MATCH($A15,'Table 3 PV wS JB_2024'!$B$10:$B$33,0),1)</f>
        <v>37.591589678241483</v>
      </c>
      <c r="H15" s="131"/>
      <c r="I15" s="131">
        <f>INDEX('Table 3 PV wS UTS_2024'!$I$10:$I$36,MATCH($A15,'Table 3 PV wS UTS_2024'!$B$10:$B$36,0),1)</f>
        <v>35.430277485072004</v>
      </c>
      <c r="J15" s="131"/>
      <c r="K15" s="131">
        <f>INDEX('Table 3 185 MW (NTN) 2026)'!$K$14:$K$41,MATCH($A15,'Table 3 185 MW (NTN) 2026)'!$B$14:$B$41,0),1)</f>
        <v>77.92</v>
      </c>
      <c r="L15" s="131"/>
      <c r="M15" s="131"/>
    </row>
    <row r="16" spans="1:14">
      <c r="A16" s="136">
        <f t="shared" si="0"/>
        <v>2029</v>
      </c>
      <c r="B16" s="131">
        <f>INDEX('Table 3 WYAE Wind_2024'!$J$10:$J$36,MATCH($A16,'Table 3 WYAE Wind_2024'!$B$10:$B$36,0),1)</f>
        <v>27.067491054347673</v>
      </c>
      <c r="C16" s="131"/>
      <c r="D16" s="131">
        <f>INDEX('Table 3 PV wS YK_2024'!$I$10:$I$33,MATCH($A16,'Table 3 PV wS YK_2024'!$B$10:$B$33,0),1)</f>
        <v>46.373375482964519</v>
      </c>
      <c r="E16" s="131">
        <f>INDEX('Table 3 PV wS SO_2024'!$I$10:$I$33,MATCH($A16,'Table 3 PV wS SO_2024'!$B$10:$B$33,0),1)</f>
        <v>40.461694571283616</v>
      </c>
      <c r="F16" s="131">
        <f>INDEX('Table 3 PV wS UTN_2024'!$I$10:$I$33,MATCH($A16,'Table 3 PV wS UTN_2024'!$B$10:$B$33,0),1)</f>
        <v>39.578877106752223</v>
      </c>
      <c r="G16" s="131">
        <f>INDEX('Table 3 PV wS JB_2024'!$I$10:$I$33,MATCH($A16,'Table 3 PV wS JB_2024'!$B$10:$B$33,0),1)</f>
        <v>38.444909661857736</v>
      </c>
      <c r="H16" s="131">
        <f>INDEX('Table 3 PV wS JB_2029'!$I$10:$I$33,MATCH($A16,'Table 3 PV wS JB_2029'!$B$10:$B$33,0),1)</f>
        <v>35.330831951876185</v>
      </c>
      <c r="I16" s="131">
        <f>INDEX('Table 3 PV wS UTS_2024'!$I$10:$I$36,MATCH($A16,'Table 3 PV wS UTS_2024'!$B$10:$B$36,0),1)</f>
        <v>36.23463294696171</v>
      </c>
      <c r="J16" s="131"/>
      <c r="K16" s="131">
        <f>INDEX('Table 3 185 MW (NTN) 2026)'!$K$14:$K$41,MATCH($A16,'Table 3 185 MW (NTN) 2026)'!$B$14:$B$41,0),1)</f>
        <v>82.19</v>
      </c>
      <c r="L16" s="131">
        <f>INDEX('Table 3 YK Wind wS_2029'!$I$10:$I$33,MATCH($A16,'Table 3 YK Wind wS_2029'!$B$10:$B$33,0),1)</f>
        <v>57.018924791790219</v>
      </c>
      <c r="M16" s="131"/>
    </row>
    <row r="17" spans="1:13">
      <c r="A17" s="136">
        <f t="shared" si="0"/>
        <v>2030</v>
      </c>
      <c r="B17" s="131">
        <f>INDEX('Table 3 WYAE Wind_2024'!$J$10:$J$36,MATCH($A17,'Table 3 WYAE Wind_2024'!$B$10:$B$36,0),1)</f>
        <v>27.657179003812157</v>
      </c>
      <c r="C17" s="131">
        <f>IF($A17&lt;C$3,0,INDEX('Table 3 ID Wind_2030'!$I$10:$I$33,MATCH($A17,'Table 3 ID Wind_2030'!$B$10:$B$33,0),1))</f>
        <v>41.937525924556674</v>
      </c>
      <c r="D17" s="131">
        <f>INDEX('Table 3 PV wS YK_2024'!$I$10:$I$33,MATCH($A17,'Table 3 PV wS YK_2024'!$B$10:$B$33,0),1)</f>
        <v>47.413944502985601</v>
      </c>
      <c r="E17" s="131">
        <f>INDEX('Table 3 PV wS SO_2024'!$I$10:$I$33,MATCH($A17,'Table 3 PV wS SO_2024'!$B$10:$B$33,0),1)</f>
        <v>41.368786802576764</v>
      </c>
      <c r="F17" s="131">
        <f>INDEX('Table 3 PV wS UTN_2024'!$I$10:$I$33,MATCH($A17,'Table 3 PV wS UTN_2024'!$B$10:$B$33,0),1)</f>
        <v>40.466329889713137</v>
      </c>
      <c r="G17" s="131">
        <f>INDEX('Table 3 PV wS JB_2024'!$I$10:$I$33,MATCH($A17,'Table 3 PV wS JB_2024'!$B$10:$B$33,0),1)</f>
        <v>39.305814711995026</v>
      </c>
      <c r="H17" s="131">
        <f>INDEX('Table 3 PV wS JB_2029'!$I$10:$I$33,MATCH($A17,'Table 3 PV wS JB_2029'!$B$10:$B$33,0),1)</f>
        <v>36.123879306421522</v>
      </c>
      <c r="I17" s="131">
        <f>INDEX('Table 3 PV wS UTS_2024'!$I$10:$I$36,MATCH($A17,'Table 3 PV wS UTS_2024'!$B$10:$B$36,0),1)</f>
        <v>37.049525816649108</v>
      </c>
      <c r="J17" s="131">
        <f>INDEX('Table 3 PV wS UTS_2030'!$I$10:$I$36,MATCH($A17,'Table 3 PV wS UTS_2030'!$B$10:$B$36,0),1)</f>
        <v>47.597926640674267</v>
      </c>
      <c r="K17" s="131">
        <f>INDEX('Table 3 185 MW (NTN) 2026)'!$K$14:$K$41,MATCH($A17,'Table 3 185 MW (NTN) 2026)'!$B$14:$B$41,0),1)</f>
        <v>85.79</v>
      </c>
      <c r="L17" s="131">
        <f>INDEX('Table 3 YK Wind wS_2029'!$I$10:$I$33,MATCH($A17,'Table 3 YK Wind wS_2029'!$B$10:$B$33,0),1)</f>
        <v>58.282925476508218</v>
      </c>
      <c r="M17" s="131"/>
    </row>
    <row r="18" spans="1:13">
      <c r="A18" s="136">
        <f t="shared" si="0"/>
        <v>2031</v>
      </c>
      <c r="B18" s="131">
        <f>INDEX('Table 3 WYAE Wind_2024'!$J$10:$J$36,MATCH($A18,'Table 3 WYAE Wind_2024'!$B$10:$B$36,0),1)</f>
        <v>28.252048886026273</v>
      </c>
      <c r="C18" s="131">
        <f>IF($A18&lt;C$3,0,INDEX('Table 3 ID Wind_2030'!$I$10:$I$33,MATCH($A18,'Table 3 ID Wind_2030'!$B$10:$B$33,0),1))</f>
        <v>42.865155978526133</v>
      </c>
      <c r="D18" s="131">
        <f>INDEX('Table 3 PV wS YK_2024'!$I$10:$I$33,MATCH($A18,'Table 3 PV wS YK_2024'!$B$10:$B$33,0),1)</f>
        <v>48.454513523006668</v>
      </c>
      <c r="E18" s="131">
        <f>INDEX('Table 3 PV wS SO_2024'!$I$10:$I$33,MATCH($A18,'Table 3 PV wS SO_2024'!$B$10:$B$33,0),1)</f>
        <v>42.275879033869906</v>
      </c>
      <c r="F18" s="131">
        <f>INDEX('Table 3 PV wS UTN_2024'!$I$10:$I$33,MATCH($A18,'Table 3 PV wS UTN_2024'!$B$10:$B$33,0),1)</f>
        <v>41.349990139413528</v>
      </c>
      <c r="G18" s="131">
        <f>INDEX('Table 3 PV wS JB_2024'!$I$10:$I$33,MATCH($A18,'Table 3 PV wS JB_2024'!$B$10:$B$33,0),1)</f>
        <v>40.166719762132317</v>
      </c>
      <c r="H18" s="131">
        <f>INDEX('Table 3 PV wS JB_2029'!$I$10:$I$33,MATCH($A18,'Table 3 PV wS JB_2029'!$B$10:$B$33,0),1)</f>
        <v>36.916518757869511</v>
      </c>
      <c r="I18" s="131">
        <f>INDEX('Table 3 PV wS UTS_2024'!$I$10:$I$36,MATCH($A18,'Table 3 PV wS UTS_2024'!$B$10:$B$36,0),1)</f>
        <v>37.8609062170706</v>
      </c>
      <c r="J18" s="131">
        <f>INDEX('Table 3 PV wS UTS_2030'!$I$10:$I$36,MATCH($A18,'Table 3 PV wS UTS_2030'!$B$10:$B$36,0),1)</f>
        <v>48.640674394099051</v>
      </c>
      <c r="K18" s="131">
        <f>INDEX('Table 3 185 MW (NTN) 2026)'!$K$14:$K$41,MATCH($A18,'Table 3 185 MW (NTN) 2026)'!$B$14:$B$41,0),1)</f>
        <v>89.86</v>
      </c>
      <c r="L18" s="131">
        <f>INDEX('Table 3 YK Wind wS_2029'!$I$10:$I$33,MATCH($A18,'Table 3 YK Wind wS_2029'!$B$10:$B$33,0),1)</f>
        <v>59.576705491634314</v>
      </c>
      <c r="M18" s="131"/>
    </row>
    <row r="19" spans="1:13">
      <c r="A19" s="136">
        <f t="shared" si="0"/>
        <v>2032</v>
      </c>
      <c r="B19" s="131">
        <f>INDEX('Table 3 WYAE Wind_2024'!$J$10:$J$36,MATCH($A19,'Table 3 WYAE Wind_2024'!$B$10:$B$36,0),1)</f>
        <v>28.85009178675659</v>
      </c>
      <c r="C19" s="131">
        <f>IF($A19&lt;C$3,0,INDEX('Table 3 ID Wind_2030'!$I$10:$I$33,MATCH($A19,'Table 3 ID Wind_2030'!$B$10:$B$33,0),1))</f>
        <v>43.806751016643766</v>
      </c>
      <c r="D19" s="131">
        <f>INDEX('Table 3 PV wS YK_2024'!$I$10:$I$33,MATCH($A19,'Table 3 PV wS YK_2024'!$B$10:$B$33,0),1)</f>
        <v>49.499473129610116</v>
      </c>
      <c r="E19" s="131">
        <f>INDEX('Table 3 PV wS SO_2024'!$I$10:$I$33,MATCH($A19,'Table 3 PV wS SO_2024'!$B$10:$B$33,0),1)</f>
        <v>43.186814876312589</v>
      </c>
      <c r="F19" s="131">
        <f>INDEX('Table 3 PV wS UTN_2024'!$I$10:$I$33,MATCH($A19,'Table 3 PV wS UTN_2024'!$B$10:$B$33,0),1)</f>
        <v>42.237442922374434</v>
      </c>
      <c r="G19" s="131">
        <f>INDEX('Table 3 PV wS JB_2024'!$I$10:$I$33,MATCH($A19,'Table 3 PV wS JB_2024'!$B$10:$B$33,0),1)</f>
        <v>41.031417345530123</v>
      </c>
      <c r="H19" s="131">
        <f>INDEX('Table 3 PV wS JB_2029'!$I$10:$I$33,MATCH($A19,'Table 3 PV wS JB_2029'!$B$10:$B$33,0),1)</f>
        <v>37.712950742578016</v>
      </c>
      <c r="I19" s="131">
        <f>INDEX('Table 3 PV wS UTS_2024'!$I$10:$I$36,MATCH($A19,'Table 3 PV wS UTS_2024'!$B$10:$B$36,0),1)</f>
        <v>38.675799086757991</v>
      </c>
      <c r="J19" s="131">
        <f>INDEX('Table 3 PV wS UTS_2030'!$I$10:$I$36,MATCH($A19,'Table 3 PV wS UTS_2030'!$B$10:$B$36,0),1)</f>
        <v>49.690902704601335</v>
      </c>
      <c r="K19" s="131">
        <f>INDEX('Table 3 185 MW (NTN) 2026)'!$K$14:$K$41,MATCH($A19,'Table 3 185 MW (NTN) 2026)'!$B$14:$B$41,0),1)</f>
        <v>93.56</v>
      </c>
      <c r="L19" s="131">
        <f>INDEX('Table 3 YK Wind wS_2029'!$I$10:$I$33,MATCH($A19,'Table 3 YK Wind wS_2029'!$B$10:$B$33,0),1)</f>
        <v>60.876639428654826</v>
      </c>
      <c r="M19" s="131">
        <f>INDEX('Table 3 ID Wind wS_2032'!$I$10:$I$33,MATCH($A19,'Table 3 ID Wind wS_2032'!$B$10:$B$33,0),1)</f>
        <v>47.599337901173556</v>
      </c>
    </row>
    <row r="20" spans="1:13">
      <c r="A20" s="136">
        <f t="shared" si="0"/>
        <v>2033</v>
      </c>
      <c r="B20" s="131">
        <f>INDEX('Table 3 WYAE Wind_2024'!$J$10:$J$36,MATCH($A20,'Table 3 WYAE Wind_2024'!$B$10:$B$36,0),1)</f>
        <v>29.463789579056865</v>
      </c>
      <c r="C20" s="131">
        <f>IF($A20&lt;C$3,0,INDEX('Table 3 ID Wind_2030'!$I$10:$I$33,MATCH($A20,'Table 3 ID Wind_2030'!$B$10:$B$33,0),1))</f>
        <v>44.763496446928194</v>
      </c>
      <c r="D20" s="131">
        <f>INDEX('Table 3 PV wS YK_2024'!$I$10:$I$33,MATCH($A20,'Table 3 PV wS YK_2024'!$B$10:$B$33,0),1)</f>
        <v>50.557604495960653</v>
      </c>
      <c r="E20" s="131">
        <f>INDEX('Table 3 PV wS SO_2024'!$I$10:$I$33,MATCH($A20,'Table 3 PV wS SO_2024'!$B$10:$B$33,0),1)</f>
        <v>44.11312516335348</v>
      </c>
      <c r="F20" s="131">
        <f>INDEX('Table 3 PV wS UTN_2024'!$I$10:$I$33,MATCH($A20,'Table 3 PV wS UTN_2024'!$B$10:$B$33,0),1)</f>
        <v>43.143858371637918</v>
      </c>
      <c r="G20" s="131">
        <f>INDEX('Table 3 PV wS JB_2024'!$I$10:$I$33,MATCH($A20,'Table 3 PV wS JB_2024'!$B$10:$B$33,0),1)</f>
        <v>41.911285061969991</v>
      </c>
      <c r="H20" s="131">
        <f>INDEX('Table 3 PV wS JB_2029'!$I$10:$I$33,MATCH($A20,'Table 3 PV wS JB_2029'!$B$10:$B$33,0),1)</f>
        <v>38.520760327068068</v>
      </c>
      <c r="I20" s="131">
        <f>INDEX('Table 3 PV wS UTS_2024'!$I$10:$I$36,MATCH($A20,'Table 3 PV wS UTS_2024'!$B$10:$B$36,0),1)</f>
        <v>39.504741833508959</v>
      </c>
      <c r="J20" s="131">
        <f>INDEX('Table 3 PV wS UTS_2030'!$I$10:$I$36,MATCH($A20,'Table 3 PV wS UTS_2030'!$B$10:$B$36,0),1)</f>
        <v>50.755180892167196</v>
      </c>
      <c r="K20" s="131">
        <f>INDEX('Table 3 185 MW (NTN) 2026)'!$K$14:$K$41,MATCH($A20,'Table 3 185 MW (NTN) 2026)'!$B$14:$B$41,0),1)</f>
        <v>95.21</v>
      </c>
      <c r="L20" s="131">
        <f>INDEX('Table 3 YK Wind wS_2029'!$I$10:$I$33,MATCH($A20,'Table 3 YK Wind wS_2029'!$B$10:$B$33,0),1)</f>
        <v>62.198881209464183</v>
      </c>
      <c r="M20" s="131">
        <f>INDEX('Table 3 ID Wind wS_2032'!$I$10:$I$33,MATCH($A20,'Table 3 ID Wind wS_2032'!$B$10:$B$33,0),1)</f>
        <v>48.630715699486153</v>
      </c>
    </row>
    <row r="21" spans="1:13">
      <c r="A21" s="136">
        <f t="shared" si="0"/>
        <v>2034</v>
      </c>
      <c r="B21" s="131">
        <f>INDEX('Table 3 WYAE Wind_2024'!$J$10:$J$36,MATCH($A21,'Table 3 WYAE Wind_2024'!$B$10:$B$36,0),1)</f>
        <v>55.532669304106797</v>
      </c>
      <c r="C21" s="131">
        <f>IF($A21&lt;C$3,0,INDEX('Table 3 ID Wind_2030'!$I$10:$I$33,MATCH($A21,'Table 3 ID Wind_2030'!$B$10:$B$33,0),1))</f>
        <v>45.726753337470264</v>
      </c>
      <c r="D21" s="131">
        <f>INDEX('Table 3 PV wS YK_2024'!$I$10:$I$33,MATCH($A21,'Table 3 PV wS YK_2024'!$B$10:$B$33,0),1)</f>
        <v>51.615735862311205</v>
      </c>
      <c r="E21" s="131">
        <f>INDEX('Table 3 PV wS SO_2024'!$I$10:$I$33,MATCH($A21,'Table 3 PV wS SO_2024'!$B$10:$B$33,0),1)</f>
        <v>45.039435450394357</v>
      </c>
      <c r="F21" s="131">
        <f>INDEX('Table 3 PV wS UTN_2024'!$I$10:$I$33,MATCH($A21,'Table 3 PV wS UTN_2024'!$B$10:$B$33,0),1)</f>
        <v>44.050273820901417</v>
      </c>
      <c r="G21" s="131">
        <f>INDEX('Table 3 PV wS JB_2024'!$I$10:$I$33,MATCH($A21,'Table 3 PV wS JB_2024'!$B$10:$B$33,0),1)</f>
        <v>42.791152778409867</v>
      </c>
      <c r="H21" s="131">
        <f>INDEX('Table 3 PV wS JB_2029'!$I$10:$I$33,MATCH($A21,'Table 3 PV wS JB_2029'!$B$10:$B$33,0),1)</f>
        <v>39.328569911558127</v>
      </c>
      <c r="I21" s="131">
        <f>INDEX('Table 3 PV wS UTS_2024'!$I$10:$I$36,MATCH($A21,'Table 3 PV wS UTS_2024'!$B$10:$B$36,0),1)</f>
        <v>40.33368458025992</v>
      </c>
      <c r="J21" s="131">
        <f>INDEX('Table 3 PV wS UTS_2030'!$I$10:$I$36,MATCH($A21,'Table 3 PV wS UTS_2030'!$B$10:$B$36,0),1)</f>
        <v>51.819459079733051</v>
      </c>
      <c r="K21" s="131">
        <f>INDEX('Table 3 185 MW (NTN) 2026)'!$K$14:$K$41,MATCH($A21,'Table 3 185 MW (NTN) 2026)'!$B$14:$B$41,0),1)</f>
        <v>98.93</v>
      </c>
      <c r="L21" s="131">
        <f>INDEX('Table 3 YK Wind wS_2029'!$I$10:$I$33,MATCH($A21,'Table 3 YK Wind wS_2029'!$B$10:$B$33,0),1)</f>
        <v>63.52112299027354</v>
      </c>
      <c r="M21" s="131">
        <f>INDEX('Table 3 ID Wind wS_2032'!$I$10:$I$33,MATCH($A21,'Table 3 ID Wind wS_2032'!$B$10:$B$33,0),1)</f>
        <v>49.670463595721074</v>
      </c>
    </row>
    <row r="22" spans="1:13">
      <c r="A22" s="136">
        <f t="shared" si="0"/>
        <v>2035</v>
      </c>
      <c r="B22" s="131">
        <f>INDEX('Table 3 WYAE Wind_2024'!$J$10:$J$36,MATCH($A22,'Table 3 WYAE Wind_2024'!$B$10:$B$36,0),1)</f>
        <v>56.697813246198315</v>
      </c>
      <c r="C22" s="131">
        <f>IF($A22&lt;C$3,0,INDEX('Table 3 ID Wind_2030'!$I$10:$I$33,MATCH($A22,'Table 3 ID Wind_2030'!$B$10:$B$33,0),1))</f>
        <v>46.711314542073559</v>
      </c>
      <c r="D22" s="131">
        <f>INDEX('Table 3 PV wS YK_2024'!$I$10:$I$33,MATCH($A22,'Table 3 PV wS YK_2024'!$B$10:$B$33,0),1)</f>
        <v>52.700210748155953</v>
      </c>
      <c r="E22" s="131">
        <f>INDEX('Table 3 PV wS SO_2024'!$I$10:$I$33,MATCH($A22,'Table 3 PV wS SO_2024'!$B$10:$B$33,0),1)</f>
        <v>45.984963793182978</v>
      </c>
      <c r="F22" s="131">
        <f>INDEX('Table 3 PV wS UTN_2024'!$I$10:$I$33,MATCH($A22,'Table 3 PV wS UTN_2024'!$B$10:$B$33,0),1)</f>
        <v>44.975651936467486</v>
      </c>
      <c r="G22" s="131">
        <f>INDEX('Table 3 PV wS JB_2024'!$I$10:$I$33,MATCH($A22,'Table 3 PV wS JB_2024'!$B$10:$B$33,0),1)</f>
        <v>43.689983161152327</v>
      </c>
      <c r="H22" s="131">
        <f>INDEX('Table 3 PV wS JB_2029'!$I$10:$I$33,MATCH($A22,'Table 3 PV wS JB_2029'!$B$10:$B$33,0),1)</f>
        <v>40.155342162350763</v>
      </c>
      <c r="I22" s="131">
        <f>INDEX('Table 3 PV wS UTS_2024'!$I$10:$I$36,MATCH($A22,'Table 3 PV wS UTS_2024'!$B$10:$B$36,0),1)</f>
        <v>41.180189673340358</v>
      </c>
      <c r="J22" s="131">
        <f>INDEX('Table 3 PV wS UTS_2030'!$I$10:$I$36,MATCH($A22,'Table 3 PV wS UTS_2030'!$B$10:$B$36,0),1)</f>
        <v>52.908324552160167</v>
      </c>
      <c r="K22" s="131">
        <f>INDEX('Table 3 185 MW (NTN) 2026)'!$K$14:$K$41,MATCH($A22,'Table 3 185 MW (NTN) 2026)'!$B$14:$B$41,0),1)</f>
        <v>102.08</v>
      </c>
      <c r="L22" s="131">
        <f>INDEX('Table 3 YK Wind wS_2029'!$I$10:$I$33,MATCH($A22,'Table 3 YK Wind wS_2029'!$B$10:$B$33,0),1)</f>
        <v>64.561826536766176</v>
      </c>
      <c r="M22" s="131">
        <f>INDEX('Table 3 ID Wind wS_2032'!$I$10:$I$33,MATCH($A22,'Table 3 ID Wind wS_2032'!$B$10:$B$33,0),1)</f>
        <v>50.728673257639286</v>
      </c>
    </row>
    <row r="23" spans="1:13">
      <c r="A23" s="136">
        <f t="shared" si="0"/>
        <v>2036</v>
      </c>
      <c r="B23" s="131">
        <f>INDEX('Table 3 WYAE Wind_2024'!$J$10:$J$36,MATCH($A23,'Table 3 WYAE Wind_2024'!$B$10:$B$36,0),1)</f>
        <v>57.883821285939696</v>
      </c>
      <c r="C23" s="131">
        <f>IF($A23&lt;C$3,0,INDEX('Table 3 ID Wind_2030'!$I$10:$I$33,MATCH($A23,'Table 3 ID Wind_2030'!$B$10:$B$33,0),1))</f>
        <v>47.711204908025252</v>
      </c>
      <c r="D23" s="131">
        <f>INDEX('Table 3 PV wS YK_2024'!$I$10:$I$33,MATCH($A23,'Table 3 PV wS YK_2024'!$B$10:$B$33,0),1)</f>
        <v>53.797857393747805</v>
      </c>
      <c r="E23" s="131">
        <f>INDEX('Table 3 PV wS SO_2024'!$I$10:$I$33,MATCH($A23,'Table 3 PV wS SO_2024'!$B$10:$B$33,0),1)</f>
        <v>46.942022969420229</v>
      </c>
      <c r="F23" s="131">
        <f>INDEX('Table 3 PV wS UTN_2024'!$I$10:$I$33,MATCH($A23,'Table 3 PV wS UTN_2024'!$B$10:$B$33,0),1)</f>
        <v>45.912407651815109</v>
      </c>
      <c r="G23" s="131">
        <f>INDEX('Table 3 PV wS JB_2024'!$I$10:$I$33,MATCH($A23,'Table 3 PV wS JB_2024'!$B$10:$B$33,0),1)</f>
        <v>44.600191143676334</v>
      </c>
      <c r="H23" s="131">
        <f>INDEX('Table 3 PV wS JB_2029'!$I$10:$I$33,MATCH($A23,'Table 3 PV wS JB_2029'!$B$10:$B$33,0),1)</f>
        <v>40.99349201292496</v>
      </c>
      <c r="I23" s="131">
        <f>INDEX('Table 3 PV wS UTS_2024'!$I$10:$I$36,MATCH($A23,'Table 3 PV wS UTS_2024'!$B$10:$B$36,0),1)</f>
        <v>42.037232174218474</v>
      </c>
      <c r="J23" s="131">
        <f>INDEX('Table 3 PV wS UTS_2030'!$I$10:$I$36,MATCH($A23,'Table 3 PV wS UTS_2030'!$B$10:$B$36,0),1)</f>
        <v>54.011239901650853</v>
      </c>
      <c r="K23" s="131">
        <f>INDEX('Table 3 185 MW (NTN) 2026)'!$K$14:$K$41,MATCH($A23,'Table 3 185 MW (NTN) 2026)'!$B$14:$B$41,0),1)</f>
        <v>103.77</v>
      </c>
      <c r="L23" s="131">
        <f>INDEX('Table 3 YK Wind wS_2029'!$I$10:$I$33,MATCH($A23,'Table 3 YK Wind wS_2029'!$B$10:$B$33,0),1)</f>
        <v>65.611760966100434</v>
      </c>
      <c r="M23" s="131">
        <f>INDEX('Table 3 ID Wind wS_2032'!$I$10:$I$33,MATCH($A23,'Table 3 ID Wind wS_2032'!$B$10:$B$33,0),1)</f>
        <v>51.801208108603113</v>
      </c>
    </row>
    <row r="24" spans="1:13">
      <c r="A24" s="136">
        <f t="shared" si="0"/>
        <v>2037</v>
      </c>
      <c r="B24" s="131">
        <f>INDEX('Table 3 WYAE Wind_2024'!$J$10:$J$36,MATCH($A24,'Table 3 WYAE Wind_2024'!$B$10:$B$36,0),1)</f>
        <v>59.090884336642787</v>
      </c>
      <c r="C24" s="131">
        <f>IF($A24&lt;C$3,0,INDEX('Table 3 ID Wind_2030'!$I$10:$I$33,MATCH($A24,'Table 3 ID Wind_2030'!$B$10:$B$33,0),1))</f>
        <v>48.732812769789049</v>
      </c>
      <c r="D24" s="131">
        <f>INDEX('Table 3 PV wS YK_2024'!$I$10:$I$33,MATCH($A24,'Table 3 PV wS YK_2024'!$B$10:$B$33,0),1)</f>
        <v>54.921847558833853</v>
      </c>
      <c r="E24" s="131">
        <f>INDEX('Table 3 PV wS SO_2024'!$I$10:$I$33,MATCH($A24,'Table 3 PV wS SO_2024'!$B$10:$B$33,0),1)</f>
        <v>47.922143812554779</v>
      </c>
      <c r="F24" s="131">
        <f>INDEX('Table 3 PV wS UTN_2024'!$I$10:$I$33,MATCH($A24,'Table 3 PV wS UTN_2024'!$B$10:$B$33,0),1)</f>
        <v>46.871918566725839</v>
      </c>
      <c r="G24" s="131">
        <f>INDEX('Table 3 PV wS JB_2024'!$I$10:$I$33,MATCH($A24,'Table 3 PV wS JB_2024'!$B$10:$B$33,0),1)</f>
        <v>45.533154325763441</v>
      </c>
      <c r="H24" s="131">
        <f>INDEX('Table 3 PV wS JB_2029'!$I$10:$I$33,MATCH($A24,'Table 3 PV wS JB_2029'!$B$10:$B$33,0),1)</f>
        <v>41.850604529801728</v>
      </c>
      <c r="I24" s="131">
        <f>INDEX('Table 3 PV wS UTS_2024'!$I$10:$I$36,MATCH($A24,'Table 3 PV wS UTS_2024'!$B$10:$B$36,0),1)</f>
        <v>42.915349490691959</v>
      </c>
      <c r="J24" s="131">
        <f>INDEX('Table 3 PV wS UTS_2030'!$I$10:$I$36,MATCH($A24,'Table 3 PV wS UTS_2030'!$B$10:$B$36,0),1)</f>
        <v>55.138742536002816</v>
      </c>
      <c r="K24" s="131">
        <f>INDEX('Table 3 185 MW (NTN) 2026)'!$K$14:$K$41,MATCH($A24,'Table 3 185 MW (NTN) 2026)'!$B$14:$B$41,0),1)</f>
        <v>108.7</v>
      </c>
      <c r="L24" s="131">
        <f>INDEX('Table 3 YK Wind wS_2029'!$I$10:$I$33,MATCH($A24,'Table 3 YK Wind wS_2029'!$B$10:$B$33,0),1)</f>
        <v>66.711554721803807</v>
      </c>
      <c r="M24" s="131">
        <f>INDEX('Table 3 ID Wind wS_2032'!$I$10:$I$33,MATCH($A24,'Table 3 ID Wind wS_2032'!$B$10:$B$33,0),1)</f>
        <v>52.905470298605415</v>
      </c>
    </row>
    <row r="25" spans="1:13">
      <c r="A25" s="136">
        <f t="shared" si="0"/>
        <v>2038</v>
      </c>
      <c r="B25" s="131">
        <f>INDEX('Table 3 WYAE Wind_2024'!$J$10:$J$36,MATCH($A25,'Table 3 WYAE Wind_2024'!$B$10:$B$36,0),1)</f>
        <v>60.326666204110985</v>
      </c>
      <c r="C25" s="131">
        <f>IF($A25&lt;C$3,0,INDEX('Table 3 ID Wind_2030'!$I$10:$I$33,MATCH($A25,'Table 3 ID Wind_2030'!$B$10:$B$33,0),1))</f>
        <v>49.776199690261919</v>
      </c>
      <c r="D25" s="131">
        <f>INDEX('Table 3 PV wS YK_2024'!$I$10:$I$33,MATCH($A25,'Table 3 PV wS YK_2024'!$B$10:$B$33,0),1)</f>
        <v>56.067790656831761</v>
      </c>
      <c r="E25" s="131">
        <f>INDEX('Table 3 PV wS SO_2024'!$I$10:$I$33,MATCH($A25,'Table 3 PV wS SO_2024'!$B$10:$B$33,0),1)</f>
        <v>48.921482711437051</v>
      </c>
      <c r="F25" s="131">
        <f>INDEX('Table 3 PV wS UTN_2024'!$I$10:$I$33,MATCH($A25,'Table 3 PV wS UTN_2024'!$B$10:$B$33,0),1)</f>
        <v>47.850392147939139</v>
      </c>
      <c r="G25" s="131">
        <f>INDEX('Table 3 PV wS JB_2024'!$I$10:$I$33,MATCH($A25,'Table 3 PV wS JB_2024'!$B$10:$B$33,0),1)</f>
        <v>46.485080174153126</v>
      </c>
      <c r="H25" s="131">
        <f>INDEX('Table 3 PV wS JB_2029'!$I$10:$I$33,MATCH($A25,'Table 3 PV wS JB_2029'!$B$10:$B$33,0),1)</f>
        <v>42.722887179720573</v>
      </c>
      <c r="I25" s="131">
        <f>INDEX('Table 3 PV wS UTS_2024'!$I$10:$I$36,MATCH($A25,'Table 3 PV wS UTS_2024'!$B$10:$B$36,0),1)</f>
        <v>43.811029153494907</v>
      </c>
      <c r="J25" s="131">
        <f>INDEX('Table 3 PV wS UTS_2030'!$I$10:$I$36,MATCH($A25,'Table 3 PV wS UTS_2030'!$B$10:$B$36,0),1)</f>
        <v>56.287319985950127</v>
      </c>
      <c r="K25" s="131">
        <f>INDEX('Table 3 185 MW (NTN) 2026)'!$K$14:$K$41,MATCH($A25,'Table 3 185 MW (NTN) 2026)'!$B$14:$B$41,0),1)</f>
        <v>112.6</v>
      </c>
      <c r="L25" s="131">
        <f>INDEX('Table 3 YK Wind wS_2029'!$I$10:$I$33,MATCH($A25,'Table 3 YK Wind wS_2029'!$B$10:$B$33,0),1)</f>
        <v>67.832887204137663</v>
      </c>
      <c r="M25" s="131">
        <f>INDEX('Table 3 ID Wind wS_2032'!$I$10:$I$33,MATCH($A25,'Table 3 ID Wind wS_2032'!$B$10:$B$33,0),1)</f>
        <v>54.025117293343769</v>
      </c>
    </row>
    <row r="26" spans="1:13">
      <c r="A26" s="136">
        <f t="shared" si="0"/>
        <v>2039</v>
      </c>
      <c r="B26" s="341">
        <f>B25*(1+$N$14)</f>
        <v>61.699097860254511</v>
      </c>
      <c r="C26" s="341">
        <f t="shared" ref="C26:C40" si="1">C25*(1+$N$14)</f>
        <v>50.908608233215382</v>
      </c>
      <c r="D26" s="341">
        <f t="shared" ref="D26:D40" si="2">D25*(1+$N$14)</f>
        <v>57.343332894274688</v>
      </c>
      <c r="E26" s="341">
        <f t="shared" ref="E26:E40" si="3">E25*(1+$N$14)</f>
        <v>50.034446443122249</v>
      </c>
      <c r="F26" s="341">
        <f t="shared" ref="F26:F40" si="4">F25*(1+$N$14)</f>
        <v>48.938988569304755</v>
      </c>
      <c r="G26" s="341">
        <f t="shared" ref="G26:G40" si="5">G25*(1+$N$14)</f>
        <v>47.542615748115111</v>
      </c>
      <c r="H26" s="341">
        <f t="shared" ref="H26:H40" si="6">H25*(1+$N$14)</f>
        <v>43.694832863059219</v>
      </c>
      <c r="I26" s="341">
        <f t="shared" ref="I26:I40" si="7">I25*(1+$N$14)</f>
        <v>44.807730066736916</v>
      </c>
      <c r="J26" s="341">
        <f t="shared" ref="J26:J40" si="8">J25*(1+$N$14)</f>
        <v>57.567856515630496</v>
      </c>
      <c r="K26" s="341">
        <f t="shared" ref="K26:K40" si="9">K25*(1+$N$14)</f>
        <v>115.16164999999999</v>
      </c>
      <c r="L26" s="341">
        <f t="shared" ref="L26:L40" si="10">L25*(1+$N$14)</f>
        <v>69.376085388031797</v>
      </c>
      <c r="M26" s="341">
        <f t="shared" ref="M26:M46" si="11">M25*(1+$N$14)</f>
        <v>55.254188711767341</v>
      </c>
    </row>
    <row r="27" spans="1:13">
      <c r="A27" s="136">
        <f t="shared" si="0"/>
        <v>2040</v>
      </c>
      <c r="B27" s="341">
        <f t="shared" ref="B27:B40" si="12">B26*(1+$N$14)</f>
        <v>63.102752336575307</v>
      </c>
      <c r="C27" s="341">
        <f t="shared" si="1"/>
        <v>52.066779070521036</v>
      </c>
      <c r="D27" s="341">
        <f t="shared" si="2"/>
        <v>58.647893717619439</v>
      </c>
      <c r="E27" s="341">
        <f t="shared" si="3"/>
        <v>51.17273009970328</v>
      </c>
      <c r="F27" s="341">
        <f t="shared" si="4"/>
        <v>50.052350559256439</v>
      </c>
      <c r="G27" s="341">
        <f t="shared" si="5"/>
        <v>48.624210256384735</v>
      </c>
      <c r="H27" s="341">
        <f t="shared" si="6"/>
        <v>44.688890310693814</v>
      </c>
      <c r="I27" s="341">
        <f t="shared" si="7"/>
        <v>45.827105925755184</v>
      </c>
      <c r="J27" s="341">
        <f t="shared" si="8"/>
        <v>58.877525251361092</v>
      </c>
      <c r="K27" s="341">
        <f t="shared" si="9"/>
        <v>117.7815775375</v>
      </c>
      <c r="L27" s="341">
        <f t="shared" si="10"/>
        <v>70.954391330609525</v>
      </c>
      <c r="M27" s="341">
        <f t="shared" si="11"/>
        <v>56.511221504960048</v>
      </c>
    </row>
    <row r="28" spans="1:13">
      <c r="A28" s="136">
        <f t="shared" si="0"/>
        <v>2041</v>
      </c>
      <c r="B28" s="341">
        <f t="shared" si="12"/>
        <v>64.538339952232391</v>
      </c>
      <c r="C28" s="341">
        <f t="shared" si="1"/>
        <v>53.251298294375395</v>
      </c>
      <c r="D28" s="341">
        <f t="shared" si="2"/>
        <v>59.982133299695285</v>
      </c>
      <c r="E28" s="341">
        <f t="shared" si="3"/>
        <v>52.336909709471534</v>
      </c>
      <c r="F28" s="341">
        <f t="shared" si="4"/>
        <v>51.191041534479524</v>
      </c>
      <c r="G28" s="341">
        <f t="shared" si="5"/>
        <v>49.730411039717488</v>
      </c>
      <c r="H28" s="341">
        <f t="shared" si="6"/>
        <v>45.705562565262099</v>
      </c>
      <c r="I28" s="341">
        <f t="shared" si="7"/>
        <v>46.869672585566114</v>
      </c>
      <c r="J28" s="341">
        <f t="shared" si="8"/>
        <v>60.21698895082956</v>
      </c>
      <c r="K28" s="341">
        <f t="shared" si="9"/>
        <v>120.46110842647813</v>
      </c>
      <c r="L28" s="341">
        <f t="shared" si="10"/>
        <v>72.568603733380897</v>
      </c>
      <c r="M28" s="341">
        <f t="shared" si="11"/>
        <v>57.796851794197892</v>
      </c>
    </row>
    <row r="29" spans="1:13">
      <c r="A29" s="136">
        <f t="shared" si="0"/>
        <v>2042</v>
      </c>
      <c r="B29" s="341">
        <f t="shared" si="12"/>
        <v>66.00658718614568</v>
      </c>
      <c r="C29" s="341">
        <f t="shared" si="1"/>
        <v>54.462765330572438</v>
      </c>
      <c r="D29" s="341">
        <f t="shared" si="2"/>
        <v>61.346726832263357</v>
      </c>
      <c r="E29" s="341">
        <f t="shared" si="3"/>
        <v>53.527574405362017</v>
      </c>
      <c r="F29" s="341">
        <f t="shared" si="4"/>
        <v>52.355637729388938</v>
      </c>
      <c r="G29" s="341">
        <f t="shared" si="5"/>
        <v>50.86177789087106</v>
      </c>
      <c r="H29" s="341">
        <f t="shared" si="6"/>
        <v>46.745364113621811</v>
      </c>
      <c r="I29" s="341">
        <f t="shared" si="7"/>
        <v>47.935957636887743</v>
      </c>
      <c r="J29" s="341">
        <f t="shared" si="8"/>
        <v>61.586925449460935</v>
      </c>
      <c r="K29" s="341">
        <f t="shared" si="9"/>
        <v>123.20159864318052</v>
      </c>
      <c r="L29" s="341">
        <f t="shared" si="10"/>
        <v>74.219539468315318</v>
      </c>
      <c r="M29" s="341">
        <f t="shared" si="11"/>
        <v>59.111730172515898</v>
      </c>
    </row>
    <row r="30" spans="1:13">
      <c r="A30" s="136">
        <f t="shared" si="0"/>
        <v>2043</v>
      </c>
      <c r="B30" s="341">
        <f t="shared" si="12"/>
        <v>67.508237044630491</v>
      </c>
      <c r="C30" s="341">
        <f t="shared" si="1"/>
        <v>55.701793241842964</v>
      </c>
      <c r="D30" s="341">
        <f t="shared" si="2"/>
        <v>62.742364867697354</v>
      </c>
      <c r="E30" s="341">
        <f t="shared" si="3"/>
        <v>54.745326723084005</v>
      </c>
      <c r="F30" s="341">
        <f t="shared" si="4"/>
        <v>53.546728487732537</v>
      </c>
      <c r="G30" s="341">
        <f t="shared" si="5"/>
        <v>52.018883337888383</v>
      </c>
      <c r="H30" s="341">
        <f t="shared" si="6"/>
        <v>47.808821147206707</v>
      </c>
      <c r="I30" s="341">
        <f t="shared" si="7"/>
        <v>49.026500673126939</v>
      </c>
      <c r="J30" s="341">
        <f t="shared" si="8"/>
        <v>62.988028003436177</v>
      </c>
      <c r="K30" s="341">
        <f t="shared" si="9"/>
        <v>126.00443501231288</v>
      </c>
      <c r="L30" s="341">
        <f t="shared" si="10"/>
        <v>75.908033991219497</v>
      </c>
      <c r="M30" s="341">
        <f t="shared" si="11"/>
        <v>60.456522033940637</v>
      </c>
    </row>
    <row r="31" spans="1:13">
      <c r="A31" s="136">
        <f t="shared" si="0"/>
        <v>2044</v>
      </c>
      <c r="B31" s="341">
        <f t="shared" si="12"/>
        <v>69.044049437395842</v>
      </c>
      <c r="C31" s="341">
        <f t="shared" si="1"/>
        <v>56.969009038094896</v>
      </c>
      <c r="D31" s="341">
        <f t="shared" si="2"/>
        <v>64.169753668437465</v>
      </c>
      <c r="E31" s="341">
        <f t="shared" si="3"/>
        <v>55.99078290603417</v>
      </c>
      <c r="F31" s="341">
        <f t="shared" si="4"/>
        <v>54.764916560828453</v>
      </c>
      <c r="G31" s="341">
        <f t="shared" si="5"/>
        <v>53.202312933825347</v>
      </c>
      <c r="H31" s="341">
        <f t="shared" si="6"/>
        <v>48.896471828305664</v>
      </c>
      <c r="I31" s="341">
        <f t="shared" si="7"/>
        <v>50.141853563440577</v>
      </c>
      <c r="J31" s="341">
        <f t="shared" si="8"/>
        <v>64.421005640514352</v>
      </c>
      <c r="K31" s="341">
        <f t="shared" si="9"/>
        <v>128.871035908843</v>
      </c>
      <c r="L31" s="341">
        <f t="shared" si="10"/>
        <v>77.634941764519738</v>
      </c>
      <c r="M31" s="341">
        <f t="shared" si="11"/>
        <v>61.831907910212792</v>
      </c>
    </row>
    <row r="32" spans="1:13">
      <c r="A32" s="136">
        <f t="shared" si="0"/>
        <v>2045</v>
      </c>
      <c r="B32" s="341">
        <f t="shared" si="12"/>
        <v>70.614801562096602</v>
      </c>
      <c r="C32" s="341">
        <f t="shared" si="1"/>
        <v>58.265053993711561</v>
      </c>
      <c r="D32" s="341">
        <f t="shared" si="2"/>
        <v>65.629615564394427</v>
      </c>
      <c r="E32" s="341">
        <f t="shared" si="3"/>
        <v>57.264573217146449</v>
      </c>
      <c r="F32" s="341">
        <f t="shared" si="4"/>
        <v>56.010818412587305</v>
      </c>
      <c r="G32" s="341">
        <f t="shared" si="5"/>
        <v>54.412665553069878</v>
      </c>
      <c r="H32" s="341">
        <f t="shared" si="6"/>
        <v>50.008866562399618</v>
      </c>
      <c r="I32" s="341">
        <f t="shared" si="7"/>
        <v>51.282580732008853</v>
      </c>
      <c r="J32" s="341">
        <f t="shared" si="8"/>
        <v>65.886583518836062</v>
      </c>
      <c r="K32" s="341">
        <f t="shared" si="9"/>
        <v>131.80285197576919</v>
      </c>
      <c r="L32" s="341">
        <f t="shared" si="10"/>
        <v>79.401136689662565</v>
      </c>
      <c r="M32" s="341">
        <f t="shared" si="11"/>
        <v>63.238583815170138</v>
      </c>
    </row>
    <row r="33" spans="1:13">
      <c r="A33" s="136">
        <f t="shared" si="0"/>
        <v>2046</v>
      </c>
      <c r="B33" s="341">
        <f t="shared" si="12"/>
        <v>72.221288297634302</v>
      </c>
      <c r="C33" s="341">
        <f t="shared" si="1"/>
        <v>59.590583972068501</v>
      </c>
      <c r="D33" s="341">
        <f t="shared" si="2"/>
        <v>67.122689318484404</v>
      </c>
      <c r="E33" s="341">
        <f t="shared" si="3"/>
        <v>58.567342257836536</v>
      </c>
      <c r="F33" s="341">
        <f t="shared" si="4"/>
        <v>57.285064531473672</v>
      </c>
      <c r="G33" s="341">
        <f t="shared" si="5"/>
        <v>55.65055369440222</v>
      </c>
      <c r="H33" s="341">
        <f t="shared" si="6"/>
        <v>51.146568276694211</v>
      </c>
      <c r="I33" s="341">
        <f t="shared" si="7"/>
        <v>52.449259443662058</v>
      </c>
      <c r="J33" s="341">
        <f t="shared" si="8"/>
        <v>67.385503293889585</v>
      </c>
      <c r="K33" s="341">
        <f t="shared" si="9"/>
        <v>134.80136685821793</v>
      </c>
      <c r="L33" s="341">
        <f t="shared" si="10"/>
        <v>81.207512549352387</v>
      </c>
      <c r="M33" s="341">
        <f t="shared" si="11"/>
        <v>64.677261596965266</v>
      </c>
    </row>
    <row r="34" spans="1:13">
      <c r="A34" s="136">
        <f t="shared" si="0"/>
        <v>2047</v>
      </c>
      <c r="B34" s="341">
        <f t="shared" si="12"/>
        <v>73.86432260640548</v>
      </c>
      <c r="C34" s="341">
        <f t="shared" si="1"/>
        <v>60.946269757433065</v>
      </c>
      <c r="D34" s="341">
        <f t="shared" si="2"/>
        <v>68.649730500479933</v>
      </c>
      <c r="E34" s="341">
        <f t="shared" si="3"/>
        <v>59.899749294202323</v>
      </c>
      <c r="F34" s="341">
        <f t="shared" si="4"/>
        <v>58.588299749564705</v>
      </c>
      <c r="G34" s="341">
        <f t="shared" si="5"/>
        <v>56.916603790949871</v>
      </c>
      <c r="H34" s="341">
        <f t="shared" si="6"/>
        <v>52.310152704989008</v>
      </c>
      <c r="I34" s="341">
        <f t="shared" si="7"/>
        <v>53.642480096005372</v>
      </c>
      <c r="J34" s="341">
        <f t="shared" si="8"/>
        <v>68.918523493825575</v>
      </c>
      <c r="K34" s="341">
        <f t="shared" si="9"/>
        <v>137.86809795424239</v>
      </c>
      <c r="L34" s="341">
        <f t="shared" si="10"/>
        <v>83.054983459850163</v>
      </c>
      <c r="M34" s="341">
        <f t="shared" si="11"/>
        <v>66.148669298296227</v>
      </c>
    </row>
    <row r="35" spans="1:13">
      <c r="A35" s="136">
        <f t="shared" si="0"/>
        <v>2048</v>
      </c>
      <c r="B35" s="341">
        <f t="shared" si="12"/>
        <v>75.544735945701206</v>
      </c>
      <c r="C35" s="341">
        <f t="shared" si="1"/>
        <v>62.332797394414669</v>
      </c>
      <c r="D35" s="341">
        <f t="shared" si="2"/>
        <v>70.21151186936585</v>
      </c>
      <c r="E35" s="341">
        <f t="shared" si="3"/>
        <v>61.262468590645426</v>
      </c>
      <c r="F35" s="341">
        <f t="shared" si="4"/>
        <v>59.921183568867306</v>
      </c>
      <c r="G35" s="341">
        <f t="shared" si="5"/>
        <v>58.211456527193981</v>
      </c>
      <c r="H35" s="341">
        <f t="shared" si="6"/>
        <v>53.500208679027509</v>
      </c>
      <c r="I35" s="341">
        <f t="shared" si="7"/>
        <v>54.8628465181895</v>
      </c>
      <c r="J35" s="341">
        <f t="shared" si="8"/>
        <v>70.486419903310107</v>
      </c>
      <c r="K35" s="341">
        <f t="shared" si="9"/>
        <v>141.00459718270142</v>
      </c>
      <c r="L35" s="341">
        <f t="shared" si="10"/>
        <v>84.944484333561761</v>
      </c>
      <c r="M35" s="341">
        <f t="shared" si="11"/>
        <v>67.653551524832466</v>
      </c>
    </row>
    <row r="36" spans="1:13">
      <c r="A36" s="136">
        <f t="shared" si="0"/>
        <v>2049</v>
      </c>
      <c r="B36" s="341">
        <f t="shared" si="12"/>
        <v>77.263378688465906</v>
      </c>
      <c r="C36" s="341">
        <f t="shared" si="1"/>
        <v>63.750868535137606</v>
      </c>
      <c r="D36" s="341">
        <f t="shared" si="2"/>
        <v>71.808823764393921</v>
      </c>
      <c r="E36" s="341">
        <f t="shared" si="3"/>
        <v>62.656189751082614</v>
      </c>
      <c r="F36" s="341">
        <f t="shared" si="4"/>
        <v>61.284390495059043</v>
      </c>
      <c r="G36" s="341">
        <f t="shared" si="5"/>
        <v>59.53576716318765</v>
      </c>
      <c r="H36" s="341">
        <f t="shared" si="6"/>
        <v>54.717338426475386</v>
      </c>
      <c r="I36" s="341">
        <f t="shared" si="7"/>
        <v>56.110976276478311</v>
      </c>
      <c r="J36" s="341">
        <f t="shared" si="8"/>
        <v>72.089985956110411</v>
      </c>
      <c r="K36" s="341">
        <f t="shared" si="9"/>
        <v>144.21245176860788</v>
      </c>
      <c r="L36" s="341">
        <f t="shared" si="10"/>
        <v>86.876971352150292</v>
      </c>
      <c r="M36" s="341">
        <f t="shared" si="11"/>
        <v>69.19266982202241</v>
      </c>
    </row>
    <row r="37" spans="1:13">
      <c r="A37" s="136">
        <f t="shared" si="0"/>
        <v>2050</v>
      </c>
      <c r="B37" s="341">
        <f t="shared" si="12"/>
        <v>79.021120553628506</v>
      </c>
      <c r="C37" s="341">
        <f t="shared" si="1"/>
        <v>65.201200794311987</v>
      </c>
      <c r="D37" s="341">
        <f t="shared" si="2"/>
        <v>73.442474505033886</v>
      </c>
      <c r="E37" s="341">
        <f t="shared" si="3"/>
        <v>64.081618067919749</v>
      </c>
      <c r="F37" s="341">
        <f t="shared" si="4"/>
        <v>62.678610378821638</v>
      </c>
      <c r="G37" s="341">
        <f t="shared" si="5"/>
        <v>60.890205866150168</v>
      </c>
      <c r="H37" s="341">
        <f t="shared" si="6"/>
        <v>55.962157875677704</v>
      </c>
      <c r="I37" s="341">
        <f t="shared" si="7"/>
        <v>57.387500986768195</v>
      </c>
      <c r="J37" s="341">
        <f t="shared" si="8"/>
        <v>73.730033136611922</v>
      </c>
      <c r="K37" s="341">
        <f t="shared" si="9"/>
        <v>147.49328504634371</v>
      </c>
      <c r="L37" s="341">
        <f t="shared" si="10"/>
        <v>88.853422450411713</v>
      </c>
      <c r="M37" s="341">
        <f t="shared" si="11"/>
        <v>70.766803060473421</v>
      </c>
    </row>
    <row r="38" spans="1:13">
      <c r="A38" s="136">
        <f t="shared" si="0"/>
        <v>2051</v>
      </c>
      <c r="B38" s="341">
        <f t="shared" si="12"/>
        <v>80.818851046223557</v>
      </c>
      <c r="C38" s="341">
        <f t="shared" si="1"/>
        <v>66.684528112382594</v>
      </c>
      <c r="D38" s="341">
        <f t="shared" si="2"/>
        <v>75.113290800023407</v>
      </c>
      <c r="E38" s="341">
        <f t="shared" si="3"/>
        <v>65.539474878964924</v>
      </c>
      <c r="F38" s="341">
        <f t="shared" si="4"/>
        <v>64.104548764939835</v>
      </c>
      <c r="G38" s="341">
        <f t="shared" si="5"/>
        <v>62.275458049605085</v>
      </c>
      <c r="H38" s="341">
        <f t="shared" si="6"/>
        <v>57.235296967349377</v>
      </c>
      <c r="I38" s="341">
        <f t="shared" si="7"/>
        <v>58.693066634217175</v>
      </c>
      <c r="J38" s="341">
        <f t="shared" si="8"/>
        <v>75.40739139046984</v>
      </c>
      <c r="K38" s="341">
        <f t="shared" si="9"/>
        <v>150.84875728114804</v>
      </c>
      <c r="L38" s="341">
        <f t="shared" si="10"/>
        <v>90.874837811158585</v>
      </c>
      <c r="M38" s="341">
        <f t="shared" si="11"/>
        <v>72.376747830099191</v>
      </c>
    </row>
    <row r="39" spans="1:13">
      <c r="A39" s="136">
        <f t="shared" si="0"/>
        <v>2052</v>
      </c>
      <c r="B39" s="341">
        <f t="shared" si="12"/>
        <v>82.657479907525143</v>
      </c>
      <c r="C39" s="341">
        <f t="shared" si="1"/>
        <v>68.201601126939295</v>
      </c>
      <c r="D39" s="341">
        <f t="shared" si="2"/>
        <v>76.82211816572395</v>
      </c>
      <c r="E39" s="341">
        <f t="shared" si="3"/>
        <v>67.030497932461373</v>
      </c>
      <c r="F39" s="341">
        <f t="shared" si="4"/>
        <v>65.562927249342223</v>
      </c>
      <c r="G39" s="341">
        <f t="shared" si="5"/>
        <v>63.692224720233604</v>
      </c>
      <c r="H39" s="341">
        <f t="shared" si="6"/>
        <v>58.537399973356578</v>
      </c>
      <c r="I39" s="341">
        <f t="shared" si="7"/>
        <v>60.028333900145618</v>
      </c>
      <c r="J39" s="341">
        <f t="shared" si="8"/>
        <v>77.122909544603033</v>
      </c>
      <c r="K39" s="341">
        <f t="shared" si="9"/>
        <v>154.28056650929418</v>
      </c>
      <c r="L39" s="341">
        <f t="shared" si="10"/>
        <v>92.942240371362445</v>
      </c>
      <c r="M39" s="341">
        <f t="shared" si="11"/>
        <v>74.023318843233952</v>
      </c>
    </row>
    <row r="40" spans="1:13">
      <c r="A40" s="136">
        <f t="shared" si="0"/>
        <v>2053</v>
      </c>
      <c r="B40" s="341">
        <f t="shared" si="12"/>
        <v>84.537937575421338</v>
      </c>
      <c r="C40" s="341">
        <f t="shared" si="1"/>
        <v>69.753187552577174</v>
      </c>
      <c r="D40" s="341">
        <f t="shared" si="2"/>
        <v>78.569821353994172</v>
      </c>
      <c r="E40" s="341">
        <f t="shared" si="3"/>
        <v>68.55544176042487</v>
      </c>
      <c r="F40" s="341">
        <f t="shared" si="4"/>
        <v>67.054483844264766</v>
      </c>
      <c r="G40" s="341">
        <f t="shared" si="5"/>
        <v>65.141222832618922</v>
      </c>
      <c r="H40" s="341">
        <f t="shared" si="6"/>
        <v>59.869125822750441</v>
      </c>
      <c r="I40" s="341">
        <f t="shared" si="7"/>
        <v>61.393978496373933</v>
      </c>
      <c r="J40" s="341">
        <f t="shared" si="8"/>
        <v>78.87745573674276</v>
      </c>
      <c r="K40" s="341">
        <f t="shared" si="9"/>
        <v>157.79044939738063</v>
      </c>
      <c r="L40" s="341">
        <f t="shared" si="10"/>
        <v>95.056676339810949</v>
      </c>
      <c r="M40" s="341">
        <f t="shared" si="11"/>
        <v>75.707349346917525</v>
      </c>
    </row>
    <row r="41" spans="1:13">
      <c r="A41" s="136">
        <f t="shared" si="0"/>
        <v>2054</v>
      </c>
      <c r="B41" s="341"/>
      <c r="C41" s="341">
        <f t="shared" ref="C41:C46" si="13">C40*(1+$N$14)</f>
        <v>71.340072569398302</v>
      </c>
      <c r="D41" s="341"/>
      <c r="E41" s="341"/>
      <c r="F41" s="341"/>
      <c r="G41" s="341"/>
      <c r="H41" s="341">
        <f t="shared" ref="H41:H45" si="14">H40*(1+$N$14)</f>
        <v>61.231148435218017</v>
      </c>
      <c r="I41" s="341"/>
      <c r="J41" s="341">
        <f t="shared" ref="J41:J46" si="15">J40*(1+$N$14)</f>
        <v>80.671917854753659</v>
      </c>
      <c r="K41" s="341">
        <f>K40*(1+$N$14)</f>
        <v>161.38018212117103</v>
      </c>
      <c r="L41" s="341">
        <f>L40*(1+$N$14)</f>
        <v>97.219215726541648</v>
      </c>
      <c r="M41" s="341">
        <f t="shared" si="11"/>
        <v>77.429691544559901</v>
      </c>
    </row>
    <row r="42" spans="1:13">
      <c r="A42" s="136">
        <f t="shared" si="0"/>
        <v>2055</v>
      </c>
      <c r="B42" s="341"/>
      <c r="C42" s="341">
        <f t="shared" si="13"/>
        <v>72.963059220352122</v>
      </c>
      <c r="D42" s="341"/>
      <c r="E42" s="341"/>
      <c r="F42" s="341"/>
      <c r="G42" s="341"/>
      <c r="H42" s="341">
        <f t="shared" si="14"/>
        <v>62.624157062119231</v>
      </c>
      <c r="I42" s="341"/>
      <c r="J42" s="341">
        <f t="shared" si="15"/>
        <v>82.507203985949303</v>
      </c>
      <c r="K42" s="341">
        <f>K41*(1+$N$14)</f>
        <v>165.05158126442768</v>
      </c>
      <c r="L42" s="341">
        <f>L41*(1+$N$14)</f>
        <v>99.430952884320476</v>
      </c>
      <c r="M42" s="341">
        <f t="shared" si="11"/>
        <v>79.191217027198647</v>
      </c>
    </row>
    <row r="43" spans="1:13">
      <c r="A43" s="136">
        <f t="shared" si="0"/>
        <v>2056</v>
      </c>
      <c r="B43" s="341"/>
      <c r="C43" s="341">
        <f t="shared" si="13"/>
        <v>74.622968817615131</v>
      </c>
      <c r="D43" s="341"/>
      <c r="E43" s="341"/>
      <c r="F43" s="341"/>
      <c r="G43" s="341"/>
      <c r="H43" s="341">
        <f t="shared" si="14"/>
        <v>64.048856635282448</v>
      </c>
      <c r="I43" s="341"/>
      <c r="J43" s="341">
        <f t="shared" si="15"/>
        <v>84.384242876629656</v>
      </c>
      <c r="K43" s="346"/>
      <c r="L43" s="341">
        <f>L42*(1+$N$14)</f>
        <v>101.69300706243877</v>
      </c>
      <c r="M43" s="341">
        <f t="shared" si="11"/>
        <v>80.992817214567424</v>
      </c>
    </row>
    <row r="44" spans="1:13">
      <c r="A44" s="136">
        <f t="shared" si="0"/>
        <v>2057</v>
      </c>
      <c r="B44" s="341"/>
      <c r="C44" s="341">
        <f t="shared" si="13"/>
        <v>76.32064135821588</v>
      </c>
      <c r="D44" s="341"/>
      <c r="E44" s="341"/>
      <c r="F44" s="341"/>
      <c r="G44" s="341"/>
      <c r="H44" s="341">
        <f t="shared" si="14"/>
        <v>65.50596812373513</v>
      </c>
      <c r="I44" s="341"/>
      <c r="J44" s="341">
        <f t="shared" si="15"/>
        <v>86.303984402072984</v>
      </c>
      <c r="K44" s="346"/>
      <c r="L44" s="341">
        <f>L43*(1+$N$14)</f>
        <v>104.00652297310926</v>
      </c>
      <c r="M44" s="341">
        <f t="shared" si="11"/>
        <v>82.83540380619884</v>
      </c>
    </row>
    <row r="45" spans="1:13">
      <c r="A45" s="136">
        <f t="shared" si="0"/>
        <v>2058</v>
      </c>
      <c r="B45" s="341"/>
      <c r="C45" s="341">
        <f t="shared" si="13"/>
        <v>78.056935949115299</v>
      </c>
      <c r="D45" s="341"/>
      <c r="E45" s="341"/>
      <c r="F45" s="341"/>
      <c r="G45" s="341"/>
      <c r="H45" s="341">
        <f t="shared" si="14"/>
        <v>66.9962288985501</v>
      </c>
      <c r="I45" s="341"/>
      <c r="J45" s="341">
        <f t="shared" si="15"/>
        <v>88.26740004722015</v>
      </c>
      <c r="K45" s="346"/>
      <c r="L45" s="341">
        <f>L44*(1+$N$14)</f>
        <v>106.3726713707475</v>
      </c>
      <c r="M45" s="341">
        <f t="shared" si="11"/>
        <v>84.719909242789868</v>
      </c>
    </row>
    <row r="46" spans="1:13">
      <c r="A46" s="136">
        <f t="shared" si="0"/>
        <v>2059</v>
      </c>
      <c r="B46" s="341"/>
      <c r="C46" s="341">
        <f t="shared" si="13"/>
        <v>79.832731241957674</v>
      </c>
      <c r="D46" s="341"/>
      <c r="E46" s="341"/>
      <c r="F46" s="341"/>
      <c r="G46" s="341"/>
      <c r="H46" s="341"/>
      <c r="I46" s="341"/>
      <c r="J46" s="341">
        <f t="shared" si="15"/>
        <v>90.275483398294412</v>
      </c>
      <c r="K46" s="346"/>
      <c r="L46" s="346"/>
      <c r="M46" s="341">
        <f t="shared" si="11"/>
        <v>86.647287178063337</v>
      </c>
    </row>
    <row r="47" spans="1:13">
      <c r="A47" s="136">
        <f t="shared" ref="A47:A48" si="16">A46+1</f>
        <v>2060</v>
      </c>
      <c r="B47" s="341"/>
      <c r="C47" s="341">
        <f t="shared" ref="C47:C48" si="17">C46*(1+$N$14)</f>
        <v>81.648925877712216</v>
      </c>
      <c r="D47" s="341"/>
      <c r="E47" s="341"/>
      <c r="F47" s="341"/>
      <c r="G47" s="341"/>
      <c r="H47" s="341"/>
      <c r="I47" s="341"/>
      <c r="J47" s="341"/>
      <c r="K47" s="346"/>
      <c r="L47" s="346"/>
      <c r="M47" s="341">
        <f t="shared" ref="M47:M48" si="18">M46*(1+$N$14)</f>
        <v>88.618512961364289</v>
      </c>
    </row>
    <row r="48" spans="1:13">
      <c r="A48" s="136">
        <f t="shared" si="16"/>
        <v>2061</v>
      </c>
      <c r="B48" s="341"/>
      <c r="C48" s="341">
        <f t="shared" si="17"/>
        <v>83.506438941430176</v>
      </c>
      <c r="D48" s="341"/>
      <c r="E48" s="341"/>
      <c r="F48" s="341"/>
      <c r="G48" s="341"/>
      <c r="H48" s="341"/>
      <c r="I48" s="341"/>
      <c r="J48" s="341"/>
      <c r="K48" s="346"/>
      <c r="L48" s="346"/>
      <c r="M48" s="341">
        <f t="shared" si="18"/>
        <v>90.634584131235329</v>
      </c>
    </row>
    <row r="49" spans="1:13" ht="12" customHeight="1">
      <c r="A49" s="136"/>
    </row>
    <row r="50" spans="1:13" ht="12" customHeight="1">
      <c r="A50" s="342" t="s">
        <v>165</v>
      </c>
      <c r="B50" s="343">
        <f>PMT(Discount_Rate,30,-NPV(Discount_Rate,Table3ACsummary!B$11:B$40))</f>
        <v>43.373159915981788</v>
      </c>
      <c r="C50" s="343">
        <f>PMT(Discount_Rate,30,-NPV(Discount_Rate,Table3ACsummary!C$17:C$46))</f>
        <v>52.798383900316885</v>
      </c>
      <c r="D50" s="343">
        <f>PMT(Discount_Rate,30,-NPV(Discount_Rate,Table3ACsummary!D$11:D$40))</f>
        <v>52.196733752672912</v>
      </c>
      <c r="E50" s="343">
        <f>PMT(Discount_Rate,30,-NPV(Discount_Rate,Table3ACsummary!E$11:E$40))</f>
        <v>45.543542009315111</v>
      </c>
      <c r="F50" s="343">
        <f>PMT(Discount_Rate,30,-NPV(Discount_Rate,Table3ACsummary!F$11:F$40))</f>
        <v>44.548500165813699</v>
      </c>
      <c r="G50" s="343">
        <f>PMT(Discount_Rate,30,-NPV(Discount_Rate,Table3ACsummary!G$11:G$40))</f>
        <v>43.273589527849715</v>
      </c>
      <c r="H50" s="343">
        <f>PMT(Discount_Rate,30,-NPV(Discount_Rate,Table3ACsummary!H$16:H$45))</f>
        <v>44.377580936101701</v>
      </c>
      <c r="I50" s="343">
        <f>PMT(Discount_Rate,30,-NPV(Discount_Rate,Table3ACsummary!I$11:I$40))</f>
        <v>40.786478428454785</v>
      </c>
      <c r="J50" s="343">
        <f>PMT(Discount_Rate,30,-NPV(Discount_Rate,Table3ACsummary!J$11:J$40))</f>
        <v>53.244392091513731</v>
      </c>
      <c r="K50" s="343">
        <f>PMT(Discount_Rate,30,-NPV(Discount_Rate,Table3ACsummary!K$13:K$42))</f>
        <v>103.59737010085735</v>
      </c>
      <c r="L50" s="343">
        <f>PMT(Discount_Rate,30,-NPV(Discount_Rate,Table3ACsummary!L$16:L$45))</f>
        <v>70.911434916577335</v>
      </c>
      <c r="M50" s="343">
        <f>PMT(Discount_Rate,30,-NPV(Discount_Rate,Table3ACsummary!M$19:M$48))</f>
        <v>59.905540226210405</v>
      </c>
    </row>
    <row r="51" spans="1:13" ht="12" customHeight="1">
      <c r="A51" s="136"/>
    </row>
    <row r="52" spans="1:13">
      <c r="A52" s="136"/>
    </row>
    <row r="53" spans="1:13">
      <c r="A53" s="136"/>
    </row>
    <row r="54" spans="1:13">
      <c r="A54" s="136"/>
    </row>
    <row r="55" spans="1:13">
      <c r="A55" s="136"/>
    </row>
    <row r="56" spans="1:13">
      <c r="A56" s="136"/>
    </row>
    <row r="57" spans="1:13">
      <c r="A57" s="136"/>
    </row>
    <row r="58" spans="1:13">
      <c r="A58" s="136"/>
    </row>
    <row r="59" spans="1:13">
      <c r="A59" s="136"/>
    </row>
    <row r="60" spans="1:13">
      <c r="A60" s="136"/>
    </row>
    <row r="61" spans="1:13">
      <c r="A61" s="136"/>
    </row>
    <row r="62" spans="1:13">
      <c r="A62" s="136"/>
    </row>
    <row r="63" spans="1:13">
      <c r="A63" s="136"/>
    </row>
    <row r="64" spans="1:13">
      <c r="A64" s="136"/>
    </row>
  </sheetData>
  <mergeCells count="1">
    <mergeCell ref="B1:K1"/>
  </mergeCells>
  <pageMargins left="0.7" right="0.7" top="0.75" bottom="0.75" header="0.3" footer="0.3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view="pageBreakPreview" topLeftCell="A4" zoomScale="60" zoomScaleNormal="100" workbookViewId="0">
      <selection activeCell="J35" sqref="J35"/>
    </sheetView>
  </sheetViews>
  <sheetFormatPr defaultColWidth="9.33203125" defaultRowHeight="12.75"/>
  <cols>
    <col min="1" max="1" width="1.5" style="118" customWidth="1"/>
    <col min="2" max="2" width="10.83203125" style="118" customWidth="1"/>
    <col min="3" max="3" width="14.1640625" style="118" customWidth="1"/>
    <col min="4" max="4" width="12.33203125" style="118" customWidth="1"/>
    <col min="5" max="5" width="16.83203125" style="118" customWidth="1"/>
    <col min="6" max="6" width="7.83203125" style="118" customWidth="1"/>
    <col min="7" max="7" width="9.83203125" style="118" customWidth="1"/>
    <col min="8" max="8" width="13.83203125" style="118" customWidth="1"/>
    <col min="9" max="10" width="12.5" style="118" customWidth="1"/>
    <col min="11" max="11" width="4.83203125" style="118" customWidth="1"/>
    <col min="12" max="12" width="9.83203125" style="118" customWidth="1"/>
    <col min="13" max="13" width="13.83203125" style="118" customWidth="1"/>
    <col min="14" max="14" width="12.5" style="118" customWidth="1"/>
    <col min="15" max="15" width="18" style="118" customWidth="1"/>
    <col min="16" max="16" width="7" style="118" customWidth="1"/>
    <col min="17" max="17" width="9.83203125" style="118" customWidth="1"/>
    <col min="18" max="18" width="13.83203125" style="118" customWidth="1"/>
    <col min="19" max="20" width="12.5" style="118" customWidth="1"/>
    <col min="21" max="21" width="5.1640625" style="118" customWidth="1"/>
    <col min="22" max="22" width="9.83203125" style="118" customWidth="1"/>
    <col min="23" max="23" width="13.83203125" style="118" customWidth="1"/>
    <col min="24" max="25" width="12.5" style="118" customWidth="1"/>
    <col min="26" max="26" width="5.6640625" style="118" customWidth="1"/>
    <col min="27" max="27" width="9.83203125" style="118" customWidth="1"/>
    <col min="28" max="28" width="13.83203125" style="118" customWidth="1"/>
    <col min="29" max="30" width="12.5" style="118" customWidth="1"/>
    <col min="31" max="31" width="6.33203125" style="118" customWidth="1"/>
    <col min="32" max="32" width="9.83203125" style="118" customWidth="1"/>
    <col min="33" max="33" width="13.83203125" style="118" customWidth="1"/>
    <col min="34" max="35" width="12.5" style="118" customWidth="1"/>
    <col min="36" max="36" width="5.6640625" style="118" customWidth="1"/>
    <col min="37" max="37" width="9.83203125" style="118" customWidth="1"/>
    <col min="38" max="38" width="13.83203125" style="118" customWidth="1"/>
    <col min="39" max="40" width="12.5" style="118" customWidth="1"/>
    <col min="41" max="41" width="5.6640625" style="118" customWidth="1"/>
    <col min="42" max="42" width="9.83203125" style="118" customWidth="1"/>
    <col min="43" max="43" width="13.83203125" style="118" customWidth="1"/>
    <col min="44" max="45" width="12.5" style="118" customWidth="1"/>
    <col min="46" max="46" width="5.6640625" style="118" customWidth="1"/>
    <col min="47" max="47" width="9.83203125" style="118" customWidth="1"/>
    <col min="48" max="48" width="13.83203125" style="118" customWidth="1"/>
    <col min="49" max="50" width="12.5" style="118" customWidth="1"/>
    <col min="51" max="51" width="6.33203125" style="118" customWidth="1"/>
    <col min="52" max="52" width="9.83203125" style="118" customWidth="1"/>
    <col min="53" max="53" width="13.83203125" style="118" customWidth="1"/>
    <col min="54" max="54" width="12.5" style="118" customWidth="1"/>
    <col min="55" max="55" width="15.1640625" style="118" customWidth="1"/>
    <col min="56" max="56" width="11.6640625" style="118" customWidth="1"/>
    <col min="57" max="57" width="9.83203125" style="118" customWidth="1"/>
    <col min="58" max="58" width="13.83203125" style="118" customWidth="1"/>
    <col min="59" max="59" width="12.5" style="162" customWidth="1"/>
    <col min="60" max="60" width="12.5" style="118" customWidth="1"/>
    <col min="61" max="16384" width="9.33203125" style="118"/>
  </cols>
  <sheetData>
    <row r="1" spans="2:60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</row>
    <row r="2" spans="2:60" ht="15.75">
      <c r="B2" s="116" t="s">
        <v>184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</row>
    <row r="3" spans="2:60" ht="15.75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</row>
    <row r="4" spans="2:60" s="337" customFormat="1" ht="18.75" customHeight="1">
      <c r="B4" s="412" t="s">
        <v>183</v>
      </c>
      <c r="C4" s="413"/>
      <c r="D4" s="413"/>
      <c r="E4" s="414"/>
      <c r="F4" s="119"/>
      <c r="G4" s="412" t="s">
        <v>188</v>
      </c>
      <c r="H4" s="413"/>
      <c r="I4" s="413"/>
      <c r="J4" s="414"/>
      <c r="K4" s="119"/>
      <c r="L4" s="408" t="s">
        <v>195</v>
      </c>
      <c r="M4" s="409"/>
      <c r="N4" s="409"/>
      <c r="O4" s="410"/>
      <c r="Q4" s="408" t="s">
        <v>186</v>
      </c>
      <c r="R4" s="409"/>
      <c r="S4" s="409"/>
      <c r="T4" s="410"/>
      <c r="U4" s="119"/>
      <c r="V4" s="412" t="s">
        <v>187</v>
      </c>
      <c r="W4" s="413"/>
      <c r="X4" s="413"/>
      <c r="Y4" s="414"/>
      <c r="Z4" s="119"/>
      <c r="AA4" s="412" t="s">
        <v>225</v>
      </c>
      <c r="AB4" s="413"/>
      <c r="AC4" s="413"/>
      <c r="AD4" s="414"/>
      <c r="AE4" s="119"/>
      <c r="AF4" s="412" t="s">
        <v>226</v>
      </c>
      <c r="AG4" s="413"/>
      <c r="AH4" s="413"/>
      <c r="AI4" s="414"/>
      <c r="AJ4" s="119"/>
      <c r="AK4" s="408" t="s">
        <v>191</v>
      </c>
      <c r="AL4" s="409"/>
      <c r="AM4" s="409"/>
      <c r="AN4" s="410"/>
      <c r="AO4" s="119"/>
      <c r="AP4" s="408" t="s">
        <v>197</v>
      </c>
      <c r="AQ4" s="409"/>
      <c r="AR4" s="409"/>
      <c r="AS4" s="410"/>
      <c r="AT4" s="119"/>
      <c r="AU4" s="408" t="s">
        <v>199</v>
      </c>
      <c r="AV4" s="409"/>
      <c r="AW4" s="409"/>
      <c r="AX4" s="410"/>
      <c r="AY4" s="119"/>
      <c r="AZ4" s="408" t="s">
        <v>223</v>
      </c>
      <c r="BA4" s="409"/>
      <c r="BB4" s="409"/>
      <c r="BC4" s="410"/>
      <c r="BD4" s="354"/>
      <c r="BE4" s="408" t="s">
        <v>224</v>
      </c>
      <c r="BF4" s="409"/>
      <c r="BG4" s="409"/>
      <c r="BH4" s="410"/>
    </row>
    <row r="5" spans="2:60" ht="51.75" customHeight="1">
      <c r="B5" s="121" t="s">
        <v>0</v>
      </c>
      <c r="C5" s="122" t="s">
        <v>89</v>
      </c>
      <c r="D5" s="122" t="s">
        <v>84</v>
      </c>
      <c r="E5" s="17" t="s">
        <v>54</v>
      </c>
      <c r="G5" s="121" t="s">
        <v>0</v>
      </c>
      <c r="H5" s="122" t="s">
        <v>89</v>
      </c>
      <c r="I5" s="122" t="s">
        <v>84</v>
      </c>
      <c r="J5" s="17" t="s">
        <v>54</v>
      </c>
      <c r="L5" s="121" t="s">
        <v>0</v>
      </c>
      <c r="M5" s="122" t="s">
        <v>89</v>
      </c>
      <c r="N5" s="122" t="s">
        <v>84</v>
      </c>
      <c r="O5" s="17" t="s">
        <v>54</v>
      </c>
      <c r="Q5" s="121" t="s">
        <v>0</v>
      </c>
      <c r="R5" s="122" t="s">
        <v>89</v>
      </c>
      <c r="S5" s="122" t="s">
        <v>84</v>
      </c>
      <c r="T5" s="17" t="s">
        <v>54</v>
      </c>
      <c r="V5" s="121" t="s">
        <v>0</v>
      </c>
      <c r="W5" s="122" t="s">
        <v>89</v>
      </c>
      <c r="X5" s="122" t="s">
        <v>84</v>
      </c>
      <c r="Y5" s="17" t="s">
        <v>54</v>
      </c>
      <c r="AA5" s="121" t="s">
        <v>0</v>
      </c>
      <c r="AB5" s="122" t="s">
        <v>89</v>
      </c>
      <c r="AC5" s="122" t="s">
        <v>84</v>
      </c>
      <c r="AD5" s="17" t="s">
        <v>54</v>
      </c>
      <c r="AF5" s="121" t="s">
        <v>0</v>
      </c>
      <c r="AG5" s="122" t="s">
        <v>89</v>
      </c>
      <c r="AH5" s="122" t="s">
        <v>84</v>
      </c>
      <c r="AI5" s="17" t="s">
        <v>54</v>
      </c>
      <c r="AK5" s="121" t="s">
        <v>0</v>
      </c>
      <c r="AL5" s="122" t="s">
        <v>89</v>
      </c>
      <c r="AM5" s="122" t="s">
        <v>84</v>
      </c>
      <c r="AN5" s="17" t="s">
        <v>54</v>
      </c>
      <c r="AP5" s="121" t="s">
        <v>0</v>
      </c>
      <c r="AQ5" s="122" t="s">
        <v>89</v>
      </c>
      <c r="AR5" s="122" t="s">
        <v>84</v>
      </c>
      <c r="AS5" s="17" t="s">
        <v>54</v>
      </c>
      <c r="AU5" s="121" t="s">
        <v>0</v>
      </c>
      <c r="AV5" s="122" t="s">
        <v>89</v>
      </c>
      <c r="AW5" s="122" t="s">
        <v>84</v>
      </c>
      <c r="AX5" s="17" t="s">
        <v>54</v>
      </c>
      <c r="AZ5" s="121" t="s">
        <v>0</v>
      </c>
      <c r="BA5" s="122" t="s">
        <v>89</v>
      </c>
      <c r="BB5" s="122" t="s">
        <v>84</v>
      </c>
      <c r="BC5" s="17" t="s">
        <v>54</v>
      </c>
      <c r="BE5" s="121" t="s">
        <v>0</v>
      </c>
      <c r="BF5" s="122" t="s">
        <v>89</v>
      </c>
      <c r="BG5" s="122" t="s">
        <v>84</v>
      </c>
      <c r="BH5" s="17" t="s">
        <v>54</v>
      </c>
    </row>
    <row r="6" spans="2:60" ht="24" customHeight="1">
      <c r="B6" s="123"/>
      <c r="C6" s="125" t="s">
        <v>9</v>
      </c>
      <c r="D6" s="124" t="s">
        <v>85</v>
      </c>
      <c r="E6" s="19" t="s">
        <v>9</v>
      </c>
      <c r="G6" s="123"/>
      <c r="H6" s="125" t="s">
        <v>9</v>
      </c>
      <c r="I6" s="124" t="s">
        <v>85</v>
      </c>
      <c r="J6" s="19" t="s">
        <v>9</v>
      </c>
      <c r="L6" s="123"/>
      <c r="M6" s="125" t="s">
        <v>9</v>
      </c>
      <c r="N6" s="124" t="s">
        <v>85</v>
      </c>
      <c r="O6" s="19" t="s">
        <v>9</v>
      </c>
      <c r="Q6" s="123"/>
      <c r="R6" s="125" t="s">
        <v>9</v>
      </c>
      <c r="S6" s="124" t="s">
        <v>85</v>
      </c>
      <c r="T6" s="19" t="s">
        <v>9</v>
      </c>
      <c r="V6" s="123"/>
      <c r="W6" s="125" t="s">
        <v>9</v>
      </c>
      <c r="X6" s="124" t="s">
        <v>85</v>
      </c>
      <c r="Y6" s="19" t="s">
        <v>9</v>
      </c>
      <c r="AA6" s="123"/>
      <c r="AB6" s="125" t="s">
        <v>9</v>
      </c>
      <c r="AC6" s="124" t="s">
        <v>85</v>
      </c>
      <c r="AD6" s="19" t="s">
        <v>9</v>
      </c>
      <c r="AF6" s="123"/>
      <c r="AG6" s="125" t="s">
        <v>9</v>
      </c>
      <c r="AH6" s="124" t="s">
        <v>85</v>
      </c>
      <c r="AI6" s="19" t="s">
        <v>9</v>
      </c>
      <c r="AK6" s="123"/>
      <c r="AL6" s="125" t="s">
        <v>9</v>
      </c>
      <c r="AM6" s="124" t="s">
        <v>85</v>
      </c>
      <c r="AN6" s="19" t="s">
        <v>9</v>
      </c>
      <c r="AP6" s="123"/>
      <c r="AQ6" s="125" t="s">
        <v>9</v>
      </c>
      <c r="AR6" s="124" t="s">
        <v>85</v>
      </c>
      <c r="AS6" s="19" t="s">
        <v>9</v>
      </c>
      <c r="AU6" s="123"/>
      <c r="AV6" s="125" t="s">
        <v>9</v>
      </c>
      <c r="AW6" s="124" t="s">
        <v>85</v>
      </c>
      <c r="AX6" s="19" t="s">
        <v>9</v>
      </c>
      <c r="AZ6" s="123"/>
      <c r="BA6" s="125" t="s">
        <v>9</v>
      </c>
      <c r="BB6" s="124" t="s">
        <v>85</v>
      </c>
      <c r="BC6" s="19" t="s">
        <v>9</v>
      </c>
      <c r="BE6" s="123"/>
      <c r="BF6" s="125" t="s">
        <v>9</v>
      </c>
      <c r="BG6" s="124" t="s">
        <v>85</v>
      </c>
      <c r="BH6" s="19" t="s">
        <v>9</v>
      </c>
    </row>
    <row r="7" spans="2:60">
      <c r="C7" s="126" t="s">
        <v>2</v>
      </c>
      <c r="D7" s="126" t="s">
        <v>4</v>
      </c>
      <c r="E7" s="126" t="s">
        <v>25</v>
      </c>
      <c r="H7" s="126" t="s">
        <v>2</v>
      </c>
      <c r="I7" s="126" t="s">
        <v>4</v>
      </c>
      <c r="J7" s="126" t="s">
        <v>25</v>
      </c>
      <c r="M7" s="126" t="s">
        <v>2</v>
      </c>
      <c r="N7" s="126" t="s">
        <v>4</v>
      </c>
      <c r="O7" s="126" t="s">
        <v>25</v>
      </c>
      <c r="R7" s="126" t="s">
        <v>2</v>
      </c>
      <c r="S7" s="126" t="s">
        <v>4</v>
      </c>
      <c r="T7" s="126" t="s">
        <v>25</v>
      </c>
      <c r="W7" s="126" t="s">
        <v>2</v>
      </c>
      <c r="X7" s="126" t="s">
        <v>4</v>
      </c>
      <c r="Y7" s="126" t="s">
        <v>25</v>
      </c>
      <c r="AB7" s="126" t="s">
        <v>2</v>
      </c>
      <c r="AC7" s="126" t="s">
        <v>4</v>
      </c>
      <c r="AD7" s="126" t="s">
        <v>25</v>
      </c>
      <c r="AG7" s="126" t="s">
        <v>2</v>
      </c>
      <c r="AH7" s="126" t="s">
        <v>4</v>
      </c>
      <c r="AI7" s="126" t="s">
        <v>25</v>
      </c>
      <c r="AL7" s="126" t="s">
        <v>2</v>
      </c>
      <c r="AM7" s="126" t="s">
        <v>4</v>
      </c>
      <c r="AN7" s="126" t="s">
        <v>25</v>
      </c>
      <c r="AQ7" s="126" t="s">
        <v>2</v>
      </c>
      <c r="AR7" s="126" t="s">
        <v>4</v>
      </c>
      <c r="AS7" s="126" t="s">
        <v>25</v>
      </c>
      <c r="AV7" s="126" t="s">
        <v>2</v>
      </c>
      <c r="AW7" s="126" t="s">
        <v>4</v>
      </c>
      <c r="AX7" s="126" t="s">
        <v>25</v>
      </c>
      <c r="BA7" s="126" t="s">
        <v>2</v>
      </c>
      <c r="BB7" s="126" t="s">
        <v>4</v>
      </c>
      <c r="BC7" s="126" t="s">
        <v>25</v>
      </c>
      <c r="BF7" s="126" t="s">
        <v>2</v>
      </c>
      <c r="BG7" s="126" t="s">
        <v>4</v>
      </c>
      <c r="BH7" s="126" t="s">
        <v>25</v>
      </c>
    </row>
    <row r="8" spans="2:60" ht="6" customHeight="1">
      <c r="BG8" s="118"/>
    </row>
    <row r="9" spans="2:60">
      <c r="B9" s="351" t="str">
        <f>B4</f>
        <v>Aeolus_Wyoming - to - Utah S, Expansion</v>
      </c>
      <c r="D9" s="120"/>
      <c r="E9" s="120"/>
      <c r="G9" s="351" t="str">
        <f>G4</f>
        <v>Goshen - to - Utah N, Expansion</v>
      </c>
      <c r="I9" s="120"/>
      <c r="J9" s="120"/>
      <c r="L9" s="351" t="str">
        <f>L4</f>
        <v>Yakima- to - Southern Oregon/California, Expansion</v>
      </c>
      <c r="N9" s="120"/>
      <c r="O9" s="120"/>
      <c r="Q9" s="351" t="str">
        <f>Q4</f>
        <v>Utah N, Transmission Integration</v>
      </c>
      <c r="S9" s="120"/>
      <c r="T9" s="120"/>
      <c r="V9" s="351" t="str">
        <f>V4</f>
        <v>Yakima, Transmission Integration</v>
      </c>
      <c r="X9" s="120"/>
      <c r="Y9" s="120"/>
      <c r="AA9" s="351" t="s">
        <v>189</v>
      </c>
      <c r="AC9" s="120"/>
      <c r="AD9" s="120"/>
      <c r="AF9" s="351" t="s">
        <v>190</v>
      </c>
      <c r="AH9" s="120"/>
      <c r="AI9" s="120"/>
      <c r="AK9" s="351" t="str">
        <f>AK4</f>
        <v>Southern Oregon/California, Transmission Integration</v>
      </c>
      <c r="AM9" s="120"/>
      <c r="AN9" s="120"/>
      <c r="AP9" s="351" t="str">
        <f>AP4</f>
        <v>Willamette Valley, Transmission Integration</v>
      </c>
      <c r="AR9" s="120"/>
      <c r="AS9" s="120"/>
      <c r="AU9" s="351" t="str">
        <f>AU4</f>
        <v>Wyoming SW, Transmission Integration</v>
      </c>
      <c r="AW9" s="120"/>
      <c r="AX9" s="120"/>
      <c r="AZ9" s="351" t="str">
        <f>AZ4</f>
        <v>Bridger - to - Bridger West, Recovered Transmission 2029</v>
      </c>
      <c r="BB9" s="120"/>
      <c r="BC9" s="120"/>
      <c r="BE9" s="351" t="str">
        <f>BE4</f>
        <v>Bridger - to - Bridger West, Recovered Transmission 2024</v>
      </c>
      <c r="BG9" s="120"/>
      <c r="BH9" s="120"/>
    </row>
    <row r="10" spans="2:60">
      <c r="B10" s="136">
        <v>2023</v>
      </c>
      <c r="C10" s="129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6">
        <v>12</v>
      </c>
      <c r="E10" s="131">
        <f t="shared" ref="E10:E32" si="0">SUM(C10:C10)*D10/12</f>
        <v>0</v>
      </c>
      <c r="F10" s="120"/>
      <c r="G10" s="136">
        <v>2023</v>
      </c>
      <c r="H10" s="129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6">
        <v>12</v>
      </c>
      <c r="J10" s="131">
        <f t="shared" ref="J10:J32" si="1">SUM(H10:H10)*I10/12</f>
        <v>0</v>
      </c>
      <c r="K10" s="120"/>
      <c r="L10" s="136">
        <v>2023</v>
      </c>
      <c r="M10" s="129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6">
        <v>12</v>
      </c>
      <c r="O10" s="131">
        <f t="shared" ref="O10:O32" si="2">SUM(M10:M10)*N10/12</f>
        <v>0</v>
      </c>
      <c r="P10" s="135"/>
      <c r="Q10" s="136">
        <f>$B10</f>
        <v>2023</v>
      </c>
      <c r="R10" s="129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6">
        <v>12</v>
      </c>
      <c r="T10" s="131">
        <f t="shared" ref="T10:T32" si="3">SUM(R10:R10)*S10/12</f>
        <v>0</v>
      </c>
      <c r="U10" s="120"/>
      <c r="V10" s="136">
        <f>$B10</f>
        <v>2023</v>
      </c>
      <c r="W10" s="129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6">
        <v>12</v>
      </c>
      <c r="Y10" s="131">
        <f t="shared" ref="Y10:Y32" si="4">SUM(W10:W10)*X10/12</f>
        <v>0</v>
      </c>
      <c r="Z10" s="120"/>
      <c r="AA10" s="342">
        <f>$B10</f>
        <v>2023</v>
      </c>
      <c r="AB10" s="129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6">
        <v>12</v>
      </c>
      <c r="AD10" s="131">
        <f t="shared" ref="AD10:AD32" si="5">SUM(AB10:AB10)*AC10/12</f>
        <v>1.4680258019147514</v>
      </c>
      <c r="AE10" s="120"/>
      <c r="AF10" s="136">
        <f>$B10</f>
        <v>2023</v>
      </c>
      <c r="AG10" s="129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6">
        <v>12</v>
      </c>
      <c r="AI10" s="131">
        <f t="shared" ref="AI10:AI32" si="6">SUM(AG10:AG10)*AH10/12</f>
        <v>0</v>
      </c>
      <c r="AJ10" s="120"/>
      <c r="AK10" s="136">
        <f>$B10</f>
        <v>2023</v>
      </c>
      <c r="AL10" s="129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6">
        <v>12</v>
      </c>
      <c r="AN10" s="131">
        <f t="shared" ref="AN10:AN32" si="7">SUM(AL10:AL10)*AM10/12</f>
        <v>0</v>
      </c>
      <c r="AO10" s="120"/>
      <c r="AP10" s="136">
        <f>$B10</f>
        <v>2023</v>
      </c>
      <c r="AQ10" s="129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6">
        <v>12</v>
      </c>
      <c r="AS10" s="131">
        <f t="shared" ref="AS10:AS32" si="8">SUM(AQ10:AQ10)*AR10/12</f>
        <v>0</v>
      </c>
      <c r="AT10" s="120"/>
      <c r="AU10" s="136">
        <f>$B10</f>
        <v>2023</v>
      </c>
      <c r="AV10" s="129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6">
        <v>12</v>
      </c>
      <c r="AX10" s="131">
        <f t="shared" ref="AX10:AX32" si="9">SUM(AV10:AV10)*AW10/12</f>
        <v>0</v>
      </c>
      <c r="AY10" s="120"/>
      <c r="AZ10" s="136">
        <f>V10</f>
        <v>2023</v>
      </c>
      <c r="BA10" s="129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6">
        <v>12</v>
      </c>
      <c r="BC10" s="131">
        <f t="shared" ref="BC10:BC32" si="10">SUM(BA10:BA10)*BB10/12</f>
        <v>0</v>
      </c>
      <c r="BE10" s="136">
        <f>AA10</f>
        <v>2023</v>
      </c>
      <c r="BF10" s="129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6">
        <v>12</v>
      </c>
      <c r="BH10" s="131">
        <f t="shared" ref="BH10:BH32" si="11">SUM(BF10:BF10)*BG10/12</f>
        <v>0</v>
      </c>
    </row>
    <row r="11" spans="2:60">
      <c r="B11" s="342">
        <f t="shared" ref="B11:B32" si="12">B10+1</f>
        <v>2024</v>
      </c>
      <c r="C11" s="129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6">
        <v>12</v>
      </c>
      <c r="E11" s="131">
        <f t="shared" si="0"/>
        <v>47.870308055404145</v>
      </c>
      <c r="F11" s="120"/>
      <c r="G11" s="136">
        <f t="shared" ref="G11:G32" si="13">G10+1</f>
        <v>2024</v>
      </c>
      <c r="H11" s="129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6">
        <v>12</v>
      </c>
      <c r="J11" s="131">
        <f t="shared" si="1"/>
        <v>0</v>
      </c>
      <c r="K11" s="120"/>
      <c r="L11" s="136">
        <f t="shared" ref="L11:L32" si="14">L10+1</f>
        <v>2024</v>
      </c>
      <c r="M11" s="129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6">
        <v>12</v>
      </c>
      <c r="O11" s="131">
        <f t="shared" si="2"/>
        <v>0</v>
      </c>
      <c r="P11" s="135"/>
      <c r="Q11" s="342">
        <f t="shared" ref="Q11:Q32" si="15">Q10+1</f>
        <v>2024</v>
      </c>
      <c r="R11" s="129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6">
        <v>12</v>
      </c>
      <c r="T11" s="131">
        <f t="shared" si="3"/>
        <v>2.5818101631996475</v>
      </c>
      <c r="U11" s="120"/>
      <c r="V11" s="342">
        <f t="shared" ref="V11:V32" si="16">V10+1</f>
        <v>2024</v>
      </c>
      <c r="W11" s="129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6">
        <v>12</v>
      </c>
      <c r="Y11" s="131">
        <f t="shared" si="4"/>
        <v>0.39132049215213044</v>
      </c>
      <c r="Z11" s="120"/>
      <c r="AA11" s="136">
        <f t="shared" ref="AA11:AA32" si="17">AA10+1</f>
        <v>2024</v>
      </c>
      <c r="AB11" s="129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6">
        <v>12</v>
      </c>
      <c r="AD11" s="131">
        <f t="shared" si="5"/>
        <v>1.5</v>
      </c>
      <c r="AE11" s="120"/>
      <c r="AF11" s="136">
        <f t="shared" ref="AF11:AF32" si="18">AF10+1</f>
        <v>2024</v>
      </c>
      <c r="AG11" s="129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6">
        <v>12</v>
      </c>
      <c r="AI11" s="131">
        <f t="shared" si="6"/>
        <v>0</v>
      </c>
      <c r="AJ11" s="120"/>
      <c r="AK11" s="136">
        <f t="shared" ref="AK11:AK32" si="19">AK10+1</f>
        <v>2024</v>
      </c>
      <c r="AL11" s="129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6">
        <v>12</v>
      </c>
      <c r="AN11" s="131">
        <f t="shared" si="7"/>
        <v>0</v>
      </c>
      <c r="AO11" s="120"/>
      <c r="AP11" s="136">
        <f t="shared" ref="AP11:AP32" si="20">AP10+1</f>
        <v>2024</v>
      </c>
      <c r="AQ11" s="129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6">
        <v>12</v>
      </c>
      <c r="AS11" s="131">
        <f t="shared" si="8"/>
        <v>0</v>
      </c>
      <c r="AT11" s="120"/>
      <c r="AU11" s="136">
        <f t="shared" ref="AU11:AU32" si="21">AU10+1</f>
        <v>2024</v>
      </c>
      <c r="AV11" s="129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6">
        <v>12</v>
      </c>
      <c r="AX11" s="131">
        <f t="shared" si="9"/>
        <v>0</v>
      </c>
      <c r="AY11" s="120"/>
      <c r="AZ11" s="136">
        <f t="shared" ref="AZ11:AZ32" si="22">AZ10+1</f>
        <v>2024</v>
      </c>
      <c r="BA11" s="129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6">
        <v>12</v>
      </c>
      <c r="BC11" s="131">
        <f t="shared" si="10"/>
        <v>0</v>
      </c>
      <c r="BE11" s="342">
        <f t="shared" ref="BE11:BE32" si="23">BE10+1</f>
        <v>2024</v>
      </c>
      <c r="BF11" s="129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6">
        <v>12</v>
      </c>
      <c r="BH11" s="131">
        <f t="shared" si="11"/>
        <v>0</v>
      </c>
    </row>
    <row r="12" spans="2:60">
      <c r="B12" s="136">
        <f t="shared" si="12"/>
        <v>2025</v>
      </c>
      <c r="C12" s="129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48.94</v>
      </c>
      <c r="D12" s="136">
        <v>12</v>
      </c>
      <c r="E12" s="131">
        <f t="shared" si="0"/>
        <v>48.94</v>
      </c>
      <c r="F12" s="120"/>
      <c r="G12" s="136">
        <f t="shared" si="13"/>
        <v>2025</v>
      </c>
      <c r="H12" s="129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6">
        <v>12</v>
      </c>
      <c r="J12" s="131">
        <f t="shared" si="1"/>
        <v>0</v>
      </c>
      <c r="K12" s="120"/>
      <c r="L12" s="136">
        <f t="shared" si="14"/>
        <v>2025</v>
      </c>
      <c r="M12" s="129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6">
        <v>12</v>
      </c>
      <c r="O12" s="131">
        <f t="shared" si="2"/>
        <v>0</v>
      </c>
      <c r="Q12" s="136">
        <f t="shared" si="15"/>
        <v>2025</v>
      </c>
      <c r="R12" s="129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6">
        <v>12</v>
      </c>
      <c r="T12" s="131">
        <f t="shared" si="3"/>
        <v>2.64</v>
      </c>
      <c r="U12" s="120"/>
      <c r="V12" s="136">
        <f t="shared" si="16"/>
        <v>2025</v>
      </c>
      <c r="W12" s="129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6">
        <v>12</v>
      </c>
      <c r="Y12" s="131">
        <f t="shared" si="4"/>
        <v>0.40000000000000008</v>
      </c>
      <c r="Z12" s="120"/>
      <c r="AA12" s="136">
        <f t="shared" si="17"/>
        <v>2025</v>
      </c>
      <c r="AB12" s="129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1.53</v>
      </c>
      <c r="AC12" s="136">
        <v>12</v>
      </c>
      <c r="AD12" s="131">
        <f t="shared" si="5"/>
        <v>1.53</v>
      </c>
      <c r="AE12" s="120"/>
      <c r="AF12" s="136">
        <f t="shared" si="18"/>
        <v>2025</v>
      </c>
      <c r="AG12" s="129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6">
        <v>12</v>
      </c>
      <c r="AI12" s="131">
        <f t="shared" si="6"/>
        <v>0</v>
      </c>
      <c r="AJ12" s="120"/>
      <c r="AK12" s="136">
        <f t="shared" si="19"/>
        <v>2025</v>
      </c>
      <c r="AL12" s="129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6">
        <v>12</v>
      </c>
      <c r="AN12" s="131">
        <f t="shared" si="7"/>
        <v>0</v>
      </c>
      <c r="AO12" s="120"/>
      <c r="AP12" s="136">
        <f t="shared" si="20"/>
        <v>2025</v>
      </c>
      <c r="AQ12" s="129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6">
        <v>12</v>
      </c>
      <c r="AS12" s="131">
        <f t="shared" si="8"/>
        <v>0</v>
      </c>
      <c r="AT12" s="120"/>
      <c r="AU12" s="136">
        <f t="shared" si="21"/>
        <v>2025</v>
      </c>
      <c r="AV12" s="129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6">
        <v>12</v>
      </c>
      <c r="AX12" s="131">
        <f t="shared" si="9"/>
        <v>0</v>
      </c>
      <c r="AY12" s="120"/>
      <c r="AZ12" s="136">
        <f t="shared" si="22"/>
        <v>2025</v>
      </c>
      <c r="BA12" s="129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6">
        <v>12</v>
      </c>
      <c r="BC12" s="131">
        <f t="shared" si="10"/>
        <v>0</v>
      </c>
      <c r="BE12" s="136">
        <f t="shared" si="23"/>
        <v>2025</v>
      </c>
      <c r="BF12" s="129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6">
        <v>12</v>
      </c>
      <c r="BH12" s="131">
        <f t="shared" si="11"/>
        <v>0</v>
      </c>
    </row>
    <row r="13" spans="2:60">
      <c r="B13" s="136">
        <f t="shared" si="12"/>
        <v>2026</v>
      </c>
      <c r="C13" s="129">
        <f t="shared" si="24"/>
        <v>50.02</v>
      </c>
      <c r="D13" s="136">
        <v>12</v>
      </c>
      <c r="E13" s="131">
        <f t="shared" si="0"/>
        <v>50.02</v>
      </c>
      <c r="F13" s="120"/>
      <c r="G13" s="136">
        <f t="shared" si="13"/>
        <v>2026</v>
      </c>
      <c r="H13" s="129">
        <f t="shared" si="25"/>
        <v>0</v>
      </c>
      <c r="I13" s="136">
        <v>12</v>
      </c>
      <c r="J13" s="131">
        <f t="shared" si="1"/>
        <v>0</v>
      </c>
      <c r="K13" s="120"/>
      <c r="L13" s="136">
        <f t="shared" si="14"/>
        <v>2026</v>
      </c>
      <c r="M13" s="129">
        <f t="shared" si="26"/>
        <v>0</v>
      </c>
      <c r="N13" s="136">
        <v>12</v>
      </c>
      <c r="O13" s="131">
        <f t="shared" si="2"/>
        <v>0</v>
      </c>
      <c r="Q13" s="136">
        <f t="shared" si="15"/>
        <v>2026</v>
      </c>
      <c r="R13" s="129">
        <f t="shared" si="27"/>
        <v>2.7</v>
      </c>
      <c r="S13" s="136">
        <v>12</v>
      </c>
      <c r="T13" s="131">
        <f t="shared" si="3"/>
        <v>2.7000000000000006</v>
      </c>
      <c r="U13" s="120"/>
      <c r="V13" s="136">
        <f t="shared" si="16"/>
        <v>2026</v>
      </c>
      <c r="W13" s="129">
        <f t="shared" si="28"/>
        <v>0.41</v>
      </c>
      <c r="X13" s="136">
        <v>12</v>
      </c>
      <c r="Y13" s="131">
        <f t="shared" si="4"/>
        <v>0.41</v>
      </c>
      <c r="Z13" s="120"/>
      <c r="AA13" s="136">
        <f t="shared" si="17"/>
        <v>2026</v>
      </c>
      <c r="AB13" s="129">
        <f t="shared" si="29"/>
        <v>1.56</v>
      </c>
      <c r="AC13" s="136">
        <v>12</v>
      </c>
      <c r="AD13" s="131">
        <f t="shared" si="5"/>
        <v>1.5599999999999998</v>
      </c>
      <c r="AE13" s="120"/>
      <c r="AF13" s="136">
        <f t="shared" si="18"/>
        <v>2026</v>
      </c>
      <c r="AG13" s="129">
        <f t="shared" si="30"/>
        <v>0</v>
      </c>
      <c r="AH13" s="136">
        <v>12</v>
      </c>
      <c r="AI13" s="131">
        <f t="shared" si="6"/>
        <v>0</v>
      </c>
      <c r="AJ13" s="120"/>
      <c r="AK13" s="136">
        <f t="shared" si="19"/>
        <v>2026</v>
      </c>
      <c r="AL13" s="129">
        <f t="shared" si="31"/>
        <v>0</v>
      </c>
      <c r="AM13" s="136">
        <v>12</v>
      </c>
      <c r="AN13" s="131">
        <f t="shared" si="7"/>
        <v>0</v>
      </c>
      <c r="AO13" s="120"/>
      <c r="AP13" s="136">
        <f t="shared" si="20"/>
        <v>2026</v>
      </c>
      <c r="AQ13" s="129">
        <f t="shared" si="32"/>
        <v>0</v>
      </c>
      <c r="AR13" s="136">
        <v>12</v>
      </c>
      <c r="AS13" s="131">
        <f t="shared" si="8"/>
        <v>0</v>
      </c>
      <c r="AT13" s="120"/>
      <c r="AU13" s="136">
        <f t="shared" si="21"/>
        <v>2026</v>
      </c>
      <c r="AV13" s="129">
        <f t="shared" si="33"/>
        <v>0</v>
      </c>
      <c r="AW13" s="136">
        <v>12</v>
      </c>
      <c r="AX13" s="131">
        <f t="shared" si="9"/>
        <v>0</v>
      </c>
      <c r="AY13" s="120"/>
      <c r="AZ13" s="136">
        <f t="shared" si="22"/>
        <v>2026</v>
      </c>
      <c r="BA13" s="129">
        <f t="shared" si="34"/>
        <v>0</v>
      </c>
      <c r="BB13" s="136">
        <v>12</v>
      </c>
      <c r="BC13" s="131">
        <f t="shared" si="10"/>
        <v>0</v>
      </c>
      <c r="BE13" s="136">
        <f t="shared" si="23"/>
        <v>2026</v>
      </c>
      <c r="BF13" s="129">
        <f t="shared" si="35"/>
        <v>0</v>
      </c>
      <c r="BG13" s="136">
        <v>12</v>
      </c>
      <c r="BH13" s="131">
        <f t="shared" si="11"/>
        <v>0</v>
      </c>
    </row>
    <row r="14" spans="2:60">
      <c r="B14" s="136">
        <f t="shared" si="12"/>
        <v>2027</v>
      </c>
      <c r="C14" s="129">
        <f t="shared" si="24"/>
        <v>51.13</v>
      </c>
      <c r="D14" s="136">
        <v>12</v>
      </c>
      <c r="E14" s="131">
        <f t="shared" si="0"/>
        <v>51.13</v>
      </c>
      <c r="F14" s="120"/>
      <c r="G14" s="136">
        <f t="shared" si="13"/>
        <v>2027</v>
      </c>
      <c r="H14" s="129">
        <f t="shared" si="25"/>
        <v>0</v>
      </c>
      <c r="I14" s="136">
        <v>12</v>
      </c>
      <c r="J14" s="131">
        <f t="shared" si="1"/>
        <v>0</v>
      </c>
      <c r="K14" s="120"/>
      <c r="L14" s="136">
        <f t="shared" si="14"/>
        <v>2027</v>
      </c>
      <c r="M14" s="129">
        <f t="shared" si="26"/>
        <v>0</v>
      </c>
      <c r="N14" s="136">
        <v>12</v>
      </c>
      <c r="O14" s="131">
        <f t="shared" si="2"/>
        <v>0</v>
      </c>
      <c r="Q14" s="136">
        <f t="shared" si="15"/>
        <v>2027</v>
      </c>
      <c r="R14" s="129">
        <f t="shared" si="27"/>
        <v>2.76</v>
      </c>
      <c r="S14" s="136">
        <v>12</v>
      </c>
      <c r="T14" s="131">
        <f t="shared" si="3"/>
        <v>2.76</v>
      </c>
      <c r="U14" s="120"/>
      <c r="V14" s="136">
        <f t="shared" si="16"/>
        <v>2027</v>
      </c>
      <c r="W14" s="129">
        <f t="shared" si="28"/>
        <v>0.42</v>
      </c>
      <c r="X14" s="136">
        <v>12</v>
      </c>
      <c r="Y14" s="131">
        <f t="shared" si="4"/>
        <v>0.42</v>
      </c>
      <c r="Z14" s="120"/>
      <c r="AA14" s="136">
        <f t="shared" si="17"/>
        <v>2027</v>
      </c>
      <c r="AB14" s="129">
        <f t="shared" si="29"/>
        <v>1.59</v>
      </c>
      <c r="AC14" s="136">
        <v>12</v>
      </c>
      <c r="AD14" s="131">
        <f t="shared" si="5"/>
        <v>1.59</v>
      </c>
      <c r="AE14" s="120"/>
      <c r="AF14" s="136">
        <f t="shared" si="18"/>
        <v>2027</v>
      </c>
      <c r="AG14" s="129">
        <f t="shared" si="30"/>
        <v>0</v>
      </c>
      <c r="AH14" s="136">
        <v>12</v>
      </c>
      <c r="AI14" s="131">
        <f t="shared" si="6"/>
        <v>0</v>
      </c>
      <c r="AJ14" s="120"/>
      <c r="AK14" s="136">
        <f t="shared" si="19"/>
        <v>2027</v>
      </c>
      <c r="AL14" s="129">
        <f t="shared" si="31"/>
        <v>0</v>
      </c>
      <c r="AM14" s="136">
        <v>12</v>
      </c>
      <c r="AN14" s="131">
        <f t="shared" si="7"/>
        <v>0</v>
      </c>
      <c r="AO14" s="120"/>
      <c r="AP14" s="136">
        <f t="shared" si="20"/>
        <v>2027</v>
      </c>
      <c r="AQ14" s="129">
        <f t="shared" si="32"/>
        <v>0</v>
      </c>
      <c r="AR14" s="136">
        <v>12</v>
      </c>
      <c r="AS14" s="131">
        <f t="shared" si="8"/>
        <v>0</v>
      </c>
      <c r="AT14" s="120"/>
      <c r="AU14" s="136">
        <f t="shared" si="21"/>
        <v>2027</v>
      </c>
      <c r="AV14" s="129">
        <f t="shared" si="33"/>
        <v>0</v>
      </c>
      <c r="AW14" s="136">
        <v>12</v>
      </c>
      <c r="AX14" s="131">
        <f t="shared" si="9"/>
        <v>0</v>
      </c>
      <c r="AY14" s="120"/>
      <c r="AZ14" s="136">
        <f t="shared" si="22"/>
        <v>2027</v>
      </c>
      <c r="BA14" s="129">
        <f t="shared" si="34"/>
        <v>0</v>
      </c>
      <c r="BB14" s="136">
        <v>12</v>
      </c>
      <c r="BC14" s="131">
        <f t="shared" si="10"/>
        <v>0</v>
      </c>
      <c r="BD14" s="187"/>
      <c r="BE14" s="136">
        <f t="shared" si="23"/>
        <v>2027</v>
      </c>
      <c r="BF14" s="129">
        <f t="shared" si="35"/>
        <v>0</v>
      </c>
      <c r="BG14" s="136">
        <v>12</v>
      </c>
      <c r="BH14" s="131">
        <f t="shared" si="11"/>
        <v>0</v>
      </c>
    </row>
    <row r="15" spans="2:60">
      <c r="B15" s="136">
        <f t="shared" si="12"/>
        <v>2028</v>
      </c>
      <c r="C15" s="129">
        <f t="shared" si="24"/>
        <v>52.28</v>
      </c>
      <c r="D15" s="136">
        <v>12</v>
      </c>
      <c r="E15" s="131">
        <f t="shared" si="0"/>
        <v>52.28</v>
      </c>
      <c r="F15" s="120"/>
      <c r="G15" s="136">
        <f t="shared" si="13"/>
        <v>2028</v>
      </c>
      <c r="H15" s="129">
        <f t="shared" si="25"/>
        <v>0</v>
      </c>
      <c r="I15" s="136">
        <v>12</v>
      </c>
      <c r="J15" s="131">
        <f t="shared" si="1"/>
        <v>0</v>
      </c>
      <c r="K15" s="120"/>
      <c r="L15" s="136">
        <f t="shared" si="14"/>
        <v>2028</v>
      </c>
      <c r="M15" s="129">
        <f t="shared" si="26"/>
        <v>0</v>
      </c>
      <c r="N15" s="136">
        <v>12</v>
      </c>
      <c r="O15" s="131">
        <f t="shared" si="2"/>
        <v>0</v>
      </c>
      <c r="Q15" s="136">
        <f t="shared" si="15"/>
        <v>2028</v>
      </c>
      <c r="R15" s="129">
        <f t="shared" si="27"/>
        <v>2.82</v>
      </c>
      <c r="S15" s="136">
        <v>12</v>
      </c>
      <c r="T15" s="131">
        <f t="shared" si="3"/>
        <v>2.82</v>
      </c>
      <c r="U15" s="120"/>
      <c r="V15" s="136">
        <f t="shared" si="16"/>
        <v>2028</v>
      </c>
      <c r="W15" s="129">
        <f t="shared" si="28"/>
        <v>0.43</v>
      </c>
      <c r="X15" s="136">
        <v>12</v>
      </c>
      <c r="Y15" s="131">
        <f t="shared" si="4"/>
        <v>0.43</v>
      </c>
      <c r="Z15" s="120"/>
      <c r="AA15" s="136">
        <f t="shared" si="17"/>
        <v>2028</v>
      </c>
      <c r="AB15" s="129">
        <f t="shared" si="29"/>
        <v>1.63</v>
      </c>
      <c r="AC15" s="136">
        <v>12</v>
      </c>
      <c r="AD15" s="131">
        <f t="shared" si="5"/>
        <v>1.63</v>
      </c>
      <c r="AE15" s="120"/>
      <c r="AF15" s="136">
        <f t="shared" si="18"/>
        <v>2028</v>
      </c>
      <c r="AG15" s="129">
        <f t="shared" si="30"/>
        <v>0</v>
      </c>
      <c r="AH15" s="136">
        <v>12</v>
      </c>
      <c r="AI15" s="131">
        <f t="shared" si="6"/>
        <v>0</v>
      </c>
      <c r="AJ15" s="120"/>
      <c r="AK15" s="136">
        <f t="shared" si="19"/>
        <v>2028</v>
      </c>
      <c r="AL15" s="129">
        <f t="shared" si="31"/>
        <v>0</v>
      </c>
      <c r="AM15" s="136">
        <v>12</v>
      </c>
      <c r="AN15" s="131">
        <f t="shared" si="7"/>
        <v>0</v>
      </c>
      <c r="AO15" s="120"/>
      <c r="AP15" s="136">
        <f t="shared" si="20"/>
        <v>2028</v>
      </c>
      <c r="AQ15" s="129">
        <f t="shared" si="32"/>
        <v>0</v>
      </c>
      <c r="AR15" s="136">
        <v>12</v>
      </c>
      <c r="AS15" s="131">
        <f t="shared" si="8"/>
        <v>0</v>
      </c>
      <c r="AT15" s="120"/>
      <c r="AU15" s="136">
        <f t="shared" si="21"/>
        <v>2028</v>
      </c>
      <c r="AV15" s="129">
        <f t="shared" si="33"/>
        <v>0</v>
      </c>
      <c r="AW15" s="136">
        <v>12</v>
      </c>
      <c r="AX15" s="131">
        <f t="shared" si="9"/>
        <v>0</v>
      </c>
      <c r="AY15" s="120"/>
      <c r="AZ15" s="136">
        <f t="shared" si="22"/>
        <v>2028</v>
      </c>
      <c r="BA15" s="129">
        <f t="shared" si="34"/>
        <v>0</v>
      </c>
      <c r="BB15" s="136">
        <v>12</v>
      </c>
      <c r="BC15" s="131">
        <f t="shared" si="10"/>
        <v>0</v>
      </c>
      <c r="BE15" s="136">
        <f t="shared" si="23"/>
        <v>2028</v>
      </c>
      <c r="BF15" s="129">
        <f t="shared" si="35"/>
        <v>0</v>
      </c>
      <c r="BG15" s="136">
        <v>12</v>
      </c>
      <c r="BH15" s="131">
        <f t="shared" si="11"/>
        <v>0</v>
      </c>
    </row>
    <row r="16" spans="2:60">
      <c r="B16" s="136">
        <f t="shared" si="12"/>
        <v>2029</v>
      </c>
      <c r="C16" s="129">
        <f t="shared" si="24"/>
        <v>53.47</v>
      </c>
      <c r="D16" s="136">
        <v>12</v>
      </c>
      <c r="E16" s="131">
        <f t="shared" si="0"/>
        <v>53.47</v>
      </c>
      <c r="F16" s="120"/>
      <c r="G16" s="136">
        <f t="shared" si="13"/>
        <v>2029</v>
      </c>
      <c r="H16" s="129">
        <f t="shared" si="25"/>
        <v>0</v>
      </c>
      <c r="I16" s="136">
        <v>12</v>
      </c>
      <c r="J16" s="131">
        <f t="shared" si="1"/>
        <v>0</v>
      </c>
      <c r="K16" s="120"/>
      <c r="L16" s="136">
        <f t="shared" si="14"/>
        <v>2029</v>
      </c>
      <c r="M16" s="129">
        <f t="shared" si="26"/>
        <v>0</v>
      </c>
      <c r="N16" s="136">
        <v>12</v>
      </c>
      <c r="O16" s="131">
        <f t="shared" si="2"/>
        <v>0</v>
      </c>
      <c r="Q16" s="136">
        <f t="shared" si="15"/>
        <v>2029</v>
      </c>
      <c r="R16" s="129">
        <f t="shared" si="27"/>
        <v>2.88</v>
      </c>
      <c r="S16" s="136">
        <v>12</v>
      </c>
      <c r="T16" s="131">
        <f t="shared" si="3"/>
        <v>2.8800000000000003</v>
      </c>
      <c r="U16" s="120"/>
      <c r="V16" s="136">
        <f t="shared" si="16"/>
        <v>2029</v>
      </c>
      <c r="W16" s="129">
        <f t="shared" si="28"/>
        <v>0.44</v>
      </c>
      <c r="X16" s="136">
        <v>12</v>
      </c>
      <c r="Y16" s="131">
        <f t="shared" si="4"/>
        <v>0.44</v>
      </c>
      <c r="Z16" s="120"/>
      <c r="AA16" s="136">
        <f t="shared" si="17"/>
        <v>2029</v>
      </c>
      <c r="AB16" s="129">
        <f t="shared" si="29"/>
        <v>1.67</v>
      </c>
      <c r="AC16" s="136">
        <v>12</v>
      </c>
      <c r="AD16" s="131">
        <f t="shared" si="5"/>
        <v>1.67</v>
      </c>
      <c r="AE16" s="120"/>
      <c r="AF16" s="136">
        <f t="shared" si="18"/>
        <v>2029</v>
      </c>
      <c r="AG16" s="129">
        <f t="shared" si="30"/>
        <v>0</v>
      </c>
      <c r="AH16" s="136">
        <v>12</v>
      </c>
      <c r="AI16" s="131">
        <f t="shared" si="6"/>
        <v>0</v>
      </c>
      <c r="AJ16" s="120"/>
      <c r="AK16" s="136">
        <f t="shared" si="19"/>
        <v>2029</v>
      </c>
      <c r="AL16" s="129">
        <f t="shared" si="31"/>
        <v>0</v>
      </c>
      <c r="AM16" s="136">
        <v>12</v>
      </c>
      <c r="AN16" s="131">
        <f t="shared" si="7"/>
        <v>0</v>
      </c>
      <c r="AO16" s="120"/>
      <c r="AP16" s="136">
        <f t="shared" si="20"/>
        <v>2029</v>
      </c>
      <c r="AQ16" s="129">
        <f t="shared" si="32"/>
        <v>0</v>
      </c>
      <c r="AR16" s="136">
        <v>12</v>
      </c>
      <c r="AS16" s="131">
        <f t="shared" si="8"/>
        <v>0</v>
      </c>
      <c r="AT16" s="120"/>
      <c r="AU16" s="136">
        <f t="shared" si="21"/>
        <v>2029</v>
      </c>
      <c r="AV16" s="129">
        <f t="shared" si="33"/>
        <v>0</v>
      </c>
      <c r="AW16" s="136">
        <v>12</v>
      </c>
      <c r="AX16" s="131">
        <f t="shared" si="9"/>
        <v>0</v>
      </c>
      <c r="AY16" s="120"/>
      <c r="AZ16" s="342">
        <f t="shared" si="22"/>
        <v>2029</v>
      </c>
      <c r="BA16" s="129">
        <f t="shared" si="34"/>
        <v>0</v>
      </c>
      <c r="BB16" s="136">
        <v>12</v>
      </c>
      <c r="BC16" s="131">
        <f t="shared" si="10"/>
        <v>0</v>
      </c>
      <c r="BE16" s="136">
        <f t="shared" si="23"/>
        <v>2029</v>
      </c>
      <c r="BF16" s="129">
        <f t="shared" si="35"/>
        <v>0</v>
      </c>
      <c r="BG16" s="136">
        <v>12</v>
      </c>
      <c r="BH16" s="131">
        <f t="shared" si="11"/>
        <v>0</v>
      </c>
    </row>
    <row r="17" spans="2:60">
      <c r="B17" s="136">
        <f t="shared" si="12"/>
        <v>2030</v>
      </c>
      <c r="C17" s="129">
        <f t="shared" si="24"/>
        <v>54.67</v>
      </c>
      <c r="D17" s="136">
        <v>12</v>
      </c>
      <c r="E17" s="131">
        <f t="shared" si="0"/>
        <v>54.669999999999995</v>
      </c>
      <c r="F17" s="120"/>
      <c r="G17" s="342">
        <f t="shared" si="13"/>
        <v>2030</v>
      </c>
      <c r="H17" s="129">
        <f t="shared" si="25"/>
        <v>12.097273854334603</v>
      </c>
      <c r="I17" s="136">
        <v>12</v>
      </c>
      <c r="J17" s="131">
        <f t="shared" si="1"/>
        <v>12.097273854334603</v>
      </c>
      <c r="K17" s="120"/>
      <c r="L17" s="136">
        <f t="shared" si="14"/>
        <v>2030</v>
      </c>
      <c r="M17" s="129">
        <f t="shared" si="26"/>
        <v>0</v>
      </c>
      <c r="N17" s="136">
        <v>12</v>
      </c>
      <c r="O17" s="131">
        <f t="shared" si="2"/>
        <v>0</v>
      </c>
      <c r="Q17" s="136">
        <f t="shared" si="15"/>
        <v>2030</v>
      </c>
      <c r="R17" s="129">
        <f t="shared" si="27"/>
        <v>2.94</v>
      </c>
      <c r="S17" s="136">
        <v>12</v>
      </c>
      <c r="T17" s="131">
        <f t="shared" si="3"/>
        <v>2.94</v>
      </c>
      <c r="U17" s="120"/>
      <c r="V17" s="136">
        <f t="shared" si="16"/>
        <v>2030</v>
      </c>
      <c r="W17" s="129">
        <f t="shared" si="28"/>
        <v>0.45</v>
      </c>
      <c r="X17" s="136">
        <v>12</v>
      </c>
      <c r="Y17" s="131">
        <f t="shared" si="4"/>
        <v>0.45</v>
      </c>
      <c r="Z17" s="120"/>
      <c r="AA17" s="136">
        <f t="shared" si="17"/>
        <v>2030</v>
      </c>
      <c r="AB17" s="129">
        <f t="shared" si="29"/>
        <v>1.71</v>
      </c>
      <c r="AC17" s="136">
        <v>12</v>
      </c>
      <c r="AD17" s="131">
        <f t="shared" si="5"/>
        <v>1.71</v>
      </c>
      <c r="AE17" s="120"/>
      <c r="AF17" s="342">
        <f t="shared" si="18"/>
        <v>2030</v>
      </c>
      <c r="AG17" s="129">
        <f t="shared" si="30"/>
        <v>21.577297145999619</v>
      </c>
      <c r="AH17" s="136">
        <v>12</v>
      </c>
      <c r="AI17" s="131">
        <f t="shared" si="6"/>
        <v>21.577297145999619</v>
      </c>
      <c r="AJ17" s="120"/>
      <c r="AK17" s="136">
        <f t="shared" si="19"/>
        <v>2030</v>
      </c>
      <c r="AL17" s="129">
        <f t="shared" si="31"/>
        <v>0</v>
      </c>
      <c r="AM17" s="136">
        <v>12</v>
      </c>
      <c r="AN17" s="131">
        <f t="shared" si="7"/>
        <v>0</v>
      </c>
      <c r="AO17" s="120"/>
      <c r="AP17" s="136">
        <f t="shared" si="20"/>
        <v>2030</v>
      </c>
      <c r="AQ17" s="129">
        <f t="shared" si="32"/>
        <v>0</v>
      </c>
      <c r="AR17" s="136">
        <v>12</v>
      </c>
      <c r="AS17" s="131">
        <f t="shared" si="8"/>
        <v>0</v>
      </c>
      <c r="AT17" s="120"/>
      <c r="AU17" s="136">
        <f t="shared" si="21"/>
        <v>2030</v>
      </c>
      <c r="AV17" s="129">
        <f t="shared" si="33"/>
        <v>0</v>
      </c>
      <c r="AW17" s="136">
        <v>12</v>
      </c>
      <c r="AX17" s="131">
        <f t="shared" si="9"/>
        <v>0</v>
      </c>
      <c r="AY17" s="120"/>
      <c r="AZ17" s="136">
        <f t="shared" si="22"/>
        <v>2030</v>
      </c>
      <c r="BA17" s="129">
        <f t="shared" si="34"/>
        <v>0</v>
      </c>
      <c r="BB17" s="136">
        <v>12</v>
      </c>
      <c r="BC17" s="131">
        <f t="shared" si="10"/>
        <v>0</v>
      </c>
      <c r="BE17" s="136">
        <f t="shared" si="23"/>
        <v>2030</v>
      </c>
      <c r="BF17" s="129">
        <f t="shared" si="35"/>
        <v>0</v>
      </c>
      <c r="BG17" s="136">
        <v>12</v>
      </c>
      <c r="BH17" s="131">
        <f t="shared" si="11"/>
        <v>0</v>
      </c>
    </row>
    <row r="18" spans="2:60">
      <c r="B18" s="136">
        <f t="shared" si="12"/>
        <v>2031</v>
      </c>
      <c r="C18" s="129">
        <f t="shared" si="24"/>
        <v>55.87</v>
      </c>
      <c r="D18" s="136">
        <v>12</v>
      </c>
      <c r="E18" s="131">
        <f t="shared" si="0"/>
        <v>55.87</v>
      </c>
      <c r="F18" s="120"/>
      <c r="G18" s="136">
        <f t="shared" si="13"/>
        <v>2031</v>
      </c>
      <c r="H18" s="129">
        <f t="shared" si="25"/>
        <v>12.36</v>
      </c>
      <c r="I18" s="136">
        <v>12</v>
      </c>
      <c r="J18" s="131">
        <f t="shared" si="1"/>
        <v>12.36</v>
      </c>
      <c r="K18" s="120"/>
      <c r="L18" s="136">
        <f t="shared" si="14"/>
        <v>2031</v>
      </c>
      <c r="M18" s="129">
        <f t="shared" si="26"/>
        <v>0</v>
      </c>
      <c r="N18" s="136">
        <v>12</v>
      </c>
      <c r="O18" s="131">
        <f t="shared" si="2"/>
        <v>0</v>
      </c>
      <c r="Q18" s="136">
        <f t="shared" si="15"/>
        <v>2031</v>
      </c>
      <c r="R18" s="129">
        <f t="shared" si="27"/>
        <v>3</v>
      </c>
      <c r="S18" s="136">
        <v>12</v>
      </c>
      <c r="T18" s="131">
        <f t="shared" si="3"/>
        <v>3</v>
      </c>
      <c r="U18" s="120"/>
      <c r="V18" s="136">
        <f t="shared" si="16"/>
        <v>2031</v>
      </c>
      <c r="W18" s="129">
        <f t="shared" si="28"/>
        <v>0.46</v>
      </c>
      <c r="X18" s="136">
        <v>12</v>
      </c>
      <c r="Y18" s="131">
        <f t="shared" si="4"/>
        <v>0.46</v>
      </c>
      <c r="Z18" s="120"/>
      <c r="AA18" s="136">
        <f t="shared" si="17"/>
        <v>2031</v>
      </c>
      <c r="AB18" s="129">
        <f t="shared" si="29"/>
        <v>1.75</v>
      </c>
      <c r="AC18" s="136">
        <v>12</v>
      </c>
      <c r="AD18" s="131">
        <f t="shared" si="5"/>
        <v>1.75</v>
      </c>
      <c r="AE18" s="120"/>
      <c r="AF18" s="136">
        <f t="shared" si="18"/>
        <v>2031</v>
      </c>
      <c r="AG18" s="129">
        <f t="shared" si="30"/>
        <v>22.05</v>
      </c>
      <c r="AH18" s="136">
        <v>12</v>
      </c>
      <c r="AI18" s="131">
        <f t="shared" si="6"/>
        <v>22.05</v>
      </c>
      <c r="AJ18" s="120"/>
      <c r="AK18" s="136">
        <f t="shared" si="19"/>
        <v>2031</v>
      </c>
      <c r="AL18" s="129">
        <f t="shared" si="31"/>
        <v>0</v>
      </c>
      <c r="AM18" s="136">
        <v>12</v>
      </c>
      <c r="AN18" s="131">
        <f t="shared" si="7"/>
        <v>0</v>
      </c>
      <c r="AO18" s="120"/>
      <c r="AP18" s="136">
        <f t="shared" si="20"/>
        <v>2031</v>
      </c>
      <c r="AQ18" s="129">
        <f t="shared" si="32"/>
        <v>0</v>
      </c>
      <c r="AR18" s="136">
        <v>12</v>
      </c>
      <c r="AS18" s="131">
        <f t="shared" si="8"/>
        <v>0</v>
      </c>
      <c r="AT18" s="120"/>
      <c r="AU18" s="136">
        <f t="shared" si="21"/>
        <v>2031</v>
      </c>
      <c r="AV18" s="129">
        <f t="shared" si="33"/>
        <v>0</v>
      </c>
      <c r="AW18" s="136">
        <v>12</v>
      </c>
      <c r="AX18" s="131">
        <f t="shared" si="9"/>
        <v>0</v>
      </c>
      <c r="AY18" s="120"/>
      <c r="AZ18" s="136">
        <f t="shared" si="22"/>
        <v>2031</v>
      </c>
      <c r="BA18" s="129">
        <f t="shared" si="34"/>
        <v>0</v>
      </c>
      <c r="BB18" s="136">
        <v>12</v>
      </c>
      <c r="BC18" s="131">
        <f t="shared" si="10"/>
        <v>0</v>
      </c>
      <c r="BE18" s="136">
        <f t="shared" si="23"/>
        <v>2031</v>
      </c>
      <c r="BF18" s="129">
        <f t="shared" si="35"/>
        <v>0</v>
      </c>
      <c r="BG18" s="136">
        <v>12</v>
      </c>
      <c r="BH18" s="131">
        <f t="shared" si="11"/>
        <v>0</v>
      </c>
    </row>
    <row r="19" spans="2:60">
      <c r="B19" s="136">
        <f t="shared" si="12"/>
        <v>2032</v>
      </c>
      <c r="C19" s="129">
        <f t="shared" si="24"/>
        <v>57.08</v>
      </c>
      <c r="D19" s="136">
        <v>12</v>
      </c>
      <c r="E19" s="131">
        <f t="shared" si="0"/>
        <v>57.080000000000005</v>
      </c>
      <c r="F19" s="120"/>
      <c r="G19" s="136">
        <f t="shared" si="13"/>
        <v>2032</v>
      </c>
      <c r="H19" s="129">
        <f t="shared" si="25"/>
        <v>12.63</v>
      </c>
      <c r="I19" s="136">
        <v>12</v>
      </c>
      <c r="J19" s="131">
        <f t="shared" si="1"/>
        <v>12.63</v>
      </c>
      <c r="K19" s="120"/>
      <c r="L19" s="136">
        <f t="shared" si="14"/>
        <v>2032</v>
      </c>
      <c r="M19" s="129">
        <f t="shared" si="26"/>
        <v>0</v>
      </c>
      <c r="N19" s="136">
        <v>12</v>
      </c>
      <c r="O19" s="131">
        <f t="shared" si="2"/>
        <v>0</v>
      </c>
      <c r="Q19" s="136">
        <f t="shared" si="15"/>
        <v>2032</v>
      </c>
      <c r="R19" s="129">
        <f t="shared" si="27"/>
        <v>3.06</v>
      </c>
      <c r="S19" s="136">
        <v>12</v>
      </c>
      <c r="T19" s="131">
        <f t="shared" si="3"/>
        <v>3.06</v>
      </c>
      <c r="U19" s="120"/>
      <c r="V19" s="136">
        <f t="shared" si="16"/>
        <v>2032</v>
      </c>
      <c r="W19" s="129">
        <f t="shared" si="28"/>
        <v>0.47</v>
      </c>
      <c r="X19" s="136">
        <v>12</v>
      </c>
      <c r="Y19" s="131">
        <f t="shared" si="4"/>
        <v>0.47</v>
      </c>
      <c r="Z19" s="120"/>
      <c r="AA19" s="136">
        <f t="shared" si="17"/>
        <v>2032</v>
      </c>
      <c r="AB19" s="129">
        <f t="shared" si="29"/>
        <v>1.79</v>
      </c>
      <c r="AC19" s="136">
        <v>12</v>
      </c>
      <c r="AD19" s="131">
        <f t="shared" si="5"/>
        <v>1.79</v>
      </c>
      <c r="AE19" s="120"/>
      <c r="AF19" s="136">
        <f t="shared" si="18"/>
        <v>2032</v>
      </c>
      <c r="AG19" s="129">
        <f t="shared" si="30"/>
        <v>22.53</v>
      </c>
      <c r="AH19" s="136">
        <v>12</v>
      </c>
      <c r="AI19" s="131">
        <f t="shared" si="6"/>
        <v>22.53</v>
      </c>
      <c r="AJ19" s="120"/>
      <c r="AK19" s="136">
        <f t="shared" si="19"/>
        <v>2032</v>
      </c>
      <c r="AL19" s="129">
        <f t="shared" si="31"/>
        <v>0</v>
      </c>
      <c r="AM19" s="136">
        <v>12</v>
      </c>
      <c r="AN19" s="131">
        <f t="shared" si="7"/>
        <v>0</v>
      </c>
      <c r="AO19" s="120"/>
      <c r="AP19" s="136">
        <f t="shared" si="20"/>
        <v>2032</v>
      </c>
      <c r="AQ19" s="129">
        <f t="shared" si="32"/>
        <v>0</v>
      </c>
      <c r="AR19" s="136">
        <v>12</v>
      </c>
      <c r="AS19" s="131">
        <f t="shared" si="8"/>
        <v>0</v>
      </c>
      <c r="AT19" s="120"/>
      <c r="AU19" s="136">
        <f t="shared" si="21"/>
        <v>2032</v>
      </c>
      <c r="AV19" s="129">
        <f t="shared" si="33"/>
        <v>0</v>
      </c>
      <c r="AW19" s="136">
        <v>12</v>
      </c>
      <c r="AX19" s="131">
        <f t="shared" si="9"/>
        <v>0</v>
      </c>
      <c r="AY19" s="120"/>
      <c r="AZ19" s="136">
        <f t="shared" si="22"/>
        <v>2032</v>
      </c>
      <c r="BA19" s="129">
        <f t="shared" si="34"/>
        <v>0</v>
      </c>
      <c r="BB19" s="136">
        <v>12</v>
      </c>
      <c r="BC19" s="131">
        <f t="shared" si="10"/>
        <v>0</v>
      </c>
      <c r="BE19" s="136">
        <f t="shared" si="23"/>
        <v>2032</v>
      </c>
      <c r="BF19" s="129">
        <f t="shared" si="35"/>
        <v>0</v>
      </c>
      <c r="BG19" s="136">
        <v>12</v>
      </c>
      <c r="BH19" s="131">
        <f t="shared" si="11"/>
        <v>0</v>
      </c>
    </row>
    <row r="20" spans="2:60">
      <c r="B20" s="136">
        <f t="shared" si="12"/>
        <v>2033</v>
      </c>
      <c r="C20" s="129">
        <f t="shared" si="24"/>
        <v>58.3</v>
      </c>
      <c r="D20" s="136">
        <v>12</v>
      </c>
      <c r="E20" s="131">
        <f t="shared" si="0"/>
        <v>58.29999999999999</v>
      </c>
      <c r="F20" s="120"/>
      <c r="G20" s="136">
        <f t="shared" si="13"/>
        <v>2033</v>
      </c>
      <c r="H20" s="129">
        <f t="shared" si="25"/>
        <v>12.9</v>
      </c>
      <c r="I20" s="136">
        <v>12</v>
      </c>
      <c r="J20" s="131">
        <f t="shared" si="1"/>
        <v>12.9</v>
      </c>
      <c r="K20" s="120"/>
      <c r="L20" s="136">
        <f t="shared" si="14"/>
        <v>2033</v>
      </c>
      <c r="M20" s="129">
        <f t="shared" si="26"/>
        <v>0</v>
      </c>
      <c r="N20" s="136">
        <v>12</v>
      </c>
      <c r="O20" s="131">
        <f t="shared" si="2"/>
        <v>0</v>
      </c>
      <c r="Q20" s="136">
        <f t="shared" si="15"/>
        <v>2033</v>
      </c>
      <c r="R20" s="129">
        <f t="shared" si="27"/>
        <v>3.13</v>
      </c>
      <c r="S20" s="136">
        <v>12</v>
      </c>
      <c r="T20" s="131">
        <f t="shared" si="3"/>
        <v>3.1300000000000003</v>
      </c>
      <c r="U20" s="120"/>
      <c r="V20" s="136">
        <f t="shared" si="16"/>
        <v>2033</v>
      </c>
      <c r="W20" s="129">
        <f t="shared" si="28"/>
        <v>0.48</v>
      </c>
      <c r="X20" s="136">
        <v>12</v>
      </c>
      <c r="Y20" s="131">
        <f t="shared" si="4"/>
        <v>0.48</v>
      </c>
      <c r="Z20" s="120"/>
      <c r="AA20" s="136">
        <f t="shared" si="17"/>
        <v>2033</v>
      </c>
      <c r="AB20" s="129">
        <f t="shared" si="29"/>
        <v>1.83</v>
      </c>
      <c r="AC20" s="136">
        <v>12</v>
      </c>
      <c r="AD20" s="131">
        <f t="shared" si="5"/>
        <v>1.83</v>
      </c>
      <c r="AE20" s="120"/>
      <c r="AF20" s="136">
        <f t="shared" si="18"/>
        <v>2033</v>
      </c>
      <c r="AG20" s="129">
        <f t="shared" si="30"/>
        <v>23.01</v>
      </c>
      <c r="AH20" s="136">
        <v>12</v>
      </c>
      <c r="AI20" s="131">
        <f t="shared" si="6"/>
        <v>23.01</v>
      </c>
      <c r="AJ20" s="120"/>
      <c r="AK20" s="342">
        <f t="shared" si="19"/>
        <v>2033</v>
      </c>
      <c r="AL20" s="129">
        <f t="shared" si="31"/>
        <v>11.261107127981489</v>
      </c>
      <c r="AM20" s="136">
        <v>12</v>
      </c>
      <c r="AN20" s="131">
        <f t="shared" si="7"/>
        <v>11.261107127981489</v>
      </c>
      <c r="AO20" s="120"/>
      <c r="AP20" s="136">
        <f t="shared" si="20"/>
        <v>2033</v>
      </c>
      <c r="AQ20" s="129">
        <f t="shared" si="32"/>
        <v>0</v>
      </c>
      <c r="AR20" s="136">
        <v>12</v>
      </c>
      <c r="AS20" s="131">
        <f t="shared" si="8"/>
        <v>0</v>
      </c>
      <c r="AT20" s="120"/>
      <c r="AU20" s="136">
        <f t="shared" si="21"/>
        <v>2033</v>
      </c>
      <c r="AV20" s="129">
        <f t="shared" si="33"/>
        <v>0</v>
      </c>
      <c r="AW20" s="136">
        <v>12</v>
      </c>
      <c r="AX20" s="131">
        <f t="shared" si="9"/>
        <v>0</v>
      </c>
      <c r="AY20" s="120"/>
      <c r="AZ20" s="136">
        <f t="shared" si="22"/>
        <v>2033</v>
      </c>
      <c r="BA20" s="129">
        <f t="shared" si="34"/>
        <v>0</v>
      </c>
      <c r="BB20" s="136">
        <v>12</v>
      </c>
      <c r="BC20" s="131">
        <f t="shared" si="10"/>
        <v>0</v>
      </c>
      <c r="BE20" s="136">
        <f t="shared" si="23"/>
        <v>2033</v>
      </c>
      <c r="BF20" s="129">
        <f t="shared" si="35"/>
        <v>0</v>
      </c>
      <c r="BG20" s="136">
        <v>12</v>
      </c>
      <c r="BH20" s="131">
        <f t="shared" si="11"/>
        <v>0</v>
      </c>
    </row>
    <row r="21" spans="2:60">
      <c r="B21" s="136">
        <f t="shared" si="12"/>
        <v>2034</v>
      </c>
      <c r="C21" s="129">
        <f t="shared" si="24"/>
        <v>59.52</v>
      </c>
      <c r="D21" s="136">
        <v>12</v>
      </c>
      <c r="E21" s="131">
        <f t="shared" si="0"/>
        <v>59.52</v>
      </c>
      <c r="F21" s="120"/>
      <c r="G21" s="136">
        <f t="shared" si="13"/>
        <v>2034</v>
      </c>
      <c r="H21" s="129">
        <f t="shared" si="25"/>
        <v>13.17</v>
      </c>
      <c r="I21" s="136">
        <v>12</v>
      </c>
      <c r="J21" s="131">
        <f t="shared" si="1"/>
        <v>13.17</v>
      </c>
      <c r="K21" s="120"/>
      <c r="L21" s="136">
        <f t="shared" si="14"/>
        <v>2034</v>
      </c>
      <c r="M21" s="129">
        <f t="shared" si="26"/>
        <v>0</v>
      </c>
      <c r="N21" s="136">
        <v>12</v>
      </c>
      <c r="O21" s="131">
        <f t="shared" si="2"/>
        <v>0</v>
      </c>
      <c r="Q21" s="136">
        <f t="shared" si="15"/>
        <v>2034</v>
      </c>
      <c r="R21" s="129">
        <f t="shared" si="27"/>
        <v>3.2</v>
      </c>
      <c r="S21" s="136">
        <v>12</v>
      </c>
      <c r="T21" s="131">
        <f t="shared" si="3"/>
        <v>3.2000000000000006</v>
      </c>
      <c r="U21" s="120"/>
      <c r="V21" s="136">
        <f t="shared" si="16"/>
        <v>2034</v>
      </c>
      <c r="W21" s="129">
        <f t="shared" si="28"/>
        <v>0.49</v>
      </c>
      <c r="X21" s="136">
        <v>12</v>
      </c>
      <c r="Y21" s="131">
        <f t="shared" si="4"/>
        <v>0.49</v>
      </c>
      <c r="Z21" s="120"/>
      <c r="AA21" s="136">
        <f t="shared" si="17"/>
        <v>2034</v>
      </c>
      <c r="AB21" s="129">
        <f t="shared" si="29"/>
        <v>1.87</v>
      </c>
      <c r="AC21" s="136">
        <v>12</v>
      </c>
      <c r="AD21" s="131">
        <f t="shared" si="5"/>
        <v>1.87</v>
      </c>
      <c r="AE21" s="120"/>
      <c r="AF21" s="136">
        <f t="shared" si="18"/>
        <v>2034</v>
      </c>
      <c r="AG21" s="129">
        <f t="shared" si="30"/>
        <v>23.49</v>
      </c>
      <c r="AH21" s="136">
        <v>12</v>
      </c>
      <c r="AI21" s="131">
        <f t="shared" si="6"/>
        <v>23.49</v>
      </c>
      <c r="AJ21" s="120"/>
      <c r="AK21" s="136">
        <f t="shared" si="19"/>
        <v>2034</v>
      </c>
      <c r="AL21" s="129">
        <f t="shared" si="31"/>
        <v>11.5</v>
      </c>
      <c r="AM21" s="136">
        <v>12</v>
      </c>
      <c r="AN21" s="131">
        <f t="shared" si="7"/>
        <v>11.5</v>
      </c>
      <c r="AO21" s="120"/>
      <c r="AP21" s="136">
        <f t="shared" si="20"/>
        <v>2034</v>
      </c>
      <c r="AQ21" s="129">
        <f t="shared" si="32"/>
        <v>0</v>
      </c>
      <c r="AR21" s="136">
        <v>12</v>
      </c>
      <c r="AS21" s="131">
        <f t="shared" si="8"/>
        <v>0</v>
      </c>
      <c r="AT21" s="120"/>
      <c r="AU21" s="136">
        <f t="shared" si="21"/>
        <v>2034</v>
      </c>
      <c r="AV21" s="129">
        <f t="shared" si="33"/>
        <v>0</v>
      </c>
      <c r="AW21" s="136">
        <v>12</v>
      </c>
      <c r="AX21" s="131">
        <f t="shared" si="9"/>
        <v>0</v>
      </c>
      <c r="AY21" s="120"/>
      <c r="AZ21" s="136">
        <f t="shared" si="22"/>
        <v>2034</v>
      </c>
      <c r="BA21" s="129">
        <f t="shared" si="34"/>
        <v>0</v>
      </c>
      <c r="BB21" s="136">
        <v>12</v>
      </c>
      <c r="BC21" s="131">
        <f t="shared" si="10"/>
        <v>0</v>
      </c>
      <c r="BE21" s="136">
        <f t="shared" si="23"/>
        <v>2034</v>
      </c>
      <c r="BF21" s="129">
        <f t="shared" si="35"/>
        <v>0</v>
      </c>
      <c r="BG21" s="136">
        <v>12</v>
      </c>
      <c r="BH21" s="131">
        <f t="shared" si="11"/>
        <v>0</v>
      </c>
    </row>
    <row r="22" spans="2:60">
      <c r="B22" s="136">
        <f t="shared" si="12"/>
        <v>2035</v>
      </c>
      <c r="C22" s="129">
        <f t="shared" si="24"/>
        <v>60.77</v>
      </c>
      <c r="D22" s="136">
        <v>12</v>
      </c>
      <c r="E22" s="131">
        <f t="shared" si="0"/>
        <v>60.77</v>
      </c>
      <c r="F22" s="120"/>
      <c r="G22" s="136">
        <f t="shared" si="13"/>
        <v>2035</v>
      </c>
      <c r="H22" s="129">
        <f t="shared" si="25"/>
        <v>13.45</v>
      </c>
      <c r="I22" s="136">
        <v>12</v>
      </c>
      <c r="J22" s="131">
        <f t="shared" si="1"/>
        <v>13.449999999999998</v>
      </c>
      <c r="K22" s="120"/>
      <c r="L22" s="136">
        <f t="shared" si="14"/>
        <v>2035</v>
      </c>
      <c r="M22" s="129">
        <f t="shared" si="26"/>
        <v>0</v>
      </c>
      <c r="N22" s="136">
        <v>12</v>
      </c>
      <c r="O22" s="131">
        <f t="shared" si="2"/>
        <v>0</v>
      </c>
      <c r="Q22" s="136">
        <f t="shared" si="15"/>
        <v>2035</v>
      </c>
      <c r="R22" s="129">
        <f t="shared" si="27"/>
        <v>3.27</v>
      </c>
      <c r="S22" s="136">
        <v>12</v>
      </c>
      <c r="T22" s="131">
        <f t="shared" si="3"/>
        <v>3.27</v>
      </c>
      <c r="U22" s="120"/>
      <c r="V22" s="136">
        <f t="shared" si="16"/>
        <v>2035</v>
      </c>
      <c r="W22" s="129">
        <f t="shared" si="28"/>
        <v>0.5</v>
      </c>
      <c r="X22" s="136">
        <v>12</v>
      </c>
      <c r="Y22" s="131">
        <f t="shared" si="4"/>
        <v>0.5</v>
      </c>
      <c r="Z22" s="120"/>
      <c r="AA22" s="136">
        <f t="shared" si="17"/>
        <v>2035</v>
      </c>
      <c r="AB22" s="129">
        <f t="shared" si="29"/>
        <v>1.91</v>
      </c>
      <c r="AC22" s="136">
        <v>12</v>
      </c>
      <c r="AD22" s="131">
        <f t="shared" si="5"/>
        <v>1.91</v>
      </c>
      <c r="AE22" s="120"/>
      <c r="AF22" s="136">
        <f t="shared" si="18"/>
        <v>2035</v>
      </c>
      <c r="AG22" s="129">
        <f t="shared" si="30"/>
        <v>23.98</v>
      </c>
      <c r="AH22" s="136">
        <v>12</v>
      </c>
      <c r="AI22" s="131">
        <f t="shared" si="6"/>
        <v>23.98</v>
      </c>
      <c r="AJ22" s="120"/>
      <c r="AK22" s="136">
        <f t="shared" si="19"/>
        <v>2035</v>
      </c>
      <c r="AL22" s="129">
        <f t="shared" si="31"/>
        <v>11.74</v>
      </c>
      <c r="AM22" s="136">
        <v>12</v>
      </c>
      <c r="AN22" s="131">
        <f t="shared" si="7"/>
        <v>11.74</v>
      </c>
      <c r="AO22" s="120"/>
      <c r="AP22" s="136">
        <f t="shared" si="20"/>
        <v>2035</v>
      </c>
      <c r="AQ22" s="129">
        <f t="shared" si="32"/>
        <v>0</v>
      </c>
      <c r="AR22" s="136">
        <v>12</v>
      </c>
      <c r="AS22" s="131">
        <f t="shared" si="8"/>
        <v>0</v>
      </c>
      <c r="AT22" s="120"/>
      <c r="AU22" s="136">
        <f t="shared" si="21"/>
        <v>2035</v>
      </c>
      <c r="AV22" s="129">
        <f t="shared" si="33"/>
        <v>0</v>
      </c>
      <c r="AW22" s="136">
        <v>12</v>
      </c>
      <c r="AX22" s="131">
        <f t="shared" si="9"/>
        <v>0</v>
      </c>
      <c r="AY22" s="120"/>
      <c r="AZ22" s="136">
        <f t="shared" si="22"/>
        <v>2035</v>
      </c>
      <c r="BA22" s="129">
        <f t="shared" si="34"/>
        <v>0</v>
      </c>
      <c r="BB22" s="136">
        <v>12</v>
      </c>
      <c r="BC22" s="131">
        <f t="shared" si="10"/>
        <v>0</v>
      </c>
      <c r="BE22" s="136">
        <f t="shared" si="23"/>
        <v>2035</v>
      </c>
      <c r="BF22" s="129">
        <f t="shared" si="35"/>
        <v>0</v>
      </c>
      <c r="BG22" s="136">
        <v>12</v>
      </c>
      <c r="BH22" s="131">
        <f t="shared" si="11"/>
        <v>0</v>
      </c>
    </row>
    <row r="23" spans="2:60">
      <c r="B23" s="136">
        <f t="shared" si="12"/>
        <v>2036</v>
      </c>
      <c r="C23" s="129">
        <f t="shared" si="24"/>
        <v>62.04</v>
      </c>
      <c r="D23" s="136">
        <v>12</v>
      </c>
      <c r="E23" s="131">
        <f t="shared" si="0"/>
        <v>62.04</v>
      </c>
      <c r="F23" s="120"/>
      <c r="G23" s="136">
        <f t="shared" si="13"/>
        <v>2036</v>
      </c>
      <c r="H23" s="129">
        <f t="shared" si="25"/>
        <v>13.73</v>
      </c>
      <c r="I23" s="136">
        <v>12</v>
      </c>
      <c r="J23" s="131">
        <f t="shared" si="1"/>
        <v>13.729999999999999</v>
      </c>
      <c r="K23" s="120"/>
      <c r="L23" s="342">
        <f t="shared" si="14"/>
        <v>2036</v>
      </c>
      <c r="M23" s="129">
        <f t="shared" si="26"/>
        <v>31.092888780208423</v>
      </c>
      <c r="N23" s="136">
        <v>12</v>
      </c>
      <c r="O23" s="131">
        <f t="shared" si="2"/>
        <v>31.092888780208423</v>
      </c>
      <c r="Q23" s="136">
        <f t="shared" si="15"/>
        <v>2036</v>
      </c>
      <c r="R23" s="129">
        <f t="shared" si="27"/>
        <v>3.34</v>
      </c>
      <c r="S23" s="136">
        <v>12</v>
      </c>
      <c r="T23" s="131">
        <f t="shared" si="3"/>
        <v>3.34</v>
      </c>
      <c r="U23" s="120"/>
      <c r="V23" s="136">
        <f t="shared" si="16"/>
        <v>2036</v>
      </c>
      <c r="W23" s="129">
        <f t="shared" si="28"/>
        <v>0.51</v>
      </c>
      <c r="X23" s="136">
        <v>12</v>
      </c>
      <c r="Y23" s="131">
        <f t="shared" si="4"/>
        <v>0.51</v>
      </c>
      <c r="Z23" s="120"/>
      <c r="AA23" s="136">
        <f t="shared" si="17"/>
        <v>2036</v>
      </c>
      <c r="AB23" s="129">
        <f t="shared" si="29"/>
        <v>1.95</v>
      </c>
      <c r="AC23" s="136">
        <v>12</v>
      </c>
      <c r="AD23" s="131">
        <f t="shared" si="5"/>
        <v>1.95</v>
      </c>
      <c r="AE23" s="120"/>
      <c r="AF23" s="136">
        <f t="shared" si="18"/>
        <v>2036</v>
      </c>
      <c r="AG23" s="129">
        <f t="shared" si="30"/>
        <v>24.48</v>
      </c>
      <c r="AH23" s="136">
        <v>12</v>
      </c>
      <c r="AI23" s="131">
        <f t="shared" si="6"/>
        <v>24.48</v>
      </c>
      <c r="AJ23" s="120"/>
      <c r="AK23" s="136">
        <f t="shared" si="19"/>
        <v>2036</v>
      </c>
      <c r="AL23" s="129">
        <f t="shared" si="31"/>
        <v>11.98</v>
      </c>
      <c r="AM23" s="136">
        <v>12</v>
      </c>
      <c r="AN23" s="131">
        <f t="shared" si="7"/>
        <v>11.979999999999999</v>
      </c>
      <c r="AO23" s="120"/>
      <c r="AP23" s="136">
        <f t="shared" si="20"/>
        <v>2036</v>
      </c>
      <c r="AQ23" s="129">
        <f t="shared" si="32"/>
        <v>0</v>
      </c>
      <c r="AR23" s="136">
        <v>12</v>
      </c>
      <c r="AS23" s="131">
        <f t="shared" si="8"/>
        <v>0</v>
      </c>
      <c r="AT23" s="120"/>
      <c r="AU23" s="136">
        <f t="shared" si="21"/>
        <v>2036</v>
      </c>
      <c r="AV23" s="129">
        <f t="shared" si="33"/>
        <v>0</v>
      </c>
      <c r="AW23" s="136">
        <v>12</v>
      </c>
      <c r="AX23" s="131">
        <f t="shared" si="9"/>
        <v>0</v>
      </c>
      <c r="AY23" s="120"/>
      <c r="AZ23" s="136">
        <f t="shared" si="22"/>
        <v>2036</v>
      </c>
      <c r="BA23" s="129">
        <f t="shared" si="34"/>
        <v>0</v>
      </c>
      <c r="BB23" s="136">
        <v>12</v>
      </c>
      <c r="BC23" s="131">
        <f t="shared" si="10"/>
        <v>0</v>
      </c>
      <c r="BE23" s="136">
        <f t="shared" si="23"/>
        <v>2036</v>
      </c>
      <c r="BF23" s="129">
        <f t="shared" si="35"/>
        <v>0</v>
      </c>
      <c r="BG23" s="136">
        <v>12</v>
      </c>
      <c r="BH23" s="131">
        <f t="shared" si="11"/>
        <v>0</v>
      </c>
    </row>
    <row r="24" spans="2:60">
      <c r="B24" s="136">
        <f t="shared" si="12"/>
        <v>2037</v>
      </c>
      <c r="C24" s="129">
        <f t="shared" si="24"/>
        <v>63.33</v>
      </c>
      <c r="D24" s="136">
        <v>12</v>
      </c>
      <c r="E24" s="131">
        <f t="shared" si="0"/>
        <v>63.330000000000005</v>
      </c>
      <c r="F24" s="120"/>
      <c r="G24" s="136">
        <f t="shared" si="13"/>
        <v>2037</v>
      </c>
      <c r="H24" s="129">
        <f t="shared" si="25"/>
        <v>14.02</v>
      </c>
      <c r="I24" s="136">
        <v>12</v>
      </c>
      <c r="J24" s="131">
        <f t="shared" si="1"/>
        <v>14.020000000000001</v>
      </c>
      <c r="K24" s="120"/>
      <c r="L24" s="136">
        <f t="shared" si="14"/>
        <v>2037</v>
      </c>
      <c r="M24" s="129">
        <f t="shared" si="26"/>
        <v>31.74</v>
      </c>
      <c r="N24" s="136">
        <v>12</v>
      </c>
      <c r="O24" s="131">
        <f t="shared" si="2"/>
        <v>31.74</v>
      </c>
      <c r="Q24" s="136">
        <f t="shared" si="15"/>
        <v>2037</v>
      </c>
      <c r="R24" s="129">
        <f t="shared" si="27"/>
        <v>3.41</v>
      </c>
      <c r="S24" s="136">
        <v>12</v>
      </c>
      <c r="T24" s="131">
        <f t="shared" si="3"/>
        <v>3.41</v>
      </c>
      <c r="U24" s="120"/>
      <c r="V24" s="136">
        <f t="shared" si="16"/>
        <v>2037</v>
      </c>
      <c r="W24" s="129">
        <f t="shared" si="28"/>
        <v>0.52</v>
      </c>
      <c r="X24" s="136">
        <v>12</v>
      </c>
      <c r="Y24" s="131">
        <f t="shared" si="4"/>
        <v>0.52</v>
      </c>
      <c r="Z24" s="120"/>
      <c r="AA24" s="136">
        <f t="shared" si="17"/>
        <v>2037</v>
      </c>
      <c r="AB24" s="129">
        <f t="shared" si="29"/>
        <v>1.99</v>
      </c>
      <c r="AC24" s="136">
        <v>12</v>
      </c>
      <c r="AD24" s="131">
        <f t="shared" si="5"/>
        <v>1.99</v>
      </c>
      <c r="AE24" s="120"/>
      <c r="AF24" s="136">
        <f t="shared" si="18"/>
        <v>2037</v>
      </c>
      <c r="AG24" s="129">
        <f t="shared" si="30"/>
        <v>24.99</v>
      </c>
      <c r="AH24" s="136">
        <v>12</v>
      </c>
      <c r="AI24" s="131">
        <f t="shared" si="6"/>
        <v>24.99</v>
      </c>
      <c r="AJ24" s="120"/>
      <c r="AK24" s="136">
        <f t="shared" si="19"/>
        <v>2037</v>
      </c>
      <c r="AL24" s="129">
        <f t="shared" si="31"/>
        <v>12.23</v>
      </c>
      <c r="AM24" s="136">
        <v>12</v>
      </c>
      <c r="AN24" s="131">
        <f t="shared" si="7"/>
        <v>12.229999999999999</v>
      </c>
      <c r="AO24" s="120"/>
      <c r="AP24" s="342">
        <f t="shared" si="20"/>
        <v>2037</v>
      </c>
      <c r="AQ24" s="129">
        <f t="shared" si="32"/>
        <v>4.7728292811563495</v>
      </c>
      <c r="AR24" s="136">
        <v>12</v>
      </c>
      <c r="AS24" s="131">
        <f t="shared" si="8"/>
        <v>4.7728292811563495</v>
      </c>
      <c r="AT24" s="120"/>
      <c r="AU24" s="342">
        <f t="shared" si="21"/>
        <v>2037</v>
      </c>
      <c r="AV24" s="129">
        <f t="shared" si="33"/>
        <v>5.4972551057881001</v>
      </c>
      <c r="AW24" s="136">
        <v>12</v>
      </c>
      <c r="AX24" s="131">
        <f t="shared" si="9"/>
        <v>5.4972551057881001</v>
      </c>
      <c r="AY24" s="120"/>
      <c r="AZ24" s="136">
        <f t="shared" si="22"/>
        <v>2037</v>
      </c>
      <c r="BA24" s="129">
        <f t="shared" si="34"/>
        <v>0</v>
      </c>
      <c r="BB24" s="136">
        <v>12</v>
      </c>
      <c r="BC24" s="131">
        <f t="shared" si="10"/>
        <v>0</v>
      </c>
      <c r="BE24" s="136">
        <f t="shared" si="23"/>
        <v>2037</v>
      </c>
      <c r="BF24" s="129">
        <f t="shared" si="35"/>
        <v>0</v>
      </c>
      <c r="BG24" s="136">
        <v>12</v>
      </c>
      <c r="BH24" s="131">
        <f t="shared" si="11"/>
        <v>0</v>
      </c>
    </row>
    <row r="25" spans="2:60">
      <c r="B25" s="136">
        <f t="shared" si="12"/>
        <v>2038</v>
      </c>
      <c r="C25" s="129">
        <f t="shared" si="24"/>
        <v>64.650000000000006</v>
      </c>
      <c r="D25" s="136">
        <v>12</v>
      </c>
      <c r="E25" s="131">
        <f t="shared" si="0"/>
        <v>64.650000000000006</v>
      </c>
      <c r="F25" s="120"/>
      <c r="G25" s="136">
        <f t="shared" si="13"/>
        <v>2038</v>
      </c>
      <c r="H25" s="129">
        <f t="shared" si="25"/>
        <v>14.31</v>
      </c>
      <c r="I25" s="136">
        <v>12</v>
      </c>
      <c r="J25" s="131">
        <f t="shared" si="1"/>
        <v>14.31</v>
      </c>
      <c r="K25" s="120"/>
      <c r="L25" s="136">
        <f t="shared" si="14"/>
        <v>2038</v>
      </c>
      <c r="M25" s="129">
        <f t="shared" si="26"/>
        <v>32.4</v>
      </c>
      <c r="N25" s="136">
        <v>12</v>
      </c>
      <c r="O25" s="131">
        <f t="shared" si="2"/>
        <v>32.4</v>
      </c>
      <c r="Q25" s="136">
        <f t="shared" si="15"/>
        <v>2038</v>
      </c>
      <c r="R25" s="129">
        <f t="shared" si="27"/>
        <v>3.48</v>
      </c>
      <c r="S25" s="136">
        <v>12</v>
      </c>
      <c r="T25" s="131">
        <f t="shared" si="3"/>
        <v>3.48</v>
      </c>
      <c r="U25" s="120"/>
      <c r="V25" s="136">
        <f t="shared" si="16"/>
        <v>2038</v>
      </c>
      <c r="W25" s="129">
        <f t="shared" si="28"/>
        <v>0.53</v>
      </c>
      <c r="X25" s="136">
        <v>12</v>
      </c>
      <c r="Y25" s="131">
        <f t="shared" si="4"/>
        <v>0.53</v>
      </c>
      <c r="Z25" s="120"/>
      <c r="AA25" s="136">
        <f t="shared" si="17"/>
        <v>2038</v>
      </c>
      <c r="AB25" s="129">
        <f t="shared" si="29"/>
        <v>2.0299999999999998</v>
      </c>
      <c r="AC25" s="136">
        <v>12</v>
      </c>
      <c r="AD25" s="131">
        <f t="shared" si="5"/>
        <v>2.0299999999999998</v>
      </c>
      <c r="AE25" s="120"/>
      <c r="AF25" s="136">
        <f t="shared" si="18"/>
        <v>2038</v>
      </c>
      <c r="AG25" s="129">
        <f t="shared" si="30"/>
        <v>25.51</v>
      </c>
      <c r="AH25" s="136">
        <v>12</v>
      </c>
      <c r="AI25" s="131">
        <f t="shared" si="6"/>
        <v>25.51</v>
      </c>
      <c r="AJ25" s="120"/>
      <c r="AK25" s="136">
        <f t="shared" si="19"/>
        <v>2038</v>
      </c>
      <c r="AL25" s="129">
        <f t="shared" si="31"/>
        <v>12.49</v>
      </c>
      <c r="AM25" s="136">
        <v>12</v>
      </c>
      <c r="AN25" s="131">
        <f t="shared" si="7"/>
        <v>12.49</v>
      </c>
      <c r="AO25" s="120"/>
      <c r="AP25" s="136">
        <f t="shared" si="20"/>
        <v>2038</v>
      </c>
      <c r="AQ25" s="129">
        <f t="shared" si="32"/>
        <v>4.87</v>
      </c>
      <c r="AR25" s="136">
        <v>12</v>
      </c>
      <c r="AS25" s="131">
        <f t="shared" si="8"/>
        <v>4.87</v>
      </c>
      <c r="AT25" s="120"/>
      <c r="AU25" s="136">
        <f t="shared" si="21"/>
        <v>2038</v>
      </c>
      <c r="AV25" s="129">
        <f t="shared" si="33"/>
        <v>5.61</v>
      </c>
      <c r="AW25" s="136">
        <v>12</v>
      </c>
      <c r="AX25" s="131">
        <f t="shared" si="9"/>
        <v>5.61</v>
      </c>
      <c r="AY25" s="120"/>
      <c r="AZ25" s="136">
        <f t="shared" si="22"/>
        <v>2038</v>
      </c>
      <c r="BA25" s="129">
        <f t="shared" si="34"/>
        <v>0</v>
      </c>
      <c r="BB25" s="136">
        <v>12</v>
      </c>
      <c r="BC25" s="131">
        <f t="shared" si="10"/>
        <v>0</v>
      </c>
      <c r="BE25" s="136">
        <f t="shared" si="23"/>
        <v>2038</v>
      </c>
      <c r="BF25" s="129">
        <f t="shared" si="35"/>
        <v>0</v>
      </c>
      <c r="BG25" s="136">
        <v>12</v>
      </c>
      <c r="BH25" s="131">
        <f t="shared" si="11"/>
        <v>0</v>
      </c>
    </row>
    <row r="26" spans="2:60">
      <c r="B26" s="136">
        <f t="shared" si="12"/>
        <v>2039</v>
      </c>
      <c r="C26" s="129">
        <f t="shared" si="24"/>
        <v>65.989999999999995</v>
      </c>
      <c r="D26" s="136">
        <v>12</v>
      </c>
      <c r="E26" s="131">
        <f t="shared" si="0"/>
        <v>65.989999999999995</v>
      </c>
      <c r="F26" s="120"/>
      <c r="G26" s="136">
        <f t="shared" si="13"/>
        <v>2039</v>
      </c>
      <c r="H26" s="129">
        <f t="shared" si="25"/>
        <v>14.61</v>
      </c>
      <c r="I26" s="136">
        <v>12</v>
      </c>
      <c r="J26" s="131">
        <f t="shared" si="1"/>
        <v>14.61</v>
      </c>
      <c r="K26" s="120"/>
      <c r="L26" s="136">
        <f t="shared" si="14"/>
        <v>2039</v>
      </c>
      <c r="M26" s="129">
        <f t="shared" si="26"/>
        <v>33.07</v>
      </c>
      <c r="N26" s="136">
        <v>12</v>
      </c>
      <c r="O26" s="131">
        <f t="shared" si="2"/>
        <v>33.07</v>
      </c>
      <c r="Q26" s="136">
        <f t="shared" si="15"/>
        <v>2039</v>
      </c>
      <c r="R26" s="129">
        <f t="shared" si="27"/>
        <v>3.55</v>
      </c>
      <c r="S26" s="136">
        <v>12</v>
      </c>
      <c r="T26" s="131">
        <f t="shared" si="3"/>
        <v>3.5499999999999994</v>
      </c>
      <c r="U26" s="120"/>
      <c r="V26" s="136">
        <f t="shared" si="16"/>
        <v>2039</v>
      </c>
      <c r="W26" s="129">
        <f t="shared" si="28"/>
        <v>0.54</v>
      </c>
      <c r="X26" s="136">
        <v>12</v>
      </c>
      <c r="Y26" s="131">
        <f t="shared" si="4"/>
        <v>0.54</v>
      </c>
      <c r="Z26" s="120"/>
      <c r="AA26" s="136">
        <f t="shared" si="17"/>
        <v>2039</v>
      </c>
      <c r="AB26" s="129">
        <f t="shared" si="29"/>
        <v>2.0699999999999998</v>
      </c>
      <c r="AC26" s="136">
        <v>12</v>
      </c>
      <c r="AD26" s="131">
        <f t="shared" si="5"/>
        <v>2.0699999999999998</v>
      </c>
      <c r="AE26" s="120"/>
      <c r="AF26" s="136">
        <f t="shared" si="18"/>
        <v>2039</v>
      </c>
      <c r="AG26" s="129">
        <f t="shared" si="30"/>
        <v>26.04</v>
      </c>
      <c r="AH26" s="136">
        <v>12</v>
      </c>
      <c r="AI26" s="131">
        <f t="shared" si="6"/>
        <v>26.040000000000003</v>
      </c>
      <c r="AJ26" s="120"/>
      <c r="AK26" s="136">
        <f t="shared" si="19"/>
        <v>2039</v>
      </c>
      <c r="AL26" s="129">
        <f t="shared" si="31"/>
        <v>12.75</v>
      </c>
      <c r="AM26" s="136">
        <v>12</v>
      </c>
      <c r="AN26" s="131">
        <f t="shared" si="7"/>
        <v>12.75</v>
      </c>
      <c r="AO26" s="120"/>
      <c r="AP26" s="136">
        <f t="shared" si="20"/>
        <v>2039</v>
      </c>
      <c r="AQ26" s="129">
        <f t="shared" si="32"/>
        <v>4.97</v>
      </c>
      <c r="AR26" s="136">
        <v>12</v>
      </c>
      <c r="AS26" s="131">
        <f t="shared" si="8"/>
        <v>4.97</v>
      </c>
      <c r="AT26" s="120"/>
      <c r="AU26" s="136">
        <f t="shared" si="21"/>
        <v>2039</v>
      </c>
      <c r="AV26" s="129">
        <f t="shared" si="33"/>
        <v>5.73</v>
      </c>
      <c r="AW26" s="136">
        <v>12</v>
      </c>
      <c r="AX26" s="131">
        <f t="shared" si="9"/>
        <v>5.73</v>
      </c>
      <c r="AY26" s="120"/>
      <c r="AZ26" s="136">
        <f t="shared" si="22"/>
        <v>2039</v>
      </c>
      <c r="BA26" s="129">
        <f t="shared" si="34"/>
        <v>0</v>
      </c>
      <c r="BB26" s="136">
        <v>12</v>
      </c>
      <c r="BC26" s="131">
        <f t="shared" si="10"/>
        <v>0</v>
      </c>
      <c r="BE26" s="136">
        <f t="shared" si="23"/>
        <v>2039</v>
      </c>
      <c r="BF26" s="129">
        <f t="shared" si="35"/>
        <v>0</v>
      </c>
      <c r="BG26" s="136">
        <v>12</v>
      </c>
      <c r="BH26" s="131">
        <f t="shared" si="11"/>
        <v>0</v>
      </c>
    </row>
    <row r="27" spans="2:60">
      <c r="B27" s="136">
        <f t="shared" si="12"/>
        <v>2040</v>
      </c>
      <c r="C27" s="129">
        <f t="shared" si="24"/>
        <v>67.36</v>
      </c>
      <c r="D27" s="136">
        <v>12</v>
      </c>
      <c r="E27" s="131">
        <f t="shared" si="0"/>
        <v>67.36</v>
      </c>
      <c r="F27" s="120"/>
      <c r="G27" s="136">
        <f t="shared" si="13"/>
        <v>2040</v>
      </c>
      <c r="H27" s="129">
        <f t="shared" si="25"/>
        <v>14.91</v>
      </c>
      <c r="I27" s="136">
        <v>12</v>
      </c>
      <c r="J27" s="131">
        <f t="shared" si="1"/>
        <v>14.910000000000002</v>
      </c>
      <c r="K27" s="120"/>
      <c r="L27" s="136">
        <f t="shared" si="14"/>
        <v>2040</v>
      </c>
      <c r="M27" s="129">
        <f t="shared" si="26"/>
        <v>33.76</v>
      </c>
      <c r="N27" s="136">
        <v>12</v>
      </c>
      <c r="O27" s="131">
        <f t="shared" si="2"/>
        <v>33.76</v>
      </c>
      <c r="Q27" s="136">
        <f t="shared" si="15"/>
        <v>2040</v>
      </c>
      <c r="R27" s="129">
        <f t="shared" si="27"/>
        <v>3.62</v>
      </c>
      <c r="S27" s="136">
        <v>12</v>
      </c>
      <c r="T27" s="131">
        <f t="shared" si="3"/>
        <v>3.6199999999999997</v>
      </c>
      <c r="U27" s="120"/>
      <c r="V27" s="136">
        <f t="shared" si="16"/>
        <v>2040</v>
      </c>
      <c r="W27" s="129">
        <f t="shared" si="28"/>
        <v>0.55000000000000004</v>
      </c>
      <c r="X27" s="136">
        <v>12</v>
      </c>
      <c r="Y27" s="131">
        <f t="shared" si="4"/>
        <v>0.55000000000000004</v>
      </c>
      <c r="Z27" s="120"/>
      <c r="AA27" s="136">
        <f t="shared" si="17"/>
        <v>2040</v>
      </c>
      <c r="AB27" s="129">
        <f t="shared" si="29"/>
        <v>2.11</v>
      </c>
      <c r="AC27" s="136">
        <v>12</v>
      </c>
      <c r="AD27" s="131">
        <f t="shared" si="5"/>
        <v>2.11</v>
      </c>
      <c r="AE27" s="120"/>
      <c r="AF27" s="136">
        <f t="shared" si="18"/>
        <v>2040</v>
      </c>
      <c r="AG27" s="129">
        <f t="shared" si="30"/>
        <v>26.58</v>
      </c>
      <c r="AH27" s="136">
        <v>12</v>
      </c>
      <c r="AI27" s="131">
        <f t="shared" si="6"/>
        <v>26.58</v>
      </c>
      <c r="AJ27" s="120"/>
      <c r="AK27" s="136">
        <f t="shared" si="19"/>
        <v>2040</v>
      </c>
      <c r="AL27" s="129">
        <f t="shared" si="31"/>
        <v>13.01</v>
      </c>
      <c r="AM27" s="136">
        <v>12</v>
      </c>
      <c r="AN27" s="131">
        <f t="shared" si="7"/>
        <v>13.01</v>
      </c>
      <c r="AO27" s="120"/>
      <c r="AP27" s="136">
        <f t="shared" si="20"/>
        <v>2040</v>
      </c>
      <c r="AQ27" s="129">
        <f t="shared" si="32"/>
        <v>5.07</v>
      </c>
      <c r="AR27" s="136">
        <v>12</v>
      </c>
      <c r="AS27" s="131">
        <f t="shared" si="8"/>
        <v>5.07</v>
      </c>
      <c r="AT27" s="120"/>
      <c r="AU27" s="136">
        <f t="shared" si="21"/>
        <v>2040</v>
      </c>
      <c r="AV27" s="129">
        <f t="shared" si="33"/>
        <v>5.85</v>
      </c>
      <c r="AW27" s="136">
        <v>12</v>
      </c>
      <c r="AX27" s="131">
        <f t="shared" si="9"/>
        <v>5.8499999999999988</v>
      </c>
      <c r="AY27" s="120"/>
      <c r="AZ27" s="136">
        <f t="shared" si="22"/>
        <v>2040</v>
      </c>
      <c r="BA27" s="129">
        <f t="shared" si="34"/>
        <v>0</v>
      </c>
      <c r="BB27" s="136">
        <v>12</v>
      </c>
      <c r="BC27" s="131">
        <f t="shared" si="10"/>
        <v>0</v>
      </c>
      <c r="BE27" s="136">
        <f t="shared" si="23"/>
        <v>2040</v>
      </c>
      <c r="BF27" s="129">
        <f t="shared" si="35"/>
        <v>0</v>
      </c>
      <c r="BG27" s="136">
        <v>12</v>
      </c>
      <c r="BH27" s="131">
        <f t="shared" si="11"/>
        <v>0</v>
      </c>
    </row>
    <row r="28" spans="2:60">
      <c r="B28" s="136">
        <f t="shared" si="12"/>
        <v>2041</v>
      </c>
      <c r="C28" s="129">
        <f t="shared" si="24"/>
        <v>68.77</v>
      </c>
      <c r="D28" s="136">
        <v>12</v>
      </c>
      <c r="E28" s="131">
        <f t="shared" si="0"/>
        <v>68.77</v>
      </c>
      <c r="F28" s="120"/>
      <c r="G28" s="136">
        <f t="shared" si="13"/>
        <v>2041</v>
      </c>
      <c r="H28" s="129">
        <f t="shared" si="25"/>
        <v>15.22</v>
      </c>
      <c r="I28" s="136">
        <v>12</v>
      </c>
      <c r="J28" s="131">
        <f t="shared" si="1"/>
        <v>15.22</v>
      </c>
      <c r="K28" s="120"/>
      <c r="L28" s="136">
        <f t="shared" si="14"/>
        <v>2041</v>
      </c>
      <c r="M28" s="129">
        <f t="shared" si="26"/>
        <v>34.46</v>
      </c>
      <c r="N28" s="136">
        <v>12</v>
      </c>
      <c r="O28" s="131">
        <f t="shared" si="2"/>
        <v>34.46</v>
      </c>
      <c r="Q28" s="136">
        <f t="shared" si="15"/>
        <v>2041</v>
      </c>
      <c r="R28" s="129">
        <f t="shared" si="27"/>
        <v>3.7</v>
      </c>
      <c r="S28" s="136">
        <v>12</v>
      </c>
      <c r="T28" s="131">
        <f t="shared" si="3"/>
        <v>3.7000000000000006</v>
      </c>
      <c r="U28" s="120"/>
      <c r="V28" s="136">
        <f t="shared" si="16"/>
        <v>2041</v>
      </c>
      <c r="W28" s="129">
        <f t="shared" si="28"/>
        <v>0.56000000000000005</v>
      </c>
      <c r="X28" s="136">
        <v>12</v>
      </c>
      <c r="Y28" s="131">
        <f t="shared" si="4"/>
        <v>0.56000000000000005</v>
      </c>
      <c r="Z28" s="120"/>
      <c r="AA28" s="136">
        <f t="shared" si="17"/>
        <v>2041</v>
      </c>
      <c r="AB28" s="129">
        <f t="shared" si="29"/>
        <v>2.15</v>
      </c>
      <c r="AC28" s="136">
        <v>12</v>
      </c>
      <c r="AD28" s="131">
        <f t="shared" si="5"/>
        <v>2.15</v>
      </c>
      <c r="AE28" s="120"/>
      <c r="AF28" s="136">
        <f t="shared" si="18"/>
        <v>2041</v>
      </c>
      <c r="AG28" s="129">
        <f t="shared" si="30"/>
        <v>27.13</v>
      </c>
      <c r="AH28" s="136">
        <v>12</v>
      </c>
      <c r="AI28" s="131">
        <f t="shared" si="6"/>
        <v>27.13</v>
      </c>
      <c r="AJ28" s="120"/>
      <c r="AK28" s="136">
        <f t="shared" si="19"/>
        <v>2041</v>
      </c>
      <c r="AL28" s="129">
        <f t="shared" si="31"/>
        <v>13.28</v>
      </c>
      <c r="AM28" s="136">
        <v>12</v>
      </c>
      <c r="AN28" s="131">
        <f t="shared" si="7"/>
        <v>13.28</v>
      </c>
      <c r="AO28" s="120"/>
      <c r="AP28" s="136">
        <f t="shared" si="20"/>
        <v>2041</v>
      </c>
      <c r="AQ28" s="129">
        <f t="shared" si="32"/>
        <v>5.18</v>
      </c>
      <c r="AR28" s="136">
        <v>12</v>
      </c>
      <c r="AS28" s="131">
        <f t="shared" si="8"/>
        <v>5.18</v>
      </c>
      <c r="AT28" s="120"/>
      <c r="AU28" s="136">
        <f t="shared" si="21"/>
        <v>2041</v>
      </c>
      <c r="AV28" s="129">
        <f t="shared" si="33"/>
        <v>5.97</v>
      </c>
      <c r="AW28" s="136">
        <v>12</v>
      </c>
      <c r="AX28" s="131">
        <f t="shared" si="9"/>
        <v>5.97</v>
      </c>
      <c r="AY28" s="120"/>
      <c r="AZ28" s="136">
        <f t="shared" si="22"/>
        <v>2041</v>
      </c>
      <c r="BA28" s="129">
        <f t="shared" si="34"/>
        <v>0</v>
      </c>
      <c r="BB28" s="136">
        <v>12</v>
      </c>
      <c r="BC28" s="131">
        <f t="shared" si="10"/>
        <v>0</v>
      </c>
      <c r="BE28" s="136">
        <f t="shared" si="23"/>
        <v>2041</v>
      </c>
      <c r="BF28" s="129">
        <f t="shared" si="35"/>
        <v>0</v>
      </c>
      <c r="BG28" s="136">
        <v>12</v>
      </c>
      <c r="BH28" s="131">
        <f t="shared" si="11"/>
        <v>0</v>
      </c>
    </row>
    <row r="29" spans="2:60">
      <c r="B29" s="136">
        <f t="shared" si="12"/>
        <v>2042</v>
      </c>
      <c r="C29" s="129">
        <f t="shared" si="24"/>
        <v>70.22</v>
      </c>
      <c r="D29" s="136">
        <v>12</v>
      </c>
      <c r="E29" s="131">
        <f t="shared" si="0"/>
        <v>70.22</v>
      </c>
      <c r="F29" s="120"/>
      <c r="G29" s="136">
        <f t="shared" si="13"/>
        <v>2042</v>
      </c>
      <c r="H29" s="129">
        <f t="shared" si="25"/>
        <v>15.54</v>
      </c>
      <c r="I29" s="136">
        <v>12</v>
      </c>
      <c r="J29" s="131">
        <f t="shared" si="1"/>
        <v>15.54</v>
      </c>
      <c r="K29" s="120"/>
      <c r="L29" s="136">
        <f t="shared" si="14"/>
        <v>2042</v>
      </c>
      <c r="M29" s="129">
        <f t="shared" si="26"/>
        <v>35.19</v>
      </c>
      <c r="N29" s="136">
        <v>12</v>
      </c>
      <c r="O29" s="131">
        <f t="shared" si="2"/>
        <v>35.19</v>
      </c>
      <c r="Q29" s="136">
        <f t="shared" si="15"/>
        <v>2042</v>
      </c>
      <c r="R29" s="129">
        <f t="shared" si="27"/>
        <v>3.78</v>
      </c>
      <c r="S29" s="136">
        <v>12</v>
      </c>
      <c r="T29" s="131">
        <f t="shared" si="3"/>
        <v>3.78</v>
      </c>
      <c r="U29" s="120"/>
      <c r="V29" s="136">
        <f t="shared" si="16"/>
        <v>2042</v>
      </c>
      <c r="W29" s="129">
        <f t="shared" si="28"/>
        <v>0.56999999999999995</v>
      </c>
      <c r="X29" s="136">
        <v>12</v>
      </c>
      <c r="Y29" s="131">
        <f t="shared" si="4"/>
        <v>0.56999999999999995</v>
      </c>
      <c r="Z29" s="120"/>
      <c r="AA29" s="136">
        <f t="shared" si="17"/>
        <v>2042</v>
      </c>
      <c r="AB29" s="129">
        <f t="shared" si="29"/>
        <v>2.2000000000000002</v>
      </c>
      <c r="AC29" s="136">
        <v>12</v>
      </c>
      <c r="AD29" s="131">
        <f t="shared" si="5"/>
        <v>2.2000000000000002</v>
      </c>
      <c r="AE29" s="120"/>
      <c r="AF29" s="136">
        <f t="shared" si="18"/>
        <v>2042</v>
      </c>
      <c r="AG29" s="129">
        <f t="shared" si="30"/>
        <v>27.7</v>
      </c>
      <c r="AH29" s="136">
        <v>12</v>
      </c>
      <c r="AI29" s="131">
        <f t="shared" si="6"/>
        <v>27.7</v>
      </c>
      <c r="AJ29" s="120"/>
      <c r="AK29" s="136">
        <f t="shared" si="19"/>
        <v>2042</v>
      </c>
      <c r="AL29" s="129">
        <f t="shared" si="31"/>
        <v>13.56</v>
      </c>
      <c r="AM29" s="136">
        <v>12</v>
      </c>
      <c r="AN29" s="131">
        <f t="shared" si="7"/>
        <v>13.56</v>
      </c>
      <c r="AO29" s="120"/>
      <c r="AP29" s="136">
        <f t="shared" si="20"/>
        <v>2042</v>
      </c>
      <c r="AQ29" s="129">
        <f t="shared" si="32"/>
        <v>5.29</v>
      </c>
      <c r="AR29" s="136">
        <v>12</v>
      </c>
      <c r="AS29" s="131">
        <f t="shared" si="8"/>
        <v>5.29</v>
      </c>
      <c r="AT29" s="120"/>
      <c r="AU29" s="136">
        <f t="shared" si="21"/>
        <v>2042</v>
      </c>
      <c r="AV29" s="129">
        <f t="shared" si="33"/>
        <v>6.1</v>
      </c>
      <c r="AW29" s="136">
        <v>12</v>
      </c>
      <c r="AX29" s="131">
        <f t="shared" si="9"/>
        <v>6.0999999999999988</v>
      </c>
      <c r="AY29" s="120"/>
      <c r="AZ29" s="136">
        <f t="shared" si="22"/>
        <v>2042</v>
      </c>
      <c r="BA29" s="129">
        <f t="shared" si="34"/>
        <v>0</v>
      </c>
      <c r="BB29" s="136">
        <v>12</v>
      </c>
      <c r="BC29" s="131">
        <f t="shared" si="10"/>
        <v>0</v>
      </c>
      <c r="BE29" s="136">
        <f t="shared" si="23"/>
        <v>2042</v>
      </c>
      <c r="BF29" s="129">
        <f t="shared" si="35"/>
        <v>0</v>
      </c>
      <c r="BG29" s="136">
        <v>12</v>
      </c>
      <c r="BH29" s="131">
        <f t="shared" si="11"/>
        <v>0</v>
      </c>
    </row>
    <row r="30" spans="2:60">
      <c r="B30" s="136">
        <f t="shared" si="12"/>
        <v>2043</v>
      </c>
      <c r="C30" s="129">
        <f t="shared" si="24"/>
        <v>71.709999999999994</v>
      </c>
      <c r="D30" s="136">
        <v>12</v>
      </c>
      <c r="E30" s="131">
        <f t="shared" si="0"/>
        <v>71.709999999999994</v>
      </c>
      <c r="F30" s="120"/>
      <c r="G30" s="136">
        <f t="shared" si="13"/>
        <v>2043</v>
      </c>
      <c r="H30" s="129">
        <f t="shared" si="25"/>
        <v>15.87</v>
      </c>
      <c r="I30" s="136">
        <v>12</v>
      </c>
      <c r="J30" s="131">
        <f t="shared" si="1"/>
        <v>15.87</v>
      </c>
      <c r="K30" s="120"/>
      <c r="L30" s="136">
        <f t="shared" si="14"/>
        <v>2043</v>
      </c>
      <c r="M30" s="129">
        <f t="shared" si="26"/>
        <v>35.94</v>
      </c>
      <c r="N30" s="136">
        <v>12</v>
      </c>
      <c r="O30" s="131">
        <f t="shared" si="2"/>
        <v>35.94</v>
      </c>
      <c r="Q30" s="136">
        <f t="shared" si="15"/>
        <v>2043</v>
      </c>
      <c r="R30" s="129">
        <f t="shared" si="27"/>
        <v>3.86</v>
      </c>
      <c r="S30" s="136">
        <v>12</v>
      </c>
      <c r="T30" s="131">
        <f t="shared" si="3"/>
        <v>3.86</v>
      </c>
      <c r="U30" s="120"/>
      <c r="V30" s="136">
        <f t="shared" si="16"/>
        <v>2043</v>
      </c>
      <c r="W30" s="129">
        <f t="shared" si="28"/>
        <v>0.57999999999999996</v>
      </c>
      <c r="X30" s="136">
        <v>12</v>
      </c>
      <c r="Y30" s="131">
        <f t="shared" si="4"/>
        <v>0.57999999999999996</v>
      </c>
      <c r="Z30" s="120"/>
      <c r="AA30" s="136">
        <f t="shared" si="17"/>
        <v>2043</v>
      </c>
      <c r="AB30" s="129">
        <f t="shared" si="29"/>
        <v>2.25</v>
      </c>
      <c r="AC30" s="136">
        <v>12</v>
      </c>
      <c r="AD30" s="131">
        <f t="shared" si="5"/>
        <v>2.25</v>
      </c>
      <c r="AE30" s="120"/>
      <c r="AF30" s="136">
        <f t="shared" si="18"/>
        <v>2043</v>
      </c>
      <c r="AG30" s="129">
        <f t="shared" si="30"/>
        <v>28.29</v>
      </c>
      <c r="AH30" s="136">
        <v>12</v>
      </c>
      <c r="AI30" s="131">
        <f t="shared" si="6"/>
        <v>28.290000000000003</v>
      </c>
      <c r="AJ30" s="120"/>
      <c r="AK30" s="136">
        <f t="shared" si="19"/>
        <v>2043</v>
      </c>
      <c r="AL30" s="129">
        <f t="shared" si="31"/>
        <v>13.85</v>
      </c>
      <c r="AM30" s="136">
        <v>12</v>
      </c>
      <c r="AN30" s="131">
        <f t="shared" si="7"/>
        <v>13.85</v>
      </c>
      <c r="AO30" s="120"/>
      <c r="AP30" s="136">
        <f t="shared" si="20"/>
        <v>2043</v>
      </c>
      <c r="AQ30" s="129">
        <f t="shared" si="32"/>
        <v>5.4</v>
      </c>
      <c r="AR30" s="136">
        <v>12</v>
      </c>
      <c r="AS30" s="131">
        <f t="shared" si="8"/>
        <v>5.4000000000000012</v>
      </c>
      <c r="AT30" s="120"/>
      <c r="AU30" s="136">
        <f t="shared" si="21"/>
        <v>2043</v>
      </c>
      <c r="AV30" s="129">
        <f t="shared" si="33"/>
        <v>6.23</v>
      </c>
      <c r="AW30" s="136">
        <v>12</v>
      </c>
      <c r="AX30" s="131">
        <f t="shared" si="9"/>
        <v>6.23</v>
      </c>
      <c r="AY30" s="120"/>
      <c r="AZ30" s="136">
        <f t="shared" si="22"/>
        <v>2043</v>
      </c>
      <c r="BA30" s="129">
        <f t="shared" si="34"/>
        <v>0</v>
      </c>
      <c r="BB30" s="136">
        <v>12</v>
      </c>
      <c r="BC30" s="131">
        <f t="shared" si="10"/>
        <v>0</v>
      </c>
      <c r="BE30" s="136">
        <f t="shared" si="23"/>
        <v>2043</v>
      </c>
      <c r="BF30" s="129">
        <f t="shared" si="35"/>
        <v>0</v>
      </c>
      <c r="BG30" s="136">
        <v>12</v>
      </c>
      <c r="BH30" s="131">
        <f t="shared" si="11"/>
        <v>0</v>
      </c>
    </row>
    <row r="31" spans="2:60">
      <c r="B31" s="136">
        <f t="shared" si="12"/>
        <v>2044</v>
      </c>
      <c r="C31" s="129">
        <f t="shared" si="24"/>
        <v>73.239999999999995</v>
      </c>
      <c r="D31" s="136">
        <v>12</v>
      </c>
      <c r="E31" s="131">
        <f t="shared" si="0"/>
        <v>73.239999999999995</v>
      </c>
      <c r="F31" s="120"/>
      <c r="G31" s="136">
        <f t="shared" si="13"/>
        <v>2044</v>
      </c>
      <c r="H31" s="129">
        <f t="shared" si="25"/>
        <v>16.21</v>
      </c>
      <c r="I31" s="136">
        <v>12</v>
      </c>
      <c r="J31" s="131">
        <f t="shared" si="1"/>
        <v>16.21</v>
      </c>
      <c r="K31" s="120"/>
      <c r="L31" s="136">
        <f t="shared" si="14"/>
        <v>2044</v>
      </c>
      <c r="M31" s="129">
        <f t="shared" si="26"/>
        <v>36.71</v>
      </c>
      <c r="N31" s="136">
        <v>12</v>
      </c>
      <c r="O31" s="131">
        <f t="shared" si="2"/>
        <v>36.71</v>
      </c>
      <c r="Q31" s="136">
        <f t="shared" si="15"/>
        <v>2044</v>
      </c>
      <c r="R31" s="129">
        <f t="shared" si="27"/>
        <v>3.94</v>
      </c>
      <c r="S31" s="136">
        <v>12</v>
      </c>
      <c r="T31" s="131">
        <f t="shared" si="3"/>
        <v>3.94</v>
      </c>
      <c r="U31" s="120"/>
      <c r="V31" s="136">
        <f t="shared" si="16"/>
        <v>2044</v>
      </c>
      <c r="W31" s="129">
        <f t="shared" si="28"/>
        <v>0.59</v>
      </c>
      <c r="X31" s="136">
        <v>12</v>
      </c>
      <c r="Y31" s="131">
        <f t="shared" si="4"/>
        <v>0.59</v>
      </c>
      <c r="Z31" s="120"/>
      <c r="AA31" s="136">
        <f t="shared" si="17"/>
        <v>2044</v>
      </c>
      <c r="AB31" s="129">
        <f t="shared" si="29"/>
        <v>2.2999999999999998</v>
      </c>
      <c r="AC31" s="136">
        <v>12</v>
      </c>
      <c r="AD31" s="131">
        <f t="shared" si="5"/>
        <v>2.2999999999999998</v>
      </c>
      <c r="AE31" s="120"/>
      <c r="AF31" s="136">
        <f t="shared" si="18"/>
        <v>2044</v>
      </c>
      <c r="AG31" s="129">
        <f t="shared" si="30"/>
        <v>28.89</v>
      </c>
      <c r="AH31" s="136">
        <v>12</v>
      </c>
      <c r="AI31" s="131">
        <f t="shared" si="6"/>
        <v>28.89</v>
      </c>
      <c r="AJ31" s="120"/>
      <c r="AK31" s="136">
        <f t="shared" si="19"/>
        <v>2044</v>
      </c>
      <c r="AL31" s="129">
        <f t="shared" si="31"/>
        <v>14.14</v>
      </c>
      <c r="AM31" s="136">
        <v>12</v>
      </c>
      <c r="AN31" s="131">
        <f t="shared" si="7"/>
        <v>14.14</v>
      </c>
      <c r="AO31" s="120"/>
      <c r="AP31" s="136">
        <f t="shared" si="20"/>
        <v>2044</v>
      </c>
      <c r="AQ31" s="129">
        <f t="shared" si="32"/>
        <v>5.51</v>
      </c>
      <c r="AR31" s="136">
        <v>12</v>
      </c>
      <c r="AS31" s="131">
        <f t="shared" si="8"/>
        <v>5.5100000000000007</v>
      </c>
      <c r="AT31" s="120"/>
      <c r="AU31" s="136">
        <f t="shared" si="21"/>
        <v>2044</v>
      </c>
      <c r="AV31" s="129">
        <f t="shared" si="33"/>
        <v>6.36</v>
      </c>
      <c r="AW31" s="136">
        <v>12</v>
      </c>
      <c r="AX31" s="131">
        <f t="shared" si="9"/>
        <v>6.36</v>
      </c>
      <c r="AY31" s="120"/>
      <c r="AZ31" s="136">
        <f t="shared" si="22"/>
        <v>2044</v>
      </c>
      <c r="BA31" s="129">
        <f t="shared" si="34"/>
        <v>0</v>
      </c>
      <c r="BB31" s="136">
        <v>12</v>
      </c>
      <c r="BC31" s="131">
        <f t="shared" si="10"/>
        <v>0</v>
      </c>
      <c r="BE31" s="136">
        <f t="shared" si="23"/>
        <v>2044</v>
      </c>
      <c r="BF31" s="129">
        <f t="shared" si="35"/>
        <v>0</v>
      </c>
      <c r="BG31" s="136">
        <v>12</v>
      </c>
      <c r="BH31" s="131">
        <f t="shared" si="11"/>
        <v>0</v>
      </c>
    </row>
    <row r="32" spans="2:60">
      <c r="B32" s="136">
        <f t="shared" si="12"/>
        <v>2045</v>
      </c>
      <c r="C32" s="129">
        <f t="shared" si="24"/>
        <v>74.81</v>
      </c>
      <c r="D32" s="136">
        <v>12</v>
      </c>
      <c r="E32" s="131">
        <f t="shared" si="0"/>
        <v>74.81</v>
      </c>
      <c r="F32" s="120"/>
      <c r="G32" s="136">
        <f t="shared" si="13"/>
        <v>2045</v>
      </c>
      <c r="H32" s="129">
        <f t="shared" si="25"/>
        <v>16.559999999999999</v>
      </c>
      <c r="I32" s="136">
        <v>12</v>
      </c>
      <c r="J32" s="131">
        <f t="shared" si="1"/>
        <v>16.559999999999999</v>
      </c>
      <c r="K32" s="120"/>
      <c r="L32" s="136">
        <f t="shared" si="14"/>
        <v>2045</v>
      </c>
      <c r="M32" s="129">
        <f t="shared" si="26"/>
        <v>37.5</v>
      </c>
      <c r="N32" s="136">
        <v>12</v>
      </c>
      <c r="O32" s="131">
        <f t="shared" si="2"/>
        <v>37.5</v>
      </c>
      <c r="Q32" s="136">
        <f t="shared" si="15"/>
        <v>2045</v>
      </c>
      <c r="R32" s="129">
        <f t="shared" si="27"/>
        <v>4.0199999999999996</v>
      </c>
      <c r="S32" s="136">
        <v>12</v>
      </c>
      <c r="T32" s="131">
        <f t="shared" si="3"/>
        <v>4.0199999999999996</v>
      </c>
      <c r="U32" s="120"/>
      <c r="V32" s="136">
        <f t="shared" si="16"/>
        <v>2045</v>
      </c>
      <c r="W32" s="129">
        <f t="shared" si="28"/>
        <v>0.6</v>
      </c>
      <c r="X32" s="136">
        <v>12</v>
      </c>
      <c r="Y32" s="131">
        <f t="shared" si="4"/>
        <v>0.6</v>
      </c>
      <c r="Z32" s="120"/>
      <c r="AA32" s="136">
        <f t="shared" si="17"/>
        <v>2045</v>
      </c>
      <c r="AB32" s="129">
        <f t="shared" si="29"/>
        <v>2.35</v>
      </c>
      <c r="AC32" s="136">
        <v>12</v>
      </c>
      <c r="AD32" s="131">
        <f t="shared" si="5"/>
        <v>2.35</v>
      </c>
      <c r="AE32" s="120"/>
      <c r="AF32" s="136">
        <f t="shared" si="18"/>
        <v>2045</v>
      </c>
      <c r="AG32" s="129">
        <f t="shared" si="30"/>
        <v>29.51</v>
      </c>
      <c r="AH32" s="136">
        <v>12</v>
      </c>
      <c r="AI32" s="131">
        <f t="shared" si="6"/>
        <v>29.51</v>
      </c>
      <c r="AJ32" s="120"/>
      <c r="AK32" s="136">
        <f t="shared" si="19"/>
        <v>2045</v>
      </c>
      <c r="AL32" s="129">
        <f t="shared" si="31"/>
        <v>14.44</v>
      </c>
      <c r="AM32" s="136">
        <v>12</v>
      </c>
      <c r="AN32" s="131">
        <f t="shared" si="7"/>
        <v>14.44</v>
      </c>
      <c r="AO32" s="120"/>
      <c r="AP32" s="136">
        <f t="shared" si="20"/>
        <v>2045</v>
      </c>
      <c r="AQ32" s="129">
        <f t="shared" si="32"/>
        <v>5.63</v>
      </c>
      <c r="AR32" s="136">
        <v>12</v>
      </c>
      <c r="AS32" s="131">
        <f t="shared" si="8"/>
        <v>5.63</v>
      </c>
      <c r="AT32" s="120"/>
      <c r="AU32" s="136">
        <f t="shared" si="21"/>
        <v>2045</v>
      </c>
      <c r="AV32" s="129">
        <f t="shared" si="33"/>
        <v>6.5</v>
      </c>
      <c r="AW32" s="136">
        <v>12</v>
      </c>
      <c r="AX32" s="131">
        <f t="shared" si="9"/>
        <v>6.5</v>
      </c>
      <c r="AY32" s="120"/>
      <c r="AZ32" s="136">
        <f t="shared" si="22"/>
        <v>2045</v>
      </c>
      <c r="BA32" s="129">
        <f t="shared" si="34"/>
        <v>0</v>
      </c>
      <c r="BB32" s="136">
        <v>12</v>
      </c>
      <c r="BC32" s="131">
        <f t="shared" si="10"/>
        <v>0</v>
      </c>
      <c r="BE32" s="136">
        <f t="shared" si="23"/>
        <v>2045</v>
      </c>
      <c r="BF32" s="129">
        <f t="shared" si="35"/>
        <v>0</v>
      </c>
      <c r="BG32" s="136">
        <v>12</v>
      </c>
      <c r="BH32" s="131">
        <f t="shared" si="11"/>
        <v>0</v>
      </c>
    </row>
    <row r="33" spans="2:60">
      <c r="B33" s="136"/>
      <c r="C33" s="129"/>
      <c r="D33" s="136"/>
      <c r="E33" s="131"/>
      <c r="F33" s="120"/>
      <c r="G33" s="136"/>
      <c r="H33" s="129"/>
      <c r="I33" s="136"/>
      <c r="J33" s="131"/>
      <c r="K33" s="120"/>
      <c r="L33" s="136"/>
      <c r="M33" s="129"/>
      <c r="N33" s="136"/>
      <c r="O33" s="131"/>
      <c r="Q33" s="136"/>
      <c r="R33" s="129"/>
      <c r="S33" s="136"/>
      <c r="T33" s="131"/>
      <c r="U33" s="120"/>
      <c r="V33" s="136"/>
      <c r="W33" s="129"/>
      <c r="X33" s="136"/>
      <c r="Y33" s="131"/>
      <c r="Z33" s="120"/>
      <c r="AA33" s="136"/>
      <c r="AB33" s="129"/>
      <c r="AC33" s="136"/>
      <c r="AD33" s="131"/>
      <c r="AE33" s="120"/>
      <c r="AF33" s="136"/>
      <c r="AG33" s="129"/>
      <c r="AH33" s="136"/>
      <c r="AI33" s="131"/>
      <c r="AJ33" s="120"/>
      <c r="AK33" s="136"/>
      <c r="AL33" s="129"/>
      <c r="AM33" s="136"/>
      <c r="AN33" s="131"/>
      <c r="AO33" s="120"/>
      <c r="AP33" s="136"/>
      <c r="AQ33" s="129"/>
      <c r="AR33" s="136"/>
      <c r="AS33" s="131"/>
      <c r="AT33" s="120"/>
      <c r="AU33" s="136"/>
      <c r="AV33" s="129"/>
      <c r="AW33" s="136"/>
      <c r="AX33" s="131"/>
      <c r="AY33" s="120"/>
      <c r="AZ33" s="136"/>
      <c r="BA33" s="129"/>
      <c r="BB33" s="136"/>
      <c r="BC33" s="131"/>
      <c r="BE33" s="136"/>
      <c r="BF33" s="129"/>
      <c r="BG33" s="136"/>
      <c r="BH33" s="131"/>
    </row>
    <row r="34" spans="2:60">
      <c r="B34" s="136"/>
      <c r="C34" s="132"/>
      <c r="D34" s="129"/>
      <c r="E34" s="129"/>
      <c r="F34" s="130"/>
      <c r="G34" s="136"/>
      <c r="H34" s="132"/>
      <c r="I34" s="129"/>
      <c r="J34" s="129"/>
      <c r="K34" s="130"/>
      <c r="L34" s="136"/>
      <c r="M34" s="132"/>
      <c r="N34" s="129"/>
      <c r="O34" s="129"/>
      <c r="Q34" s="136"/>
      <c r="R34" s="132"/>
      <c r="S34" s="129"/>
      <c r="T34" s="129"/>
      <c r="U34" s="130"/>
      <c r="V34" s="136"/>
      <c r="W34" s="132"/>
      <c r="X34" s="129"/>
      <c r="Y34" s="129"/>
      <c r="Z34" s="130"/>
      <c r="AA34" s="136"/>
      <c r="AB34" s="132"/>
      <c r="AC34" s="129"/>
      <c r="AD34" s="129"/>
      <c r="AE34" s="130"/>
      <c r="AF34" s="136"/>
      <c r="AG34" s="132"/>
      <c r="AH34" s="129"/>
      <c r="AI34" s="129"/>
      <c r="AJ34" s="130"/>
      <c r="AK34" s="136"/>
      <c r="AL34" s="132"/>
      <c r="AM34" s="129"/>
      <c r="AN34" s="129"/>
      <c r="AO34" s="130"/>
      <c r="AP34" s="136"/>
      <c r="AQ34" s="132"/>
      <c r="AR34" s="129"/>
      <c r="AS34" s="129"/>
      <c r="AT34" s="130"/>
      <c r="AU34" s="136"/>
      <c r="AV34" s="132"/>
      <c r="AW34" s="129"/>
      <c r="AX34" s="129"/>
      <c r="AY34" s="130"/>
      <c r="AZ34" s="136"/>
      <c r="BA34" s="132"/>
      <c r="BB34" s="129"/>
      <c r="BC34" s="129"/>
      <c r="BD34" s="138"/>
      <c r="BE34" s="136"/>
      <c r="BF34" s="132"/>
      <c r="BG34" s="129"/>
      <c r="BH34" s="129"/>
    </row>
    <row r="35" spans="2:60" s="120" customFormat="1" ht="12" customHeight="1">
      <c r="C35" s="129" t="s">
        <v>106</v>
      </c>
      <c r="D35" s="350">
        <v>2024</v>
      </c>
      <c r="H35" s="129" t="s">
        <v>106</v>
      </c>
      <c r="I35" s="350">
        <v>2030</v>
      </c>
      <c r="M35" s="129" t="s">
        <v>106</v>
      </c>
      <c r="N35" s="350">
        <v>2036</v>
      </c>
      <c r="R35" s="129" t="s">
        <v>106</v>
      </c>
      <c r="S35" s="350">
        <v>2024</v>
      </c>
      <c r="W35" s="129" t="s">
        <v>106</v>
      </c>
      <c r="X35" s="350">
        <v>2024</v>
      </c>
      <c r="AB35" s="129" t="s">
        <v>106</v>
      </c>
      <c r="AC35" s="350">
        <v>2023</v>
      </c>
      <c r="AG35" s="129" t="s">
        <v>106</v>
      </c>
      <c r="AH35" s="352">
        <v>2030</v>
      </c>
      <c r="AL35" s="129" t="s">
        <v>106</v>
      </c>
      <c r="AM35" s="350">
        <v>2033</v>
      </c>
      <c r="AQ35" s="129" t="s">
        <v>106</v>
      </c>
      <c r="AR35" s="350">
        <v>2037</v>
      </c>
      <c r="AV35" s="129" t="s">
        <v>106</v>
      </c>
      <c r="AW35" s="350">
        <v>2037</v>
      </c>
      <c r="BA35" s="129" t="s">
        <v>106</v>
      </c>
      <c r="BB35" s="352">
        <v>2029</v>
      </c>
      <c r="BF35" s="129" t="s">
        <v>106</v>
      </c>
      <c r="BG35" s="352">
        <v>2024</v>
      </c>
    </row>
    <row r="36" spans="2:60">
      <c r="C36" s="188" t="s">
        <v>86</v>
      </c>
      <c r="D36" s="350">
        <v>1920</v>
      </c>
      <c r="H36" s="188" t="s">
        <v>86</v>
      </c>
      <c r="I36" s="350">
        <v>1100</v>
      </c>
      <c r="M36" s="188" t="s">
        <v>86</v>
      </c>
      <c r="N36" s="350">
        <v>430</v>
      </c>
      <c r="R36" s="188" t="s">
        <v>86</v>
      </c>
      <c r="S36" s="350">
        <v>600</v>
      </c>
      <c r="W36" s="188" t="s">
        <v>86</v>
      </c>
      <c r="X36" s="350">
        <v>405</v>
      </c>
      <c r="AB36" s="188" t="s">
        <v>86</v>
      </c>
      <c r="AC36" s="350">
        <v>300</v>
      </c>
      <c r="AG36" s="188" t="s">
        <v>86</v>
      </c>
      <c r="AH36" s="352">
        <v>500</v>
      </c>
      <c r="AL36" s="188" t="s">
        <v>86</v>
      </c>
      <c r="AM36" s="350">
        <v>475</v>
      </c>
      <c r="AQ36" s="188" t="s">
        <v>86</v>
      </c>
      <c r="AR36" s="350">
        <v>442.8</v>
      </c>
      <c r="AV36" s="188" t="s">
        <v>86</v>
      </c>
      <c r="AW36" s="350">
        <v>369.8</v>
      </c>
      <c r="BA36" s="188" t="s">
        <v>86</v>
      </c>
      <c r="BB36" s="352">
        <v>359.4</v>
      </c>
      <c r="BF36" s="188" t="s">
        <v>86</v>
      </c>
      <c r="BG36" s="352">
        <v>354</v>
      </c>
    </row>
    <row r="37" spans="2:60">
      <c r="B37" s="130"/>
      <c r="C37" s="129" t="s">
        <v>181</v>
      </c>
      <c r="D37" s="129">
        <v>1542.049</v>
      </c>
      <c r="G37" s="130"/>
      <c r="H37" s="129" t="s">
        <v>181</v>
      </c>
      <c r="I37" s="129">
        <v>223.26</v>
      </c>
      <c r="L37" s="130"/>
      <c r="M37" s="129" t="s">
        <v>181</v>
      </c>
      <c r="N37" s="129">
        <v>224.316</v>
      </c>
      <c r="Q37" s="130"/>
      <c r="R37" s="129" t="s">
        <v>181</v>
      </c>
      <c r="S37" s="129">
        <v>25.99</v>
      </c>
      <c r="V37" s="130"/>
      <c r="W37" s="129" t="s">
        <v>181</v>
      </c>
      <c r="X37" s="129">
        <v>2.6589999999999998</v>
      </c>
      <c r="AA37" s="130"/>
      <c r="AB37" s="129" t="s">
        <v>181</v>
      </c>
      <c r="AC37" s="129">
        <v>7.3890000000000002</v>
      </c>
      <c r="AF37" s="130"/>
      <c r="AG37" s="129" t="s">
        <v>181</v>
      </c>
      <c r="AH37" s="353">
        <v>181.00800000000001</v>
      </c>
      <c r="AK37" s="130"/>
      <c r="AL37" s="129" t="s">
        <v>181</v>
      </c>
      <c r="AM37" s="129">
        <v>89.744</v>
      </c>
      <c r="AP37" s="130"/>
      <c r="AQ37" s="129" t="s">
        <v>181</v>
      </c>
      <c r="AR37" s="129">
        <v>35.457999999999998</v>
      </c>
      <c r="AU37" s="130"/>
      <c r="AV37" s="129" t="s">
        <v>181</v>
      </c>
      <c r="AW37" s="129">
        <v>34.106999999999999</v>
      </c>
      <c r="AZ37" s="130"/>
      <c r="BA37" s="129" t="s">
        <v>181</v>
      </c>
      <c r="BB37" s="353">
        <v>0</v>
      </c>
      <c r="BE37" s="130"/>
      <c r="BF37" s="129" t="s">
        <v>181</v>
      </c>
      <c r="BG37" s="353">
        <v>0</v>
      </c>
    </row>
    <row r="38" spans="2:60">
      <c r="B38" s="130"/>
      <c r="C38" s="129" t="s">
        <v>182</v>
      </c>
      <c r="D38" s="348">
        <v>5.9603158827233105E-2</v>
      </c>
      <c r="G38" s="130"/>
      <c r="H38" s="129" t="s">
        <v>182</v>
      </c>
      <c r="I38" s="348">
        <v>5.9603158827233105E-2</v>
      </c>
      <c r="L38" s="130"/>
      <c r="M38" s="129" t="s">
        <v>182</v>
      </c>
      <c r="N38" s="348">
        <v>5.9603158827233105E-2</v>
      </c>
      <c r="Q38" s="130"/>
      <c r="R38" s="129" t="s">
        <v>182</v>
      </c>
      <c r="S38" s="348">
        <v>5.9603158827233105E-2</v>
      </c>
      <c r="V38" s="130"/>
      <c r="W38" s="129" t="s">
        <v>182</v>
      </c>
      <c r="X38" s="348">
        <v>5.9603158827233105E-2</v>
      </c>
      <c r="AA38" s="130"/>
      <c r="AB38" s="129" t="s">
        <v>182</v>
      </c>
      <c r="AC38" s="348">
        <v>5.9603158827233105E-2</v>
      </c>
      <c r="AF38" s="130"/>
      <c r="AG38" s="129" t="s">
        <v>182</v>
      </c>
      <c r="AH38" s="348">
        <v>5.9603158827233105E-2</v>
      </c>
      <c r="AK38" s="130"/>
      <c r="AL38" s="129" t="s">
        <v>182</v>
      </c>
      <c r="AM38" s="348">
        <v>5.9603158827233105E-2</v>
      </c>
      <c r="AP38" s="130"/>
      <c r="AQ38" s="129" t="s">
        <v>182</v>
      </c>
      <c r="AR38" s="348">
        <v>5.9603158827233105E-2</v>
      </c>
      <c r="AU38" s="130"/>
      <c r="AV38" s="129" t="s">
        <v>182</v>
      </c>
      <c r="AW38" s="348">
        <v>5.9603158827233105E-2</v>
      </c>
      <c r="AZ38" s="130"/>
      <c r="BA38" s="129" t="s">
        <v>182</v>
      </c>
      <c r="BB38" s="348">
        <v>5.9603158827233105E-2</v>
      </c>
      <c r="BE38" s="130"/>
      <c r="BF38" s="129" t="s">
        <v>182</v>
      </c>
      <c r="BG38" s="348">
        <v>5.9603158827233105E-2</v>
      </c>
    </row>
    <row r="39" spans="2:60" ht="41.25" customHeight="1">
      <c r="B39" s="411" t="s">
        <v>180</v>
      </c>
      <c r="C39" s="411"/>
      <c r="D39" s="349">
        <f>D37*1000000*D38/(D36*1000)</f>
        <v>47.870308055404152</v>
      </c>
      <c r="G39" s="411" t="s">
        <v>194</v>
      </c>
      <c r="H39" s="411"/>
      <c r="I39" s="349">
        <f>I37*1000000*I38/(I36*1000)</f>
        <v>12.097273854334603</v>
      </c>
      <c r="L39" s="411" t="s">
        <v>196</v>
      </c>
      <c r="M39" s="411"/>
      <c r="N39" s="349">
        <f>N37*1000000*N38/(N36*1000)</f>
        <v>31.092888780208423</v>
      </c>
      <c r="Q39" s="411" t="s">
        <v>180</v>
      </c>
      <c r="R39" s="411"/>
      <c r="S39" s="349">
        <f>S37*1000000*S38/(S36*1000)</f>
        <v>2.5818101631996475</v>
      </c>
      <c r="V39" s="411" t="s">
        <v>180</v>
      </c>
      <c r="W39" s="411"/>
      <c r="X39" s="349">
        <f>X37*1000000*X38/(X36*1000)</f>
        <v>0.39132049215213044</v>
      </c>
      <c r="AA39" s="411" t="s">
        <v>185</v>
      </c>
      <c r="AB39" s="411"/>
      <c r="AC39" s="349">
        <f>AC37*1000000*AC38/(AC36*1000)</f>
        <v>1.4680258019147514</v>
      </c>
      <c r="AF39" s="411" t="s">
        <v>194</v>
      </c>
      <c r="AG39" s="411"/>
      <c r="AH39" s="349">
        <f>AH37*1000000*AH38/(AH36*1000)</f>
        <v>21.577297145999619</v>
      </c>
      <c r="AK39" s="411" t="s">
        <v>193</v>
      </c>
      <c r="AL39" s="411"/>
      <c r="AM39" s="349">
        <f>AM37*1000000*AM38/(AM36*1000)</f>
        <v>11.261107127981489</v>
      </c>
      <c r="AP39" s="411" t="s">
        <v>198</v>
      </c>
      <c r="AQ39" s="411"/>
      <c r="AR39" s="349">
        <f>AR37*1000000*AR38/(AR36*1000)</f>
        <v>4.7728292811563495</v>
      </c>
      <c r="AU39" s="411" t="s">
        <v>198</v>
      </c>
      <c r="AV39" s="411"/>
      <c r="AW39" s="349">
        <f>AW37*1000000*AW38/(AW36*1000)</f>
        <v>5.4972551057881001</v>
      </c>
      <c r="AZ39" s="411" t="s">
        <v>192</v>
      </c>
      <c r="BA39" s="411"/>
      <c r="BB39" s="349">
        <f>BB37*1000000*BB38/(BB36*1000)</f>
        <v>0</v>
      </c>
      <c r="BE39" s="411" t="s">
        <v>180</v>
      </c>
      <c r="BF39" s="411"/>
      <c r="BG39" s="349">
        <f>BG37*1000000*BG38/(BG36*1000)</f>
        <v>0</v>
      </c>
    </row>
    <row r="40" spans="2:60">
      <c r="B40" s="127"/>
      <c r="C40" s="132"/>
      <c r="D40" s="129"/>
      <c r="E40" s="129"/>
      <c r="F40" s="130"/>
      <c r="I40" s="131"/>
      <c r="J40" s="131"/>
      <c r="K40" s="130"/>
      <c r="N40" s="131"/>
      <c r="O40" s="131"/>
      <c r="U40" s="130"/>
      <c r="X40" s="131"/>
      <c r="Y40" s="131"/>
      <c r="Z40" s="130"/>
      <c r="AC40" s="131"/>
      <c r="AD40" s="131"/>
      <c r="AE40" s="130"/>
      <c r="AH40" s="131"/>
      <c r="AI40" s="131"/>
      <c r="AJ40" s="130"/>
      <c r="AM40" s="131"/>
      <c r="AN40" s="131"/>
      <c r="AO40" s="130"/>
      <c r="AR40" s="131"/>
      <c r="AS40" s="131"/>
      <c r="AT40" s="130"/>
      <c r="AW40" s="131"/>
      <c r="AX40" s="131"/>
      <c r="AY40" s="130"/>
      <c r="BB40" s="131"/>
      <c r="BC40" s="131"/>
      <c r="BD40" s="138"/>
    </row>
    <row r="41" spans="2:60">
      <c r="E41" s="129"/>
      <c r="I41" s="131"/>
      <c r="J41" s="131"/>
      <c r="K41" s="138"/>
    </row>
    <row r="42" spans="2:60" ht="13.5" thickBot="1">
      <c r="D42" s="155"/>
    </row>
    <row r="43" spans="2:60" ht="13.5" thickBot="1">
      <c r="C43" s="40" t="str">
        <f>"Company Official Inflation Forecast Dated "&amp;TEXT('Table 4'!$H$5,"mmmm dd, yyyy")</f>
        <v>Company Official Inflation Forecast Dated September 30, 2019</v>
      </c>
      <c r="D43" s="143"/>
      <c r="E43" s="143"/>
      <c r="F43" s="143"/>
      <c r="G43" s="143"/>
      <c r="H43" s="143"/>
      <c r="I43" s="143"/>
      <c r="J43" s="143"/>
      <c r="K43" s="145"/>
    </row>
    <row r="44" spans="2:60">
      <c r="C44" s="87">
        <v>2019</v>
      </c>
      <c r="D44" s="41">
        <v>1.9651346350279875E-2</v>
      </c>
      <c r="E44" s="85"/>
      <c r="F44" s="87">
        <f>C52+1</f>
        <v>2028</v>
      </c>
      <c r="G44" s="41">
        <v>2.2447976887115972E-2</v>
      </c>
      <c r="H44" s="85"/>
      <c r="I44" s="87">
        <f>F52+1</f>
        <v>2037</v>
      </c>
      <c r="J44" s="41">
        <v>2.0854082421584375E-2</v>
      </c>
    </row>
    <row r="45" spans="2:60">
      <c r="C45" s="87">
        <f t="shared" ref="C45:C52" si="36">C44+1</f>
        <v>2020</v>
      </c>
      <c r="D45" s="41">
        <v>2.6147280919121885E-2</v>
      </c>
      <c r="E45" s="85"/>
      <c r="F45" s="87">
        <f t="shared" ref="F45:F52" si="37">F44+1</f>
        <v>2029</v>
      </c>
      <c r="G45" s="41">
        <v>2.2764957830614385E-2</v>
      </c>
      <c r="H45" s="85"/>
      <c r="I45" s="87">
        <f t="shared" ref="I45:I52" si="38">I44+1</f>
        <v>2038</v>
      </c>
      <c r="J45" s="41">
        <v>2.0886076981620372E-2</v>
      </c>
    </row>
    <row r="46" spans="2:60">
      <c r="C46" s="87">
        <f t="shared" si="36"/>
        <v>2021</v>
      </c>
      <c r="D46" s="41">
        <v>2.5435997430165225E-2</v>
      </c>
      <c r="E46" s="85"/>
      <c r="F46" s="87">
        <f t="shared" si="37"/>
        <v>2030</v>
      </c>
      <c r="G46" s="41">
        <v>2.2409251338579406E-2</v>
      </c>
      <c r="H46" s="85"/>
      <c r="I46" s="87">
        <f t="shared" si="38"/>
        <v>2039</v>
      </c>
      <c r="J46" s="41">
        <v>2.0755199547329406E-2</v>
      </c>
    </row>
    <row r="47" spans="2:60">
      <c r="C47" s="87">
        <f t="shared" si="36"/>
        <v>2022</v>
      </c>
      <c r="D47" s="41">
        <v>2.5246661572301266E-2</v>
      </c>
      <c r="E47" s="85"/>
      <c r="F47" s="87">
        <f t="shared" si="37"/>
        <v>2031</v>
      </c>
      <c r="G47" s="41">
        <v>2.1876862460861402E-2</v>
      </c>
      <c r="H47" s="85"/>
      <c r="I47" s="87">
        <f t="shared" si="38"/>
        <v>2040</v>
      </c>
      <c r="J47" s="41">
        <v>2.0747934127706591E-2</v>
      </c>
    </row>
    <row r="48" spans="2:60" s="120" customFormat="1">
      <c r="B48" s="118"/>
      <c r="C48" s="87">
        <f t="shared" si="36"/>
        <v>2023</v>
      </c>
      <c r="D48" s="41">
        <v>2.4577195966118071E-2</v>
      </c>
      <c r="E48" s="85"/>
      <c r="F48" s="87">
        <f t="shared" si="37"/>
        <v>2032</v>
      </c>
      <c r="G48" s="41">
        <v>2.1570874084378078E-2</v>
      </c>
      <c r="H48" s="85"/>
      <c r="I48" s="87">
        <f t="shared" si="38"/>
        <v>2041</v>
      </c>
      <c r="J48" s="41">
        <v>2.0871781890604124E-2</v>
      </c>
      <c r="K48" s="118"/>
      <c r="L48" s="118"/>
      <c r="M48" s="118"/>
      <c r="N48" s="118"/>
      <c r="O48" s="118"/>
      <c r="P48" s="118"/>
      <c r="BG48" s="165"/>
    </row>
    <row r="49" spans="2:59" s="120" customFormat="1">
      <c r="B49" s="118"/>
      <c r="C49" s="87">
        <f t="shared" si="36"/>
        <v>2024</v>
      </c>
      <c r="D49" s="41">
        <v>2.3256370085936506E-2</v>
      </c>
      <c r="E49" s="85"/>
      <c r="F49" s="87">
        <f t="shared" si="37"/>
        <v>2033</v>
      </c>
      <c r="G49" s="41">
        <v>2.144511122277093E-2</v>
      </c>
      <c r="H49" s="85"/>
      <c r="I49" s="87">
        <f t="shared" si="38"/>
        <v>2042</v>
      </c>
      <c r="J49" s="41">
        <v>2.1078469389761434E-2</v>
      </c>
      <c r="K49" s="118"/>
      <c r="L49" s="118"/>
      <c r="M49" s="118"/>
      <c r="N49" s="118"/>
      <c r="O49" s="118"/>
      <c r="P49" s="118"/>
      <c r="BG49" s="165"/>
    </row>
    <row r="50" spans="2:59" s="120" customFormat="1">
      <c r="C50" s="87">
        <f t="shared" si="36"/>
        <v>2025</v>
      </c>
      <c r="D50" s="41">
        <v>2.2304783799234951E-2</v>
      </c>
      <c r="E50" s="86"/>
      <c r="F50" s="87">
        <f t="shared" si="37"/>
        <v>2034</v>
      </c>
      <c r="G50" s="41">
        <v>2.1010014778543251E-2</v>
      </c>
      <c r="H50" s="86"/>
      <c r="I50" s="87">
        <f t="shared" si="38"/>
        <v>2043</v>
      </c>
      <c r="J50" s="41">
        <v>2.1194942793044236E-2</v>
      </c>
      <c r="BG50" s="165"/>
    </row>
    <row r="51" spans="2:59" s="120" customFormat="1">
      <c r="C51" s="87">
        <f t="shared" si="36"/>
        <v>2026</v>
      </c>
      <c r="D51" s="41">
        <v>2.2057111549789621E-2</v>
      </c>
      <c r="E51" s="86"/>
      <c r="F51" s="87">
        <f t="shared" si="37"/>
        <v>2035</v>
      </c>
      <c r="G51" s="41">
        <v>2.0995109139608337E-2</v>
      </c>
      <c r="H51" s="86"/>
      <c r="I51" s="87">
        <f t="shared" si="38"/>
        <v>2044</v>
      </c>
      <c r="J51" s="41">
        <v>2.1291267339461628E-2</v>
      </c>
      <c r="BG51" s="165"/>
    </row>
    <row r="52" spans="2:59">
      <c r="B52" s="120"/>
      <c r="C52" s="87">
        <f t="shared" si="36"/>
        <v>2027</v>
      </c>
      <c r="D52" s="41">
        <v>2.2179175772425452E-2</v>
      </c>
      <c r="E52" s="86"/>
      <c r="F52" s="87">
        <f t="shared" si="37"/>
        <v>2036</v>
      </c>
      <c r="G52" s="41">
        <v>2.0839652371155371E-2</v>
      </c>
      <c r="H52" s="86"/>
      <c r="I52" s="87">
        <f t="shared" si="38"/>
        <v>2045</v>
      </c>
      <c r="J52" s="41">
        <v>2.1493227463921682E-2</v>
      </c>
      <c r="K52" s="120"/>
      <c r="L52" s="120"/>
      <c r="M52" s="120"/>
      <c r="N52" s="120"/>
      <c r="O52" s="120"/>
      <c r="P52" s="120"/>
    </row>
    <row r="53" spans="2:59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64" spans="2:59">
      <c r="C64" s="151"/>
      <c r="D64" s="155"/>
    </row>
    <row r="65" spans="3:4">
      <c r="C65" s="151"/>
      <c r="D65" s="155"/>
    </row>
    <row r="66" spans="3:4">
      <c r="C66" s="151"/>
      <c r="D66" s="155"/>
    </row>
    <row r="67" spans="3:4">
      <c r="C67" s="151"/>
      <c r="D67" s="155"/>
    </row>
    <row r="68" spans="3:4">
      <c r="C68" s="151"/>
      <c r="D68" s="155"/>
    </row>
    <row r="69" spans="3:4">
      <c r="C69" s="151"/>
      <c r="D69" s="155"/>
    </row>
    <row r="70" spans="3:4">
      <c r="C70" s="151"/>
      <c r="D70" s="155"/>
    </row>
    <row r="71" spans="3:4">
      <c r="C71" s="151"/>
      <c r="D71" s="155"/>
    </row>
    <row r="72" spans="3:4">
      <c r="C72" s="151"/>
      <c r="D72" s="155"/>
    </row>
    <row r="73" spans="3:4">
      <c r="C73" s="151"/>
      <c r="D73" s="155"/>
    </row>
  </sheetData>
  <mergeCells count="24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2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view="pageBreakPreview" topLeftCell="B1" zoomScale="60" zoomScaleNormal="80" workbookViewId="0">
      <selection activeCell="I18" sqref="I18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7" width="9.5" style="118" bestFit="1" customWidth="1"/>
    <col min="8" max="8" width="9.5" style="118" customWidth="1"/>
    <col min="9" max="9" width="10.5" style="118" customWidth="1"/>
    <col min="10" max="10" width="12.6640625" style="118" customWidth="1"/>
    <col min="11" max="11" width="14" style="118" customWidth="1"/>
    <col min="12" max="12" width="13.1640625" style="118" customWidth="1"/>
    <col min="13" max="13" width="3.1640625" style="118" customWidth="1"/>
    <col min="14" max="14" width="15" style="118" hidden="1" customWidth="1"/>
    <col min="15" max="15" width="5.6640625" style="162" customWidth="1"/>
    <col min="16" max="16" width="9.33203125" style="118"/>
    <col min="17" max="17" width="10" style="118" customWidth="1"/>
    <col min="18" max="18" width="12.6640625" style="118" customWidth="1"/>
    <col min="19" max="19" width="18.1640625" style="118" customWidth="1"/>
    <col min="20" max="22" width="9.33203125" style="118"/>
    <col min="23" max="23" width="9.6640625" style="118" bestFit="1" customWidth="1"/>
    <col min="24" max="16384" width="9.33203125" style="118"/>
  </cols>
  <sheetData>
    <row r="1" spans="2:25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25" ht="15.75">
      <c r="B2" s="116" t="s">
        <v>102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25" ht="15.75">
      <c r="B3" s="116" t="str">
        <f>TEXT($C$63,"0%")&amp;" Capacity Factor"</f>
        <v>44% Capacity Factor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25">
      <c r="B4" s="119"/>
      <c r="C4" s="119"/>
      <c r="D4" s="119"/>
      <c r="E4" s="119"/>
      <c r="F4" s="119"/>
      <c r="G4" s="119"/>
      <c r="H4" s="119"/>
      <c r="I4" s="119"/>
      <c r="J4" s="120"/>
      <c r="K4" s="120"/>
      <c r="L4" s="120"/>
      <c r="U4" s="118" t="s">
        <v>107</v>
      </c>
    </row>
    <row r="5" spans="2:25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108</v>
      </c>
      <c r="J5" s="122" t="s">
        <v>75</v>
      </c>
      <c r="K5" s="17" t="s">
        <v>54</v>
      </c>
      <c r="L5" s="122" t="s">
        <v>228</v>
      </c>
      <c r="N5" s="215"/>
      <c r="O5" s="215"/>
      <c r="Q5" s="215"/>
      <c r="S5" s="275"/>
      <c r="U5" s="272"/>
      <c r="V5" s="273"/>
      <c r="W5" s="272"/>
      <c r="X5" s="273"/>
      <c r="Y5" s="120"/>
    </row>
    <row r="6" spans="2:25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8" t="s">
        <v>33</v>
      </c>
      <c r="J6" s="124" t="s">
        <v>33</v>
      </c>
      <c r="K6" s="19" t="s">
        <v>9</v>
      </c>
      <c r="L6" s="125" t="s">
        <v>9</v>
      </c>
      <c r="S6" s="276"/>
    </row>
    <row r="7" spans="2:25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  <c r="L7" s="126" t="s">
        <v>26</v>
      </c>
    </row>
    <row r="8" spans="2:25" ht="6" customHeight="1">
      <c r="L8" s="120"/>
    </row>
    <row r="9" spans="2:25" ht="15.75">
      <c r="B9" s="43" t="str">
        <f>C52</f>
        <v>2019 IRP Wyoming Wind Resource - 44% Capacity Factor</v>
      </c>
      <c r="C9" s="120"/>
      <c r="E9" s="120"/>
      <c r="F9" s="120"/>
      <c r="G9" s="120"/>
      <c r="H9" s="120"/>
      <c r="I9" s="120"/>
      <c r="J9" s="120"/>
      <c r="K9" s="120"/>
      <c r="L9" s="120"/>
      <c r="O9" s="118"/>
    </row>
    <row r="10" spans="2:25">
      <c r="B10" s="127">
        <v>2016</v>
      </c>
      <c r="C10" s="128"/>
      <c r="D10" s="129"/>
      <c r="E10" s="129"/>
      <c r="F10" s="129"/>
      <c r="G10" s="130"/>
      <c r="H10" s="130"/>
      <c r="I10" s="129"/>
      <c r="J10" s="131"/>
      <c r="K10" s="131"/>
      <c r="L10" s="129"/>
      <c r="O10" s="163"/>
    </row>
    <row r="11" spans="2:25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29"/>
      <c r="J11" s="131"/>
      <c r="K11" s="131"/>
      <c r="L11" s="129"/>
      <c r="O11" s="118"/>
    </row>
    <row r="12" spans="2:25">
      <c r="B12" s="136">
        <f t="shared" si="0"/>
        <v>2018</v>
      </c>
      <c r="C12" s="137"/>
      <c r="D12" s="129"/>
      <c r="E12" s="149"/>
      <c r="F12" s="149"/>
      <c r="G12" s="131"/>
      <c r="H12" s="149"/>
      <c r="I12" s="129"/>
      <c r="J12" s="131"/>
      <c r="K12" s="131"/>
      <c r="L12" s="129">
        <f t="shared" ref="L12:L37" si="1">(D12+E12+F12)</f>
        <v>0</v>
      </c>
      <c r="M12" s="120"/>
      <c r="O12" s="118"/>
      <c r="S12" s="149"/>
      <c r="U12" s="162"/>
      <c r="V12" s="154"/>
      <c r="W12" s="154"/>
    </row>
    <row r="13" spans="2:25">
      <c r="B13" s="136">
        <f t="shared" si="0"/>
        <v>2019</v>
      </c>
      <c r="C13" s="137"/>
      <c r="D13" s="129"/>
      <c r="E13" s="149"/>
      <c r="F13" s="149"/>
      <c r="G13" s="131"/>
      <c r="H13" s="129"/>
      <c r="I13" s="129"/>
      <c r="J13" s="131"/>
      <c r="K13" s="131"/>
      <c r="L13" s="129">
        <f t="shared" si="1"/>
        <v>0</v>
      </c>
      <c r="M13" s="120"/>
      <c r="O13" s="118"/>
      <c r="W13" s="154"/>
    </row>
    <row r="14" spans="2:25">
      <c r="B14" s="136">
        <f t="shared" si="0"/>
        <v>2020</v>
      </c>
      <c r="C14" s="137"/>
      <c r="D14" s="129"/>
      <c r="E14" s="129"/>
      <c r="F14" s="129"/>
      <c r="G14" s="131"/>
      <c r="H14" s="129"/>
      <c r="I14" s="129"/>
      <c r="J14" s="131"/>
      <c r="K14" s="131"/>
      <c r="L14" s="129">
        <f t="shared" si="1"/>
        <v>0</v>
      </c>
      <c r="M14" s="120"/>
      <c r="O14" s="118"/>
      <c r="P14" s="133"/>
      <c r="Q14" s="134"/>
      <c r="R14" s="135"/>
      <c r="W14" s="154"/>
    </row>
    <row r="15" spans="2:25">
      <c r="B15" s="136">
        <f t="shared" si="0"/>
        <v>2021</v>
      </c>
      <c r="C15" s="137"/>
      <c r="D15" s="129"/>
      <c r="E15" s="129"/>
      <c r="F15" s="129"/>
      <c r="G15" s="131"/>
      <c r="H15" s="129"/>
      <c r="I15" s="129"/>
      <c r="J15" s="131"/>
      <c r="K15" s="131"/>
      <c r="L15" s="129">
        <f t="shared" si="1"/>
        <v>0</v>
      </c>
      <c r="M15" s="120"/>
      <c r="O15" s="118"/>
      <c r="P15" s="271"/>
      <c r="Q15" s="134"/>
      <c r="R15" s="135"/>
      <c r="W15" s="154"/>
    </row>
    <row r="16" spans="2:25">
      <c r="B16" s="136">
        <f t="shared" si="0"/>
        <v>2022</v>
      </c>
      <c r="C16" s="137"/>
      <c r="D16" s="129"/>
      <c r="E16" s="129"/>
      <c r="F16" s="129"/>
      <c r="G16" s="131"/>
      <c r="H16" s="129"/>
      <c r="I16" s="129"/>
      <c r="J16" s="131"/>
      <c r="K16" s="131"/>
      <c r="L16" s="129">
        <f t="shared" si="1"/>
        <v>0</v>
      </c>
      <c r="M16" s="120"/>
      <c r="O16" s="118"/>
      <c r="W16" s="154"/>
    </row>
    <row r="17" spans="2:26">
      <c r="B17" s="136">
        <f t="shared" si="0"/>
        <v>2023</v>
      </c>
      <c r="C17" s="137"/>
      <c r="D17" s="129"/>
      <c r="E17" s="129"/>
      <c r="F17" s="129"/>
      <c r="G17" s="131"/>
      <c r="H17" s="129"/>
      <c r="I17" s="129"/>
      <c r="J17" s="131"/>
      <c r="K17" s="131"/>
      <c r="L17" s="129">
        <f t="shared" si="1"/>
        <v>0</v>
      </c>
      <c r="M17" s="120"/>
      <c r="O17" s="118"/>
      <c r="P17" s="133"/>
      <c r="W17" s="154"/>
    </row>
    <row r="18" spans="2:26">
      <c r="B18" s="136">
        <f t="shared" si="0"/>
        <v>2024</v>
      </c>
      <c r="C18" s="137">
        <v>1252.8729166666667</v>
      </c>
      <c r="D18" s="129">
        <f>C18*$C$62</f>
        <v>86.431167750709889</v>
      </c>
      <c r="E18" s="149">
        <v>32.969791666666666</v>
      </c>
      <c r="F18" s="392">
        <f>C60</f>
        <v>47.870308055404152</v>
      </c>
      <c r="G18" s="131">
        <f>(D18+E18+F18)/(8.76*$C$63)</f>
        <v>43.795627401653867</v>
      </c>
      <c r="H18" s="129"/>
      <c r="I18" s="129">
        <v>-20.480000000000004</v>
      </c>
      <c r="J18" s="131">
        <f>(G18+H18+I18)</f>
        <v>23.315627401653863</v>
      </c>
      <c r="K18" s="131">
        <f t="shared" ref="K18:K32" si="2">ROUND(J18*$C$63*8.76,2)</f>
        <v>89.05</v>
      </c>
      <c r="L18" s="129">
        <f t="shared" si="1"/>
        <v>167.27126747278072</v>
      </c>
      <c r="M18" s="120"/>
      <c r="O18" s="118"/>
      <c r="Q18" s="131"/>
      <c r="U18" s="162"/>
      <c r="V18" s="154"/>
      <c r="W18" s="154"/>
      <c r="X18" s="154"/>
      <c r="Y18" s="154"/>
      <c r="Z18" s="154"/>
    </row>
    <row r="19" spans="2:26">
      <c r="B19" s="136">
        <f t="shared" si="0"/>
        <v>2025</v>
      </c>
      <c r="C19" s="137"/>
      <c r="D19" s="129">
        <f t="shared" ref="D19:D37" si="3">ROUND(D18*(1+(IFERROR(INDEX($D$66:$D$74,MATCH($B19,$C$66:$C$74,0),1),0)+IFERROR(INDEX($G$66:$G$74,MATCH($B19,$F$66:$F$74,0),1),0)+IFERROR(INDEX($J$66:$J$74,MATCH($B19,$I$66:$I$74,0),1),0))),2)</f>
        <v>88.36</v>
      </c>
      <c r="E19" s="149">
        <v>33.73020833333333</v>
      </c>
      <c r="F19" s="129">
        <f t="shared" ref="F19:F37" si="4">ROUND(F18*(1+(IFERROR(INDEX($D$66:$D$74,MATCH($B19,$C$66:$C$74,0),1),0)+IFERROR(INDEX($G$66:$G$74,MATCH($B19,$F$66:$F$74,0),1),0)+IFERROR(INDEX($J$66:$J$74,MATCH($B19,$I$66:$I$74,0),1),0))),2)</f>
        <v>48.94</v>
      </c>
      <c r="G19" s="131">
        <f t="shared" ref="G19:G37" si="5">(D19+E19+F19)/(8.76*$C$63)</f>
        <v>44.779808222669061</v>
      </c>
      <c r="H19" s="129"/>
      <c r="I19" s="129">
        <f t="shared" ref="I19:I27" si="6">ROUND(I18*(1+(IFERROR(INDEX($D$66:$D$74,MATCH($B19,$C$66:$C$74,0),1),0)+IFERROR(INDEX($G$66:$G$74,MATCH($B19,$F$66:$F$74,0),1),0)+IFERROR(INDEX($J$66:$J$74,MATCH($B19,$I$66:$I$74,0),1),0))),2)</f>
        <v>-20.94</v>
      </c>
      <c r="J19" s="131">
        <f t="shared" ref="J19:J37" si="7">(G19+H19+I19)</f>
        <v>23.83980822266906</v>
      </c>
      <c r="K19" s="131">
        <f t="shared" si="2"/>
        <v>91.05</v>
      </c>
      <c r="L19" s="129">
        <f t="shared" si="1"/>
        <v>171.03020833333332</v>
      </c>
      <c r="M19" s="120"/>
      <c r="O19" s="118"/>
      <c r="Q19" s="131"/>
      <c r="U19" s="162"/>
      <c r="V19" s="154"/>
      <c r="W19" s="154"/>
      <c r="X19" s="154"/>
      <c r="Y19" s="154"/>
      <c r="Z19" s="154"/>
    </row>
    <row r="20" spans="2:26">
      <c r="B20" s="136">
        <f t="shared" si="0"/>
        <v>2026</v>
      </c>
      <c r="C20" s="137"/>
      <c r="D20" s="129">
        <f t="shared" si="3"/>
        <v>90.31</v>
      </c>
      <c r="E20" s="149">
        <v>34.490104166666669</v>
      </c>
      <c r="F20" s="129">
        <f t="shared" si="4"/>
        <v>50.02</v>
      </c>
      <c r="G20" s="131">
        <f t="shared" si="5"/>
        <v>45.772093797564693</v>
      </c>
      <c r="H20" s="129"/>
      <c r="I20" s="129">
        <f t="shared" si="6"/>
        <v>-21.4</v>
      </c>
      <c r="J20" s="131">
        <f t="shared" si="7"/>
        <v>24.372093797564695</v>
      </c>
      <c r="K20" s="131">
        <f t="shared" si="2"/>
        <v>93.09</v>
      </c>
      <c r="L20" s="129">
        <f t="shared" si="1"/>
        <v>174.82010416666668</v>
      </c>
      <c r="M20" s="120"/>
      <c r="O20" s="118"/>
      <c r="Q20" s="131"/>
      <c r="S20" s="154"/>
      <c r="U20" s="162"/>
      <c r="V20" s="154"/>
      <c r="W20" s="154"/>
      <c r="X20" s="154"/>
      <c r="Y20" s="154"/>
      <c r="Z20" s="154"/>
    </row>
    <row r="21" spans="2:26">
      <c r="B21" s="136">
        <f t="shared" si="0"/>
        <v>2027</v>
      </c>
      <c r="C21" s="137"/>
      <c r="D21" s="129">
        <f t="shared" si="3"/>
        <v>92.31</v>
      </c>
      <c r="E21" s="149">
        <v>35.280208333333334</v>
      </c>
      <c r="F21" s="129">
        <f t="shared" si="4"/>
        <v>51.13</v>
      </c>
      <c r="G21" s="131">
        <f t="shared" si="5"/>
        <v>46.79323455587673</v>
      </c>
      <c r="H21" s="201">
        <v>1</v>
      </c>
      <c r="I21" s="129">
        <f t="shared" si="6"/>
        <v>-21.87</v>
      </c>
      <c r="J21" s="131">
        <f t="shared" si="7"/>
        <v>25.923234555876729</v>
      </c>
      <c r="K21" s="131">
        <f t="shared" si="2"/>
        <v>99.01</v>
      </c>
      <c r="L21" s="129">
        <f t="shared" si="1"/>
        <v>178.72020833333335</v>
      </c>
      <c r="M21" s="120"/>
      <c r="O21" s="118"/>
      <c r="Q21" s="131"/>
      <c r="S21" s="154"/>
      <c r="U21" s="162"/>
      <c r="V21" s="154"/>
      <c r="W21" s="154"/>
      <c r="X21" s="154"/>
      <c r="Y21" s="154"/>
      <c r="Z21" s="154"/>
    </row>
    <row r="22" spans="2:26">
      <c r="B22" s="136">
        <f t="shared" si="0"/>
        <v>2028</v>
      </c>
      <c r="C22" s="137"/>
      <c r="D22" s="129">
        <f t="shared" si="3"/>
        <v>94.38</v>
      </c>
      <c r="E22" s="149">
        <v>36.09010416666667</v>
      </c>
      <c r="F22" s="129">
        <f t="shared" si="4"/>
        <v>52.28</v>
      </c>
      <c r="G22" s="131">
        <f t="shared" si="5"/>
        <v>47.848357883694298</v>
      </c>
      <c r="H22" s="201">
        <v>1</v>
      </c>
      <c r="I22" s="129">
        <f t="shared" si="6"/>
        <v>-22.36</v>
      </c>
      <c r="J22" s="131">
        <f t="shared" si="7"/>
        <v>26.488357883694299</v>
      </c>
      <c r="K22" s="131">
        <f t="shared" si="2"/>
        <v>101.17</v>
      </c>
      <c r="L22" s="129">
        <f t="shared" si="1"/>
        <v>182.75010416666666</v>
      </c>
      <c r="M22" s="120"/>
      <c r="O22" s="118"/>
      <c r="Q22" s="131"/>
      <c r="S22" s="154"/>
      <c r="U22" s="162"/>
      <c r="V22" s="154"/>
      <c r="W22" s="154"/>
      <c r="X22" s="154"/>
      <c r="Y22" s="154"/>
      <c r="Z22" s="154"/>
    </row>
    <row r="23" spans="2:26">
      <c r="B23" s="136">
        <f t="shared" si="0"/>
        <v>2029</v>
      </c>
      <c r="C23" s="137"/>
      <c r="D23" s="129">
        <f t="shared" si="3"/>
        <v>96.53</v>
      </c>
      <c r="E23" s="149">
        <v>36.90989583333333</v>
      </c>
      <c r="F23" s="129">
        <f t="shared" si="4"/>
        <v>53.47</v>
      </c>
      <c r="G23" s="131">
        <f t="shared" si="5"/>
        <v>48.937491054347674</v>
      </c>
      <c r="H23" s="201">
        <v>1</v>
      </c>
      <c r="I23" s="129">
        <f t="shared" si="6"/>
        <v>-22.87</v>
      </c>
      <c r="J23" s="131">
        <f t="shared" si="7"/>
        <v>27.067491054347673</v>
      </c>
      <c r="K23" s="131">
        <f t="shared" si="2"/>
        <v>103.38</v>
      </c>
      <c r="L23" s="129">
        <f t="shared" si="1"/>
        <v>186.90989583333334</v>
      </c>
      <c r="M23" s="120"/>
      <c r="O23" s="118"/>
      <c r="Q23" s="131"/>
      <c r="S23" s="154"/>
      <c r="U23" s="162"/>
      <c r="V23" s="154"/>
      <c r="W23" s="154"/>
      <c r="X23" s="154"/>
      <c r="Y23" s="154"/>
      <c r="Z23" s="154"/>
    </row>
    <row r="24" spans="2:26">
      <c r="B24" s="136">
        <f t="shared" si="0"/>
        <v>2030</v>
      </c>
      <c r="C24" s="137"/>
      <c r="D24" s="129">
        <f t="shared" si="3"/>
        <v>98.69</v>
      </c>
      <c r="E24" s="149">
        <v>37.75</v>
      </c>
      <c r="F24" s="129">
        <f t="shared" si="4"/>
        <v>54.67</v>
      </c>
      <c r="G24" s="131">
        <f t="shared" si="5"/>
        <v>50.037179003812156</v>
      </c>
      <c r="H24" s="201">
        <v>1</v>
      </c>
      <c r="I24" s="129">
        <f t="shared" si="6"/>
        <v>-23.38</v>
      </c>
      <c r="J24" s="131">
        <f t="shared" si="7"/>
        <v>27.657179003812157</v>
      </c>
      <c r="K24" s="131">
        <f t="shared" si="2"/>
        <v>105.63</v>
      </c>
      <c r="L24" s="129">
        <f t="shared" si="1"/>
        <v>191.11</v>
      </c>
      <c r="M24" s="120"/>
      <c r="O24" s="118"/>
      <c r="Q24" s="131"/>
      <c r="S24" s="154"/>
      <c r="U24" s="162"/>
      <c r="V24" s="154"/>
      <c r="W24" s="154"/>
      <c r="X24" s="154"/>
      <c r="Y24" s="154"/>
      <c r="Z24" s="154"/>
    </row>
    <row r="25" spans="2:26">
      <c r="B25" s="136">
        <f t="shared" si="0"/>
        <v>2031</v>
      </c>
      <c r="C25" s="137"/>
      <c r="D25" s="129">
        <f t="shared" si="3"/>
        <v>100.85</v>
      </c>
      <c r="E25" s="149">
        <v>38.609895833333333</v>
      </c>
      <c r="F25" s="129">
        <f t="shared" si="4"/>
        <v>55.87</v>
      </c>
      <c r="G25" s="131">
        <f t="shared" si="5"/>
        <v>51.142048886026274</v>
      </c>
      <c r="H25" s="201">
        <v>1</v>
      </c>
      <c r="I25" s="129">
        <f t="shared" si="6"/>
        <v>-23.89</v>
      </c>
      <c r="J25" s="131">
        <f t="shared" si="7"/>
        <v>28.252048886026273</v>
      </c>
      <c r="K25" s="131">
        <f t="shared" si="2"/>
        <v>107.9</v>
      </c>
      <c r="L25" s="129">
        <f t="shared" si="1"/>
        <v>195.32989583333332</v>
      </c>
      <c r="M25" s="120"/>
      <c r="O25" s="118"/>
      <c r="Q25" s="131"/>
      <c r="S25" s="154"/>
      <c r="U25" s="162"/>
      <c r="V25" s="154"/>
      <c r="W25" s="154"/>
      <c r="X25" s="154"/>
      <c r="Y25" s="154"/>
      <c r="Z25" s="154"/>
    </row>
    <row r="26" spans="2:26">
      <c r="B26" s="136">
        <f t="shared" si="0"/>
        <v>2032</v>
      </c>
      <c r="C26" s="137"/>
      <c r="D26" s="129">
        <f t="shared" si="3"/>
        <v>103.03</v>
      </c>
      <c r="E26" s="149">
        <v>39.490104166666669</v>
      </c>
      <c r="F26" s="129">
        <f t="shared" si="4"/>
        <v>57.08</v>
      </c>
      <c r="G26" s="131">
        <f t="shared" si="5"/>
        <v>52.26009178675659</v>
      </c>
      <c r="H26" s="201">
        <v>1</v>
      </c>
      <c r="I26" s="129">
        <f t="shared" si="6"/>
        <v>-24.41</v>
      </c>
      <c r="J26" s="131">
        <f t="shared" si="7"/>
        <v>28.85009178675659</v>
      </c>
      <c r="K26" s="131">
        <f t="shared" si="2"/>
        <v>110.19</v>
      </c>
      <c r="L26" s="129">
        <f t="shared" si="1"/>
        <v>199.60010416666665</v>
      </c>
      <c r="M26" s="120"/>
      <c r="O26" s="118"/>
      <c r="Q26" s="131"/>
      <c r="S26" s="154"/>
      <c r="U26" s="162"/>
      <c r="V26" s="154"/>
      <c r="W26" s="154"/>
      <c r="X26" s="154"/>
      <c r="Y26" s="154"/>
      <c r="Z26" s="154"/>
    </row>
    <row r="27" spans="2:26">
      <c r="B27" s="136">
        <f t="shared" si="0"/>
        <v>2033</v>
      </c>
      <c r="C27" s="137"/>
      <c r="D27" s="129">
        <f t="shared" si="3"/>
        <v>105.24</v>
      </c>
      <c r="E27" s="149">
        <v>40.390104166666667</v>
      </c>
      <c r="F27" s="129">
        <f t="shared" si="4"/>
        <v>58.3</v>
      </c>
      <c r="G27" s="131">
        <f t="shared" si="5"/>
        <v>53.393789579056865</v>
      </c>
      <c r="H27" s="201">
        <v>1</v>
      </c>
      <c r="I27" s="129">
        <f t="shared" si="6"/>
        <v>-24.93</v>
      </c>
      <c r="J27" s="131">
        <f t="shared" si="7"/>
        <v>29.463789579056865</v>
      </c>
      <c r="K27" s="131">
        <f t="shared" si="2"/>
        <v>112.53</v>
      </c>
      <c r="L27" s="129">
        <f t="shared" si="1"/>
        <v>203.93010416666664</v>
      </c>
      <c r="M27" s="120"/>
      <c r="O27" s="118"/>
      <c r="Q27" s="131"/>
      <c r="S27" s="154"/>
      <c r="U27" s="162"/>
      <c r="V27" s="154"/>
      <c r="W27" s="154"/>
      <c r="X27" s="154"/>
      <c r="Y27" s="154"/>
      <c r="Z27" s="154"/>
    </row>
    <row r="28" spans="2:26">
      <c r="B28" s="136">
        <f t="shared" si="0"/>
        <v>2034</v>
      </c>
      <c r="C28" s="137"/>
      <c r="D28" s="129">
        <f t="shared" si="3"/>
        <v>107.45</v>
      </c>
      <c r="E28" s="149">
        <v>41.309895833333336</v>
      </c>
      <c r="F28" s="129">
        <f t="shared" si="4"/>
        <v>59.52</v>
      </c>
      <c r="G28" s="131">
        <f t="shared" si="5"/>
        <v>54.532669304106797</v>
      </c>
      <c r="H28" s="201">
        <v>1</v>
      </c>
      <c r="I28" s="129"/>
      <c r="J28" s="131">
        <f t="shared" si="7"/>
        <v>55.532669304106797</v>
      </c>
      <c r="K28" s="131">
        <f t="shared" si="2"/>
        <v>212.1</v>
      </c>
      <c r="L28" s="129">
        <f t="shared" si="1"/>
        <v>208.27989583333334</v>
      </c>
      <c r="M28" s="120"/>
      <c r="O28" s="118"/>
      <c r="Q28" s="131"/>
      <c r="S28" s="154"/>
      <c r="U28" s="162"/>
      <c r="V28" s="154"/>
      <c r="W28" s="154"/>
      <c r="X28" s="154"/>
      <c r="Y28" s="154"/>
      <c r="Z28" s="154"/>
    </row>
    <row r="29" spans="2:26">
      <c r="B29" s="136">
        <f t="shared" si="0"/>
        <v>2035</v>
      </c>
      <c r="C29" s="137"/>
      <c r="D29" s="129">
        <f t="shared" si="3"/>
        <v>109.71</v>
      </c>
      <c r="E29" s="149">
        <v>42.25</v>
      </c>
      <c r="F29" s="129">
        <f t="shared" si="4"/>
        <v>60.77</v>
      </c>
      <c r="G29" s="131">
        <f t="shared" si="5"/>
        <v>55.697813246198315</v>
      </c>
      <c r="H29" s="201">
        <v>1</v>
      </c>
      <c r="I29" s="129"/>
      <c r="J29" s="131">
        <f t="shared" si="7"/>
        <v>56.697813246198315</v>
      </c>
      <c r="K29" s="131">
        <f t="shared" si="2"/>
        <v>216.55</v>
      </c>
      <c r="L29" s="129">
        <f t="shared" si="1"/>
        <v>212.73</v>
      </c>
      <c r="M29" s="120"/>
      <c r="O29" s="118"/>
      <c r="Q29" s="131"/>
      <c r="S29" s="154"/>
      <c r="U29" s="162"/>
      <c r="V29" s="154"/>
      <c r="W29" s="154"/>
      <c r="X29" s="154"/>
      <c r="Y29" s="154"/>
      <c r="Z29" s="154"/>
    </row>
    <row r="30" spans="2:26">
      <c r="B30" s="136">
        <f t="shared" si="0"/>
        <v>2036</v>
      </c>
      <c r="C30" s="137"/>
      <c r="D30" s="129">
        <f t="shared" si="3"/>
        <v>112</v>
      </c>
      <c r="E30" s="149">
        <v>43.219791666666666</v>
      </c>
      <c r="F30" s="129">
        <f t="shared" si="4"/>
        <v>62.04</v>
      </c>
      <c r="G30" s="131">
        <f t="shared" si="5"/>
        <v>56.883821285939696</v>
      </c>
      <c r="H30" s="201">
        <v>1</v>
      </c>
      <c r="I30" s="129"/>
      <c r="J30" s="131">
        <f t="shared" si="7"/>
        <v>57.883821285939696</v>
      </c>
      <c r="K30" s="131">
        <f t="shared" si="2"/>
        <v>221.08</v>
      </c>
      <c r="L30" s="129">
        <f t="shared" si="1"/>
        <v>217.25979166666664</v>
      </c>
      <c r="M30" s="120"/>
      <c r="O30" s="118"/>
      <c r="Q30" s="131"/>
      <c r="S30" s="154"/>
      <c r="U30" s="162"/>
      <c r="V30" s="154"/>
      <c r="W30" s="154"/>
      <c r="X30" s="154"/>
      <c r="Y30" s="154"/>
      <c r="Z30" s="154"/>
    </row>
    <row r="31" spans="2:26">
      <c r="B31" s="136">
        <f t="shared" si="0"/>
        <v>2037</v>
      </c>
      <c r="C31" s="137"/>
      <c r="D31" s="129">
        <f t="shared" si="3"/>
        <v>114.34</v>
      </c>
      <c r="E31" s="149">
        <v>44.2</v>
      </c>
      <c r="F31" s="129">
        <f t="shared" si="4"/>
        <v>63.33</v>
      </c>
      <c r="G31" s="131">
        <f t="shared" si="5"/>
        <v>58.090884336642787</v>
      </c>
      <c r="H31" s="201">
        <v>1</v>
      </c>
      <c r="I31" s="129"/>
      <c r="J31" s="131">
        <f t="shared" si="7"/>
        <v>59.090884336642787</v>
      </c>
      <c r="K31" s="131">
        <f t="shared" si="2"/>
        <v>225.69</v>
      </c>
      <c r="L31" s="129">
        <f t="shared" si="1"/>
        <v>221.87</v>
      </c>
      <c r="M31" s="120"/>
      <c r="O31" s="118"/>
      <c r="Q31" s="131"/>
      <c r="S31" s="154"/>
      <c r="U31" s="162"/>
      <c r="V31" s="154"/>
      <c r="W31" s="154"/>
      <c r="X31" s="154"/>
      <c r="Y31" s="154"/>
      <c r="Z31" s="154"/>
    </row>
    <row r="32" spans="2:26">
      <c r="B32" s="136">
        <f t="shared" si="0"/>
        <v>2038</v>
      </c>
      <c r="C32" s="137"/>
      <c r="D32" s="129">
        <f t="shared" si="3"/>
        <v>116.73</v>
      </c>
      <c r="E32" s="149">
        <v>45.209895833333334</v>
      </c>
      <c r="F32" s="129">
        <f t="shared" si="4"/>
        <v>64.650000000000006</v>
      </c>
      <c r="G32" s="131">
        <f t="shared" si="5"/>
        <v>59.326666204110985</v>
      </c>
      <c r="H32" s="201">
        <v>1</v>
      </c>
      <c r="I32" s="129"/>
      <c r="J32" s="131">
        <f t="shared" si="7"/>
        <v>60.326666204110985</v>
      </c>
      <c r="K32" s="131">
        <f t="shared" si="2"/>
        <v>230.41</v>
      </c>
      <c r="L32" s="129">
        <f t="shared" si="1"/>
        <v>226.58989583333334</v>
      </c>
      <c r="M32" s="120"/>
      <c r="O32" s="118"/>
      <c r="Q32" s="131"/>
      <c r="S32" s="154"/>
      <c r="U32" s="162"/>
      <c r="V32" s="154"/>
      <c r="W32" s="154"/>
      <c r="X32" s="154"/>
      <c r="Y32" s="154"/>
      <c r="Z32" s="154"/>
    </row>
    <row r="33" spans="2:28">
      <c r="B33" s="136">
        <f t="shared" si="0"/>
        <v>2039</v>
      </c>
      <c r="C33" s="137"/>
      <c r="D33" s="129">
        <f t="shared" si="3"/>
        <v>119.15</v>
      </c>
      <c r="E33" s="129">
        <f>ROUND(E32*(1+(IFERROR(INDEX($D$66:$D$74,MATCH($B33,$C$66:$C$74,0),1),0)+IFERROR(INDEX($G$66:$G$74,MATCH($B33,$F$66:$F$74,0),1),0)+IFERROR(INDEX($J$66:$J$74,MATCH($B33,$I$66:$I$74,0),1),0))),2)</f>
        <v>46.15</v>
      </c>
      <c r="F33" s="129">
        <f t="shared" si="4"/>
        <v>65.989999999999995</v>
      </c>
      <c r="G33" s="131">
        <f t="shared" si="5"/>
        <v>60.557266138829547</v>
      </c>
      <c r="H33" s="201">
        <v>1</v>
      </c>
      <c r="I33" s="129"/>
      <c r="J33" s="131">
        <f t="shared" si="7"/>
        <v>61.557266138829547</v>
      </c>
      <c r="K33" s="131">
        <f t="shared" ref="K33:K37" si="8">ROUND(J33*$C$63*8.76,2)</f>
        <v>235.11</v>
      </c>
      <c r="L33" s="129">
        <f t="shared" si="1"/>
        <v>231.29000000000002</v>
      </c>
      <c r="M33" s="120"/>
      <c r="O33" s="118"/>
      <c r="AB33" s="277"/>
    </row>
    <row r="34" spans="2:28">
      <c r="B34" s="136">
        <f t="shared" si="0"/>
        <v>2040</v>
      </c>
      <c r="C34" s="137"/>
      <c r="D34" s="129">
        <f t="shared" si="3"/>
        <v>121.62</v>
      </c>
      <c r="E34" s="129">
        <f>ROUND(E33*(1+(IFERROR(INDEX($D$66:$D$74,MATCH($B34,$C$66:$C$74,0),1),0)+IFERROR(INDEX($G$66:$G$74,MATCH($B34,$F$66:$F$74,0),1),0)+IFERROR(INDEX($J$66:$J$74,MATCH($B34,$I$66:$I$74,0),1),0))),2)</f>
        <v>47.11</v>
      </c>
      <c r="F34" s="129">
        <f t="shared" si="4"/>
        <v>67.36</v>
      </c>
      <c r="G34" s="131">
        <f t="shared" si="5"/>
        <v>61.814021197268659</v>
      </c>
      <c r="H34" s="201">
        <v>1</v>
      </c>
      <c r="I34" s="129"/>
      <c r="J34" s="131">
        <f t="shared" si="7"/>
        <v>62.814021197268659</v>
      </c>
      <c r="K34" s="131">
        <f t="shared" si="8"/>
        <v>239.91</v>
      </c>
      <c r="L34" s="129">
        <f t="shared" si="1"/>
        <v>236.09000000000003</v>
      </c>
      <c r="M34" s="120"/>
      <c r="O34" s="118"/>
      <c r="AB34" s="277"/>
    </row>
    <row r="35" spans="2:28">
      <c r="B35" s="136">
        <f t="shared" si="0"/>
        <v>2041</v>
      </c>
      <c r="C35" s="137"/>
      <c r="D35" s="129">
        <f t="shared" si="3"/>
        <v>124.16</v>
      </c>
      <c r="E35" s="129">
        <f>ROUND(E34*(1+(IFERROR(INDEX($D$66:$D$74,MATCH($B35,$C$66:$C$74,0),1),0)+IFERROR(INDEX($G$66:$G$74,MATCH($B35,$F$66:$F$74,0),1),0)+IFERROR(INDEX($J$66:$J$74,MATCH($B35,$I$66:$I$74,0),1),0))),2)</f>
        <v>48.09</v>
      </c>
      <c r="F35" s="129">
        <f t="shared" si="4"/>
        <v>68.77</v>
      </c>
      <c r="G35" s="131">
        <f t="shared" si="5"/>
        <v>63.104813371873817</v>
      </c>
      <c r="H35" s="201">
        <v>1</v>
      </c>
      <c r="I35" s="129"/>
      <c r="J35" s="131">
        <f t="shared" si="7"/>
        <v>64.104813371873817</v>
      </c>
      <c r="K35" s="131">
        <f t="shared" si="8"/>
        <v>244.84</v>
      </c>
      <c r="L35" s="129">
        <f t="shared" si="1"/>
        <v>241.01999999999998</v>
      </c>
      <c r="M35" s="120"/>
      <c r="O35" s="118"/>
      <c r="AB35" s="277"/>
    </row>
    <row r="36" spans="2:28">
      <c r="B36" s="136">
        <f t="shared" si="0"/>
        <v>2042</v>
      </c>
      <c r="C36" s="137"/>
      <c r="D36" s="129">
        <f t="shared" si="3"/>
        <v>126.78</v>
      </c>
      <c r="E36" s="129">
        <f>ROUND(E35*(1+(IFERROR(INDEX($D$66:$D$74,MATCH($B36,$C$66:$C$74,0),1),0)+IFERROR(INDEX($G$66:$G$74,MATCH($B36,$F$66:$F$74,0),1),0)+IFERROR(INDEX($J$66:$J$74,MATCH($B36,$I$66:$I$74,0),1),0))),2)</f>
        <v>49.1</v>
      </c>
      <c r="F36" s="129">
        <f t="shared" si="4"/>
        <v>70.22</v>
      </c>
      <c r="G36" s="131">
        <f t="shared" si="5"/>
        <v>64.434879142055209</v>
      </c>
      <c r="H36" s="201">
        <v>1</v>
      </c>
      <c r="I36" s="129"/>
      <c r="J36" s="131">
        <f t="shared" si="7"/>
        <v>65.434879142055209</v>
      </c>
      <c r="K36" s="131">
        <f t="shared" si="8"/>
        <v>249.92</v>
      </c>
      <c r="L36" s="129">
        <f t="shared" si="1"/>
        <v>246.1</v>
      </c>
      <c r="M36" s="120"/>
      <c r="O36" s="118"/>
      <c r="AB36" s="277"/>
    </row>
    <row r="37" spans="2:28">
      <c r="B37" s="136">
        <f t="shared" si="0"/>
        <v>2043</v>
      </c>
      <c r="C37" s="137"/>
      <c r="D37" s="129">
        <f t="shared" si="3"/>
        <v>129.47</v>
      </c>
      <c r="E37" s="129">
        <f>ROUND(E36*(1+(IFERROR(INDEX($D$66:$D$74,MATCH($B37,$C$66:$C$74,0),1),0)+IFERROR(INDEX($G$66:$G$74,MATCH($B37,$F$66:$F$74,0),1),0)+IFERROR(INDEX($J$66:$J$74,MATCH($B37,$I$66:$I$74,0),1),0))),2)</f>
        <v>50.14</v>
      </c>
      <c r="F37" s="129">
        <f t="shared" si="4"/>
        <v>71.709999999999994</v>
      </c>
      <c r="G37" s="131">
        <f t="shared" si="5"/>
        <v>65.801600268107748</v>
      </c>
      <c r="H37" s="201">
        <v>1</v>
      </c>
      <c r="I37" s="129"/>
      <c r="J37" s="131">
        <f t="shared" si="7"/>
        <v>66.801600268107748</v>
      </c>
      <c r="K37" s="131">
        <f t="shared" si="8"/>
        <v>255.14</v>
      </c>
      <c r="L37" s="129">
        <f t="shared" si="1"/>
        <v>251.32</v>
      </c>
      <c r="AB37" s="277"/>
    </row>
    <row r="38" spans="2:28">
      <c r="B38" s="127"/>
      <c r="C38" s="132"/>
      <c r="D38" s="129"/>
      <c r="E38" s="129"/>
      <c r="F38" s="130"/>
      <c r="G38" s="129"/>
      <c r="H38" s="129"/>
      <c r="I38" s="129"/>
      <c r="J38" s="131"/>
      <c r="K38" s="131"/>
      <c r="L38" s="138"/>
      <c r="AB38" s="277"/>
    </row>
    <row r="39" spans="2:28">
      <c r="B39" s="127"/>
      <c r="C39" s="132"/>
      <c r="D39" s="129"/>
      <c r="E39" s="129"/>
      <c r="F39" s="130"/>
      <c r="G39" s="129"/>
      <c r="H39" s="129"/>
      <c r="I39" s="129"/>
      <c r="J39" s="131"/>
      <c r="K39" s="131"/>
      <c r="L39" s="138"/>
      <c r="AB39" s="277"/>
    </row>
    <row r="40" spans="2:28">
      <c r="B40" s="127"/>
      <c r="C40" s="132"/>
      <c r="D40" s="129"/>
      <c r="E40" s="129"/>
      <c r="F40" s="130"/>
      <c r="G40" s="129"/>
      <c r="H40" s="129"/>
      <c r="I40" s="129"/>
      <c r="J40" s="131"/>
      <c r="K40" s="131"/>
      <c r="L40" s="138"/>
      <c r="AB40" s="277"/>
    </row>
    <row r="41" spans="2:28">
      <c r="AB41" s="277"/>
    </row>
    <row r="42" spans="2:28" ht="14.25">
      <c r="B42" s="139" t="s">
        <v>27</v>
      </c>
      <c r="C42" s="140"/>
      <c r="D42" s="140"/>
      <c r="E42" s="140"/>
      <c r="F42" s="140"/>
      <c r="G42" s="140"/>
      <c r="H42" s="140"/>
      <c r="I42" s="140"/>
      <c r="AB42" s="277"/>
    </row>
    <row r="43" spans="2:28">
      <c r="AB43" s="277"/>
    </row>
    <row r="44" spans="2:28">
      <c r="B44" s="118" t="s">
        <v>65</v>
      </c>
      <c r="C44" s="141" t="s">
        <v>66</v>
      </c>
      <c r="D44" s="142" t="s">
        <v>105</v>
      </c>
      <c r="AB44" s="277"/>
    </row>
    <row r="45" spans="2:28">
      <c r="C45" s="141" t="str">
        <f>C7</f>
        <v>(a)</v>
      </c>
      <c r="D45" s="118" t="s">
        <v>67</v>
      </c>
      <c r="AB45" s="277"/>
    </row>
    <row r="46" spans="2:28">
      <c r="C46" s="141" t="str">
        <f>D7</f>
        <v>(b)</v>
      </c>
      <c r="D46" s="131" t="str">
        <f>"= "&amp;C7&amp;" x "&amp;C62</f>
        <v>= (a) x 0.0689863805027125</v>
      </c>
      <c r="AB46" s="277"/>
    </row>
    <row r="47" spans="2:28">
      <c r="C47" s="141" t="str">
        <f>G7</f>
        <v>(e)</v>
      </c>
      <c r="D47" s="131" t="str">
        <f>"= ("&amp;$D$7&amp;" + "&amp;$E$7&amp;") /  (8.76 x "&amp;TEXT(C63,"0.0%")&amp;")"</f>
        <v>= ((b) + (c)) /  (8.76 x 43.6%)</v>
      </c>
      <c r="AB47" s="277"/>
    </row>
    <row r="48" spans="2:28">
      <c r="C48" s="141" t="str">
        <f>J7</f>
        <v>(h)</v>
      </c>
      <c r="D48" s="131" t="str">
        <f>"= "&amp;$G$7&amp;" + "&amp;$H$7&amp;" + "&amp;$I$7</f>
        <v>= (e) + (f) + (g)</v>
      </c>
    </row>
    <row r="49" spans="2:28">
      <c r="C49" s="141" t="str">
        <f>L7</f>
        <v>(i)</v>
      </c>
      <c r="D49" s="85" t="str">
        <f>D44</f>
        <v>Plant Costs  - 2019 IRP Update - Table 6.1 &amp; 6.2</v>
      </c>
      <c r="AA49" s="118" t="s">
        <v>114</v>
      </c>
      <c r="AB49" s="278">
        <f>PMT(0.0692,30,NPV(0.0692,AB18:AB47))</f>
        <v>0</v>
      </c>
    </row>
    <row r="50" spans="2:28">
      <c r="C50" s="141"/>
      <c r="D50" s="131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3"/>
      <c r="E52" s="143"/>
      <c r="F52" s="143"/>
      <c r="G52" s="143"/>
      <c r="H52" s="143"/>
      <c r="I52" s="143"/>
      <c r="J52" s="144"/>
      <c r="K52" s="144"/>
      <c r="L52" s="145"/>
    </row>
    <row r="53" spans="2:28" ht="13.5" thickBot="1">
      <c r="C53" s="146" t="s">
        <v>68</v>
      </c>
      <c r="D53" s="147" t="s">
        <v>69</v>
      </c>
      <c r="E53" s="147"/>
      <c r="F53" s="147"/>
      <c r="G53" s="147"/>
      <c r="H53" s="147"/>
      <c r="I53" s="148"/>
      <c r="J53" s="144"/>
      <c r="K53" s="144"/>
      <c r="L53" s="145"/>
    </row>
    <row r="54" spans="2:28">
      <c r="Q54" s="118" t="s">
        <v>106</v>
      </c>
      <c r="R54" s="118">
        <v>2024</v>
      </c>
    </row>
    <row r="55" spans="2:28">
      <c r="B55" s="85" t="s">
        <v>104</v>
      </c>
      <c r="C55" s="393">
        <v>1301.4978814276944</v>
      </c>
      <c r="D55" s="118" t="s">
        <v>67</v>
      </c>
      <c r="P55" s="118">
        <v>1920</v>
      </c>
      <c r="Q55" s="118" t="s">
        <v>34</v>
      </c>
      <c r="R55" s="118" t="s">
        <v>103</v>
      </c>
      <c r="U55" s="118" t="str">
        <f>$R$55&amp;"Proposed Station Capital Costs"</f>
        <v>H4.AE1_WDProposed Station Capital Costs</v>
      </c>
    </row>
    <row r="56" spans="2:28">
      <c r="B56" s="85" t="s">
        <v>104</v>
      </c>
      <c r="C56" s="149">
        <v>28.802174620531375</v>
      </c>
      <c r="D56" s="118" t="s">
        <v>70</v>
      </c>
      <c r="U56" s="118" t="str">
        <f>$R$55&amp;"Proposed Station Fixed Costs"</f>
        <v>H4.AE1_WDProposed Station Fixed Costs</v>
      </c>
    </row>
    <row r="57" spans="2:28" ht="24" customHeight="1">
      <c r="B57" s="85"/>
      <c r="C57" s="154"/>
      <c r="D57" s="118" t="s">
        <v>109</v>
      </c>
      <c r="R57" s="215" t="str">
        <f>R55&amp;R54</f>
        <v>H4.AE1_WD2024</v>
      </c>
      <c r="U57" s="118" t="str">
        <f>$R$55&amp;"Proposed Station Variable O&amp;M Costs"</f>
        <v>H4.AE1_WDProposed Station Variable O&amp;M Costs</v>
      </c>
    </row>
    <row r="58" spans="2:28">
      <c r="B58" s="85" t="s">
        <v>104</v>
      </c>
      <c r="C58" s="149">
        <v>0.65</v>
      </c>
      <c r="D58" s="118" t="s">
        <v>71</v>
      </c>
      <c r="F58" s="118" t="s">
        <v>156</v>
      </c>
      <c r="L58" s="120"/>
      <c r="M58" s="150"/>
      <c r="N58" s="52"/>
      <c r="O58" s="164"/>
      <c r="P58" s="52"/>
      <c r="Q58" s="52"/>
      <c r="R58" s="120"/>
      <c r="S58" s="120"/>
      <c r="U58" s="120"/>
      <c r="V58" s="120"/>
      <c r="W58" s="120"/>
      <c r="X58" s="120"/>
      <c r="Y58" s="120"/>
      <c r="Z58" s="120"/>
    </row>
    <row r="59" spans="2:28">
      <c r="B59" s="85"/>
      <c r="C59" s="159">
        <v>-6.2214116072769627</v>
      </c>
      <c r="D59" s="118" t="s">
        <v>72</v>
      </c>
      <c r="J59" s="394" t="s">
        <v>93</v>
      </c>
      <c r="M59" s="152"/>
      <c r="N59" s="153"/>
      <c r="P59" s="151"/>
      <c r="Q59" s="120"/>
      <c r="R59" s="120"/>
      <c r="S59" s="120"/>
      <c r="U59" s="120"/>
      <c r="V59" s="120"/>
      <c r="W59" s="120"/>
      <c r="X59" s="120"/>
      <c r="Y59" s="120"/>
      <c r="Z59" s="120"/>
    </row>
    <row r="60" spans="2:28">
      <c r="B60" s="358" t="str">
        <f>LEFT(RIGHT(INDEX('Table 3 TransCost'!$39:$39,1,MATCH(F60,'Table 3 TransCost'!$4:$4,0)),6),5)</f>
        <v>2024$</v>
      </c>
      <c r="C60" s="154">
        <f>INDEX('Table 3 TransCost'!$39:$39,1,MATCH(F60,'Table 3 TransCost'!$4:$4,0)+2)</f>
        <v>47.870308055404152</v>
      </c>
      <c r="D60" s="118" t="s">
        <v>222</v>
      </c>
      <c r="F60" s="118" t="s">
        <v>183</v>
      </c>
      <c r="L60" s="152"/>
      <c r="M60" s="152"/>
      <c r="N60" s="152"/>
      <c r="O60" s="165"/>
      <c r="P60" s="151"/>
      <c r="Q60" s="120"/>
      <c r="R60" s="120"/>
      <c r="S60" s="120"/>
      <c r="U60" s="120"/>
      <c r="V60" s="120"/>
      <c r="W60" s="120"/>
      <c r="X60" s="120"/>
      <c r="Y60" s="120"/>
      <c r="Z60" s="120"/>
    </row>
    <row r="61" spans="2:28">
      <c r="B61" s="85"/>
      <c r="C61" s="202"/>
      <c r="L61" s="152"/>
      <c r="M61" s="152"/>
      <c r="N61" s="152"/>
      <c r="O61" s="165"/>
      <c r="P61" s="152"/>
      <c r="S61" s="120"/>
      <c r="U61" s="120"/>
      <c r="V61" s="120"/>
      <c r="W61" s="120"/>
      <c r="X61" s="120"/>
      <c r="Y61" s="120"/>
      <c r="Z61" s="120"/>
    </row>
    <row r="62" spans="2:28">
      <c r="C62" s="395">
        <v>6.898638050271251E-2</v>
      </c>
      <c r="D62" s="118" t="s">
        <v>38</v>
      </c>
      <c r="L62" s="156"/>
      <c r="M62" s="157"/>
      <c r="N62" s="157"/>
      <c r="P62" s="158"/>
    </row>
    <row r="63" spans="2:28">
      <c r="C63" s="396">
        <v>0.436</v>
      </c>
      <c r="D63" s="118" t="s">
        <v>39</v>
      </c>
    </row>
    <row r="64" spans="2:28" ht="13.5" thickBot="1">
      <c r="D64" s="155"/>
    </row>
    <row r="65" spans="3:15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3"/>
      <c r="L65" s="145"/>
    </row>
    <row r="66" spans="3:15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5">
      <c r="C67" s="87">
        <f t="shared" ref="C67:C74" si="9">C66+1</f>
        <v>2018</v>
      </c>
      <c r="D67" s="41">
        <v>2.3994563767884003E-2</v>
      </c>
      <c r="E67" s="85"/>
      <c r="F67" s="87">
        <f t="shared" ref="F67:F74" si="10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5">
      <c r="C68" s="87">
        <f t="shared" si="9"/>
        <v>2019</v>
      </c>
      <c r="D68" s="41">
        <v>1.9651346350279875E-2</v>
      </c>
      <c r="E68" s="85"/>
      <c r="F68" s="87">
        <f t="shared" si="10"/>
        <v>2028</v>
      </c>
      <c r="G68" s="41">
        <v>2.2447976887115972E-2</v>
      </c>
      <c r="H68" s="41"/>
      <c r="I68" s="87">
        <f t="shared" ref="I68:I74" si="11">I67+1</f>
        <v>2037</v>
      </c>
      <c r="J68" s="41">
        <v>2.0854082421584375E-2</v>
      </c>
    </row>
    <row r="69" spans="3:15">
      <c r="C69" s="87">
        <f t="shared" si="9"/>
        <v>2020</v>
      </c>
      <c r="D69" s="41">
        <v>2.6147280919121885E-2</v>
      </c>
      <c r="E69" s="85"/>
      <c r="F69" s="87">
        <f t="shared" si="10"/>
        <v>2029</v>
      </c>
      <c r="G69" s="41">
        <v>2.2764957830614385E-2</v>
      </c>
      <c r="H69" s="41"/>
      <c r="I69" s="87">
        <f t="shared" si="11"/>
        <v>2038</v>
      </c>
      <c r="J69" s="41">
        <v>2.0886076981620372E-2</v>
      </c>
    </row>
    <row r="70" spans="3:15">
      <c r="C70" s="87">
        <f t="shared" si="9"/>
        <v>2021</v>
      </c>
      <c r="D70" s="41">
        <v>2.5435997430165225E-2</v>
      </c>
      <c r="E70" s="85"/>
      <c r="F70" s="87">
        <f t="shared" si="10"/>
        <v>2030</v>
      </c>
      <c r="G70" s="41">
        <v>2.2409251338579406E-2</v>
      </c>
      <c r="H70" s="41"/>
      <c r="I70" s="87">
        <f t="shared" si="11"/>
        <v>2039</v>
      </c>
      <c r="J70" s="41">
        <v>2.0755199547329406E-2</v>
      </c>
    </row>
    <row r="71" spans="3:15">
      <c r="C71" s="87">
        <f t="shared" si="9"/>
        <v>2022</v>
      </c>
      <c r="D71" s="41">
        <v>2.5246661572301266E-2</v>
      </c>
      <c r="E71" s="85"/>
      <c r="F71" s="87">
        <f t="shared" si="10"/>
        <v>2031</v>
      </c>
      <c r="G71" s="41">
        <v>2.1876862460861402E-2</v>
      </c>
      <c r="H71" s="41"/>
      <c r="I71" s="87">
        <f t="shared" si="11"/>
        <v>2040</v>
      </c>
      <c r="J71" s="41">
        <v>2.0747934127706591E-2</v>
      </c>
    </row>
    <row r="72" spans="3:15" s="120" customFormat="1">
      <c r="C72" s="87">
        <f t="shared" si="9"/>
        <v>2023</v>
      </c>
      <c r="D72" s="41">
        <v>2.4577195966118071E-2</v>
      </c>
      <c r="E72" s="86"/>
      <c r="F72" s="87">
        <f t="shared" si="10"/>
        <v>2032</v>
      </c>
      <c r="G72" s="41">
        <v>2.1570874084378078E-2</v>
      </c>
      <c r="H72" s="41"/>
      <c r="I72" s="87">
        <f t="shared" si="11"/>
        <v>2041</v>
      </c>
      <c r="J72" s="41">
        <v>2.0871781890604124E-2</v>
      </c>
      <c r="O72" s="165"/>
    </row>
    <row r="73" spans="3:15" s="120" customFormat="1">
      <c r="C73" s="87">
        <f t="shared" si="9"/>
        <v>2024</v>
      </c>
      <c r="D73" s="41">
        <v>2.3256370085936506E-2</v>
      </c>
      <c r="E73" s="86"/>
      <c r="F73" s="87">
        <f t="shared" si="10"/>
        <v>2033</v>
      </c>
      <c r="G73" s="41">
        <v>2.144511122277093E-2</v>
      </c>
      <c r="H73" s="41"/>
      <c r="I73" s="87">
        <f t="shared" si="11"/>
        <v>2042</v>
      </c>
      <c r="J73" s="41">
        <v>2.1078469389761434E-2</v>
      </c>
      <c r="O73" s="165"/>
    </row>
    <row r="74" spans="3:15" s="120" customFormat="1">
      <c r="C74" s="87">
        <f t="shared" si="9"/>
        <v>2025</v>
      </c>
      <c r="D74" s="41">
        <v>2.2304783799234951E-2</v>
      </c>
      <c r="E74" s="86"/>
      <c r="F74" s="87">
        <f t="shared" si="10"/>
        <v>2034</v>
      </c>
      <c r="G74" s="41">
        <v>2.1010014778543251E-2</v>
      </c>
      <c r="H74" s="41"/>
      <c r="I74" s="87">
        <f t="shared" si="11"/>
        <v>2043</v>
      </c>
      <c r="J74" s="41">
        <v>2.1194942793044236E-2</v>
      </c>
      <c r="O74" s="165"/>
    </row>
    <row r="75" spans="3:15" s="120" customFormat="1">
      <c r="O75" s="165"/>
    </row>
    <row r="76" spans="3:15" s="120" customFormat="1">
      <c r="O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2"/>
  <sheetViews>
    <sheetView view="pageBreakPreview" zoomScale="60" zoomScaleNormal="80" workbookViewId="0">
      <selection activeCell="B23" sqref="B23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332031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26" ht="15.75">
      <c r="B1" s="116" t="s">
        <v>58</v>
      </c>
      <c r="C1" s="117"/>
      <c r="D1" s="117"/>
      <c r="E1" s="117"/>
      <c r="F1" s="117"/>
      <c r="G1" s="117"/>
      <c r="H1" s="117"/>
      <c r="I1" s="117"/>
      <c r="J1" s="117"/>
    </row>
    <row r="2" spans="2:26" ht="15.75">
      <c r="B2" s="116" t="s">
        <v>110</v>
      </c>
      <c r="C2" s="117"/>
      <c r="D2" s="117"/>
      <c r="E2" s="117"/>
      <c r="F2" s="117"/>
      <c r="G2" s="117"/>
      <c r="H2" s="117"/>
      <c r="I2" s="117"/>
      <c r="J2" s="117"/>
    </row>
    <row r="3" spans="2:26" ht="15.75">
      <c r="B3" s="116" t="str">
        <f>TEXT($C$63,"0%")&amp;" Capacity Factor"</f>
        <v>33% Capacity Factor</v>
      </c>
      <c r="C3" s="117"/>
      <c r="D3" s="117"/>
      <c r="E3" s="117"/>
      <c r="F3" s="117"/>
      <c r="G3" s="117"/>
      <c r="H3" s="117"/>
      <c r="I3" s="117"/>
      <c r="J3" s="117"/>
      <c r="R3" s="120"/>
    </row>
    <row r="4" spans="2:26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</row>
    <row r="5" spans="2:26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94</v>
      </c>
      <c r="G5" s="122" t="s">
        <v>64</v>
      </c>
      <c r="H5" s="17" t="s">
        <v>13</v>
      </c>
      <c r="I5" s="122" t="s">
        <v>75</v>
      </c>
      <c r="J5" s="17" t="s">
        <v>54</v>
      </c>
      <c r="K5" s="122" t="s">
        <v>228</v>
      </c>
      <c r="M5" s="215"/>
      <c r="N5" s="215"/>
      <c r="P5" s="215"/>
      <c r="R5" s="275"/>
      <c r="T5" s="272"/>
      <c r="U5" s="273"/>
      <c r="V5" s="272"/>
      <c r="W5" s="273"/>
      <c r="X5" s="120"/>
      <c r="Y5" s="215"/>
      <c r="Z5" s="215"/>
    </row>
    <row r="6" spans="2:26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33</v>
      </c>
      <c r="H6" s="18" t="s">
        <v>33</v>
      </c>
      <c r="I6" s="124" t="s">
        <v>33</v>
      </c>
      <c r="J6" s="19" t="s">
        <v>9</v>
      </c>
      <c r="K6" s="125" t="s">
        <v>9</v>
      </c>
      <c r="R6" s="276"/>
    </row>
    <row r="7" spans="2:26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24</v>
      </c>
      <c r="J7" s="126" t="s">
        <v>25</v>
      </c>
      <c r="K7" s="126" t="s">
        <v>26</v>
      </c>
      <c r="R7" s="120"/>
    </row>
    <row r="8" spans="2:26" ht="6" customHeight="1">
      <c r="K8" s="120"/>
      <c r="R8" s="120"/>
    </row>
    <row r="9" spans="2:26" ht="15.75">
      <c r="B9" s="43" t="str">
        <f>C52</f>
        <v>2019 IRP Utah South Solar with Storage - 33%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26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26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26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Y12" s="154"/>
      <c r="Z12" s="154"/>
    </row>
    <row r="13" spans="2:26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25.05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25.05</v>
      </c>
      <c r="L13" s="120"/>
      <c r="N13" s="118"/>
      <c r="R13" s="120"/>
      <c r="V13" s="154"/>
      <c r="Y13" s="154"/>
      <c r="Z13" s="154"/>
    </row>
    <row r="14" spans="2:26">
      <c r="B14" s="136">
        <f t="shared" si="0"/>
        <v>2020</v>
      </c>
      <c r="C14" s="137"/>
      <c r="D14" s="129"/>
      <c r="E14" s="129">
        <f t="shared" si="1"/>
        <v>25.7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25.7</v>
      </c>
      <c r="L14" s="120"/>
      <c r="N14" s="118"/>
      <c r="O14" s="133"/>
      <c r="P14" s="397"/>
      <c r="Q14" s="398"/>
      <c r="R14" s="120"/>
      <c r="V14" s="154"/>
      <c r="Y14" s="154"/>
      <c r="Z14" s="154"/>
    </row>
    <row r="15" spans="2:26">
      <c r="B15" s="136">
        <f t="shared" si="0"/>
        <v>2021</v>
      </c>
      <c r="C15" s="137"/>
      <c r="D15" s="129"/>
      <c r="E15" s="129">
        <f t="shared" si="1"/>
        <v>26.35</v>
      </c>
      <c r="F15" s="129"/>
      <c r="G15" s="131"/>
      <c r="H15" s="129">
        <f t="shared" si="2"/>
        <v>0</v>
      </c>
      <c r="I15" s="131"/>
      <c r="J15" s="131"/>
      <c r="K15" s="129">
        <f t="shared" si="3"/>
        <v>26.35</v>
      </c>
      <c r="L15" s="120"/>
      <c r="N15" s="118"/>
      <c r="O15" s="399"/>
      <c r="P15" s="397"/>
      <c r="Q15" s="398"/>
      <c r="R15" s="120"/>
      <c r="V15" s="154"/>
      <c r="Y15" s="154"/>
      <c r="Z15" s="154"/>
    </row>
    <row r="16" spans="2:26">
      <c r="B16" s="136">
        <f t="shared" si="0"/>
        <v>2022</v>
      </c>
      <c r="C16" s="137"/>
      <c r="D16" s="129"/>
      <c r="E16" s="129">
        <f t="shared" si="1"/>
        <v>27.02</v>
      </c>
      <c r="F16" s="129"/>
      <c r="G16" s="131"/>
      <c r="H16" s="129">
        <f t="shared" si="2"/>
        <v>0</v>
      </c>
      <c r="I16" s="131"/>
      <c r="J16" s="131"/>
      <c r="K16" s="129">
        <f t="shared" si="3"/>
        <v>27.02</v>
      </c>
      <c r="L16" s="120"/>
      <c r="N16" s="118"/>
      <c r="R16" s="120"/>
      <c r="V16" s="154"/>
      <c r="Y16" s="154"/>
      <c r="Z16" s="154"/>
    </row>
    <row r="17" spans="2:28">
      <c r="B17" s="136">
        <f t="shared" si="0"/>
        <v>2023</v>
      </c>
      <c r="C17" s="137"/>
      <c r="D17" s="129"/>
      <c r="E17" s="129">
        <f t="shared" si="1"/>
        <v>27.68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27.68</v>
      </c>
      <c r="L17" s="120"/>
      <c r="N17" s="118"/>
      <c r="O17" s="133"/>
      <c r="R17" s="120"/>
      <c r="V17" s="154"/>
      <c r="Y17" s="154"/>
      <c r="Z17" s="154"/>
    </row>
    <row r="18" spans="2:28">
      <c r="B18" s="136">
        <f t="shared" si="0"/>
        <v>2024</v>
      </c>
      <c r="C18" s="137">
        <v>1230.021663778163</v>
      </c>
      <c r="D18" s="129">
        <f>C18*$C$62</f>
        <v>62.546601603119584</v>
      </c>
      <c r="E18" s="129">
        <f t="shared" si="1"/>
        <v>28.32</v>
      </c>
      <c r="F18" s="129">
        <f>C60*(1+INDEX($D$66:$D$74,MATCH(B18,$C$66:$C$74,0),1))</f>
        <v>1.5021667532597847</v>
      </c>
      <c r="G18" s="131">
        <f>(D18+E18+F18)/(8.76*$C$63)</f>
        <v>32.444245998025771</v>
      </c>
      <c r="H18" s="129">
        <f t="shared" si="2"/>
        <v>0</v>
      </c>
      <c r="I18" s="131">
        <f>(G18+H18)</f>
        <v>32.444245998025771</v>
      </c>
      <c r="J18" s="131">
        <f t="shared" ref="J18:J32" si="4">ROUND(I18*$C$63*8.76,2)</f>
        <v>92.37</v>
      </c>
      <c r="K18" s="129">
        <f t="shared" si="3"/>
        <v>92.368768356379377</v>
      </c>
      <c r="L18" s="120"/>
      <c r="N18" s="118"/>
      <c r="P18" s="280"/>
      <c r="Q18" s="154"/>
      <c r="R18" s="120"/>
      <c r="T18" s="162"/>
      <c r="U18" s="154"/>
      <c r="V18" s="154"/>
      <c r="X18" s="154"/>
      <c r="Y18" s="154"/>
      <c r="Z18" s="154"/>
      <c r="AA18" s="279"/>
      <c r="AB18" s="279"/>
    </row>
    <row r="19" spans="2:28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63.94</v>
      </c>
      <c r="E19" s="129">
        <f t="shared" si="1"/>
        <v>28.95</v>
      </c>
      <c r="F19" s="129">
        <f t="shared" si="5"/>
        <v>1.54</v>
      </c>
      <c r="G19" s="131">
        <f t="shared" ref="G19:G37" si="6">(D19+E19+F19)/(8.76*$C$63)</f>
        <v>33.168247277836322</v>
      </c>
      <c r="H19" s="129">
        <f t="shared" si="2"/>
        <v>0</v>
      </c>
      <c r="I19" s="131">
        <f t="shared" ref="I19:I37" si="7">(G19+H19)</f>
        <v>33.168247277836322</v>
      </c>
      <c r="J19" s="131">
        <f t="shared" si="4"/>
        <v>94.43</v>
      </c>
      <c r="K19" s="129">
        <f t="shared" si="3"/>
        <v>94.43</v>
      </c>
      <c r="L19" s="120"/>
      <c r="N19" s="118"/>
      <c r="R19" s="120"/>
      <c r="T19" s="162"/>
      <c r="U19" s="154"/>
      <c r="V19" s="154"/>
      <c r="X19" s="154"/>
      <c r="Y19" s="154"/>
      <c r="Z19" s="154"/>
    </row>
    <row r="20" spans="2:28">
      <c r="B20" s="136">
        <f t="shared" si="0"/>
        <v>2026</v>
      </c>
      <c r="C20" s="137"/>
      <c r="D20" s="129">
        <f t="shared" si="5"/>
        <v>65.349999999999994</v>
      </c>
      <c r="E20" s="129">
        <f t="shared" si="1"/>
        <v>29.59</v>
      </c>
      <c r="F20" s="129">
        <f t="shared" si="5"/>
        <v>1.57</v>
      </c>
      <c r="G20" s="131">
        <f t="shared" si="6"/>
        <v>33.898840885142249</v>
      </c>
      <c r="H20" s="129">
        <f t="shared" si="2"/>
        <v>0</v>
      </c>
      <c r="I20" s="131">
        <f t="shared" si="7"/>
        <v>33.898840885142249</v>
      </c>
      <c r="J20" s="131">
        <f t="shared" si="4"/>
        <v>96.51</v>
      </c>
      <c r="K20" s="129">
        <f t="shared" si="3"/>
        <v>96.509999999999991</v>
      </c>
      <c r="L20" s="120"/>
      <c r="N20" s="118"/>
      <c r="R20" s="161"/>
      <c r="T20" s="162"/>
      <c r="U20" s="154"/>
      <c r="V20" s="154"/>
      <c r="X20" s="154"/>
      <c r="Y20" s="154"/>
      <c r="Z20" s="154"/>
    </row>
    <row r="21" spans="2:28">
      <c r="B21" s="136">
        <f t="shared" si="0"/>
        <v>2027</v>
      </c>
      <c r="C21" s="137"/>
      <c r="D21" s="129">
        <f t="shared" si="5"/>
        <v>66.8</v>
      </c>
      <c r="E21" s="129">
        <f t="shared" si="1"/>
        <v>30.25</v>
      </c>
      <c r="F21" s="129">
        <f t="shared" si="5"/>
        <v>1.6</v>
      </c>
      <c r="G21" s="131">
        <f t="shared" si="6"/>
        <v>34.650509308043553</v>
      </c>
      <c r="H21" s="129">
        <f t="shared" si="2"/>
        <v>0</v>
      </c>
      <c r="I21" s="131">
        <f t="shared" si="7"/>
        <v>34.650509308043553</v>
      </c>
      <c r="J21" s="131">
        <f t="shared" si="4"/>
        <v>98.65</v>
      </c>
      <c r="K21" s="129">
        <f t="shared" si="3"/>
        <v>98.649999999999991</v>
      </c>
      <c r="L21" s="120"/>
      <c r="N21" s="118"/>
      <c r="R21" s="161"/>
      <c r="T21" s="162"/>
      <c r="U21" s="154"/>
      <c r="V21" s="154"/>
      <c r="X21" s="154"/>
      <c r="Y21" s="154"/>
      <c r="Z21" s="154"/>
    </row>
    <row r="22" spans="2:28">
      <c r="B22" s="136">
        <f t="shared" si="0"/>
        <v>2028</v>
      </c>
      <c r="C22" s="137"/>
      <c r="D22" s="129">
        <f t="shared" si="5"/>
        <v>68.3</v>
      </c>
      <c r="E22" s="129">
        <f t="shared" si="1"/>
        <v>30.93</v>
      </c>
      <c r="F22" s="129">
        <f t="shared" si="5"/>
        <v>1.64</v>
      </c>
      <c r="G22" s="131">
        <f t="shared" si="6"/>
        <v>35.430277485072004</v>
      </c>
      <c r="H22" s="129">
        <f t="shared" si="2"/>
        <v>0</v>
      </c>
      <c r="I22" s="131">
        <f t="shared" si="7"/>
        <v>35.430277485072004</v>
      </c>
      <c r="J22" s="131">
        <f t="shared" si="4"/>
        <v>100.87</v>
      </c>
      <c r="K22" s="129">
        <f t="shared" si="3"/>
        <v>100.86999999999999</v>
      </c>
      <c r="L22" s="120"/>
      <c r="N22" s="118"/>
      <c r="R22" s="161"/>
      <c r="T22" s="162"/>
      <c r="U22" s="154"/>
      <c r="V22" s="154"/>
      <c r="X22" s="154"/>
      <c r="Y22" s="154"/>
      <c r="Z22" s="154"/>
    </row>
    <row r="23" spans="2:28">
      <c r="B23" s="136">
        <f t="shared" si="0"/>
        <v>2029</v>
      </c>
      <c r="C23" s="137"/>
      <c r="D23" s="129">
        <f t="shared" si="5"/>
        <v>69.849999999999994</v>
      </c>
      <c r="E23" s="129">
        <f t="shared" si="1"/>
        <v>31.63</v>
      </c>
      <c r="F23" s="129">
        <f t="shared" si="5"/>
        <v>1.68</v>
      </c>
      <c r="G23" s="131">
        <f t="shared" si="6"/>
        <v>36.23463294696171</v>
      </c>
      <c r="H23" s="129">
        <f t="shared" si="2"/>
        <v>0</v>
      </c>
      <c r="I23" s="131">
        <f t="shared" si="7"/>
        <v>36.23463294696171</v>
      </c>
      <c r="J23" s="131">
        <f t="shared" si="4"/>
        <v>103.16</v>
      </c>
      <c r="K23" s="129">
        <f t="shared" si="3"/>
        <v>103.16</v>
      </c>
      <c r="L23" s="120"/>
      <c r="N23" s="118"/>
      <c r="R23" s="161"/>
      <c r="T23" s="162"/>
      <c r="U23" s="154"/>
      <c r="V23" s="154"/>
      <c r="X23" s="154"/>
      <c r="Y23" s="154"/>
      <c r="Z23" s="154"/>
    </row>
    <row r="24" spans="2:28">
      <c r="B24" s="136">
        <f t="shared" si="0"/>
        <v>2030</v>
      </c>
      <c r="C24" s="137"/>
      <c r="D24" s="129">
        <f t="shared" si="5"/>
        <v>71.42</v>
      </c>
      <c r="E24" s="129">
        <f t="shared" si="1"/>
        <v>32.340000000000003</v>
      </c>
      <c r="F24" s="129">
        <f t="shared" si="5"/>
        <v>1.72</v>
      </c>
      <c r="G24" s="131">
        <f t="shared" si="6"/>
        <v>37.049525816649108</v>
      </c>
      <c r="H24" s="129">
        <f t="shared" si="2"/>
        <v>0</v>
      </c>
      <c r="I24" s="131">
        <f t="shared" si="7"/>
        <v>37.049525816649108</v>
      </c>
      <c r="J24" s="131">
        <f t="shared" si="4"/>
        <v>105.48</v>
      </c>
      <c r="K24" s="129">
        <f t="shared" si="3"/>
        <v>105.48</v>
      </c>
      <c r="L24" s="120"/>
      <c r="N24" s="118"/>
      <c r="R24" s="161"/>
      <c r="T24" s="162"/>
      <c r="U24" s="154"/>
      <c r="V24" s="154"/>
      <c r="X24" s="154"/>
      <c r="Y24" s="154"/>
      <c r="Z24" s="154"/>
    </row>
    <row r="25" spans="2:28">
      <c r="B25" s="136">
        <f t="shared" si="0"/>
        <v>2031</v>
      </c>
      <c r="C25" s="137"/>
      <c r="D25" s="129">
        <f t="shared" si="5"/>
        <v>72.98</v>
      </c>
      <c r="E25" s="129">
        <f t="shared" si="1"/>
        <v>33.049999999999997</v>
      </c>
      <c r="F25" s="129">
        <f t="shared" si="5"/>
        <v>1.76</v>
      </c>
      <c r="G25" s="131">
        <f t="shared" si="6"/>
        <v>37.8609062170706</v>
      </c>
      <c r="H25" s="129">
        <f t="shared" si="2"/>
        <v>0</v>
      </c>
      <c r="I25" s="131">
        <f t="shared" si="7"/>
        <v>37.8609062170706</v>
      </c>
      <c r="J25" s="131">
        <f t="shared" si="4"/>
        <v>107.79</v>
      </c>
      <c r="K25" s="129">
        <f t="shared" si="3"/>
        <v>107.79</v>
      </c>
      <c r="L25" s="120"/>
      <c r="N25" s="118"/>
      <c r="R25" s="161"/>
      <c r="T25" s="162"/>
      <c r="U25" s="154"/>
      <c r="V25" s="154"/>
      <c r="X25" s="154"/>
      <c r="Y25" s="154"/>
      <c r="Z25" s="154"/>
    </row>
    <row r="26" spans="2:28">
      <c r="B26" s="136">
        <f t="shared" si="0"/>
        <v>2032</v>
      </c>
      <c r="C26" s="137"/>
      <c r="D26" s="129">
        <f t="shared" si="5"/>
        <v>74.55</v>
      </c>
      <c r="E26" s="129">
        <f t="shared" si="1"/>
        <v>33.76</v>
      </c>
      <c r="F26" s="129">
        <f t="shared" si="5"/>
        <v>1.8</v>
      </c>
      <c r="G26" s="131">
        <f t="shared" si="6"/>
        <v>38.675799086757991</v>
      </c>
      <c r="H26" s="129">
        <f t="shared" si="2"/>
        <v>0</v>
      </c>
      <c r="I26" s="131">
        <f t="shared" si="7"/>
        <v>38.675799086757991</v>
      </c>
      <c r="J26" s="131">
        <f t="shared" si="4"/>
        <v>110.11</v>
      </c>
      <c r="K26" s="129">
        <f t="shared" si="3"/>
        <v>110.11</v>
      </c>
      <c r="L26" s="120"/>
      <c r="N26" s="118"/>
      <c r="R26" s="161"/>
      <c r="T26" s="162"/>
      <c r="U26" s="154"/>
      <c r="V26" s="154"/>
      <c r="X26" s="154"/>
      <c r="Y26" s="154"/>
      <c r="Z26" s="154"/>
    </row>
    <row r="27" spans="2:28">
      <c r="B27" s="136">
        <f t="shared" si="0"/>
        <v>2033</v>
      </c>
      <c r="C27" s="137"/>
      <c r="D27" s="129">
        <f t="shared" si="5"/>
        <v>76.150000000000006</v>
      </c>
      <c r="E27" s="129">
        <f t="shared" si="1"/>
        <v>34.479999999999997</v>
      </c>
      <c r="F27" s="129">
        <f t="shared" si="5"/>
        <v>1.84</v>
      </c>
      <c r="G27" s="131">
        <f t="shared" si="6"/>
        <v>39.504741833508959</v>
      </c>
      <c r="H27" s="129">
        <f t="shared" si="2"/>
        <v>0</v>
      </c>
      <c r="I27" s="131">
        <f t="shared" si="7"/>
        <v>39.504741833508959</v>
      </c>
      <c r="J27" s="131">
        <f t="shared" si="4"/>
        <v>112.47</v>
      </c>
      <c r="K27" s="129">
        <f t="shared" si="3"/>
        <v>112.47</v>
      </c>
      <c r="L27" s="120"/>
      <c r="N27" s="118"/>
      <c r="R27" s="161"/>
      <c r="T27" s="162"/>
      <c r="U27" s="154"/>
      <c r="V27" s="154"/>
      <c r="X27" s="154"/>
      <c r="Y27" s="154"/>
      <c r="Z27" s="154"/>
    </row>
    <row r="28" spans="2:28">
      <c r="B28" s="136">
        <f t="shared" si="0"/>
        <v>2034</v>
      </c>
      <c r="C28" s="137"/>
      <c r="D28" s="129">
        <f t="shared" si="5"/>
        <v>77.75</v>
      </c>
      <c r="E28" s="129">
        <f t="shared" si="1"/>
        <v>35.200000000000003</v>
      </c>
      <c r="F28" s="129">
        <f t="shared" si="5"/>
        <v>1.88</v>
      </c>
      <c r="G28" s="131">
        <f t="shared" si="6"/>
        <v>40.33368458025992</v>
      </c>
      <c r="H28" s="129">
        <f t="shared" si="2"/>
        <v>0</v>
      </c>
      <c r="I28" s="131">
        <f t="shared" si="7"/>
        <v>40.33368458025992</v>
      </c>
      <c r="J28" s="131">
        <f t="shared" si="4"/>
        <v>114.83</v>
      </c>
      <c r="K28" s="129">
        <f t="shared" si="3"/>
        <v>114.83</v>
      </c>
      <c r="L28" s="120"/>
      <c r="N28" s="118"/>
      <c r="R28" s="161"/>
      <c r="T28" s="162"/>
      <c r="U28" s="154"/>
      <c r="V28" s="154"/>
      <c r="X28" s="154"/>
      <c r="Y28" s="154"/>
      <c r="Z28" s="154"/>
    </row>
    <row r="29" spans="2:28">
      <c r="B29" s="136">
        <f t="shared" si="0"/>
        <v>2035</v>
      </c>
      <c r="C29" s="137"/>
      <c r="D29" s="129">
        <f t="shared" si="5"/>
        <v>79.38</v>
      </c>
      <c r="E29" s="129">
        <f t="shared" si="1"/>
        <v>35.94</v>
      </c>
      <c r="F29" s="129">
        <f t="shared" si="5"/>
        <v>1.92</v>
      </c>
      <c r="G29" s="131">
        <f t="shared" si="6"/>
        <v>41.180189673340358</v>
      </c>
      <c r="H29" s="129">
        <f t="shared" si="2"/>
        <v>0</v>
      </c>
      <c r="I29" s="131">
        <f t="shared" si="7"/>
        <v>41.180189673340358</v>
      </c>
      <c r="J29" s="131">
        <f t="shared" si="4"/>
        <v>117.24</v>
      </c>
      <c r="K29" s="129">
        <f t="shared" si="3"/>
        <v>117.24</v>
      </c>
      <c r="L29" s="120"/>
      <c r="N29" s="118"/>
      <c r="R29" s="161"/>
      <c r="T29" s="162"/>
      <c r="U29" s="154"/>
      <c r="V29" s="154"/>
      <c r="X29" s="154"/>
      <c r="Y29" s="154"/>
      <c r="Z29" s="154"/>
    </row>
    <row r="30" spans="2:28">
      <c r="B30" s="136">
        <f t="shared" si="0"/>
        <v>2036</v>
      </c>
      <c r="C30" s="137"/>
      <c r="D30" s="129">
        <f t="shared" si="5"/>
        <v>81.03</v>
      </c>
      <c r="E30" s="129">
        <f t="shared" si="1"/>
        <v>36.69</v>
      </c>
      <c r="F30" s="129">
        <f t="shared" si="5"/>
        <v>1.96</v>
      </c>
      <c r="G30" s="131">
        <f t="shared" si="6"/>
        <v>42.037232174218474</v>
      </c>
      <c r="H30" s="129">
        <f t="shared" si="2"/>
        <v>0</v>
      </c>
      <c r="I30" s="131">
        <f t="shared" si="7"/>
        <v>42.037232174218474</v>
      </c>
      <c r="J30" s="131">
        <f t="shared" si="4"/>
        <v>119.68</v>
      </c>
      <c r="K30" s="129">
        <f t="shared" si="3"/>
        <v>119.67999999999999</v>
      </c>
      <c r="L30" s="120"/>
      <c r="N30" s="118"/>
      <c r="R30" s="161"/>
      <c r="T30" s="162"/>
      <c r="U30" s="154"/>
      <c r="V30" s="154"/>
      <c r="X30" s="154"/>
      <c r="Y30" s="154"/>
      <c r="Z30" s="154"/>
    </row>
    <row r="31" spans="2:28">
      <c r="B31" s="136">
        <f t="shared" si="0"/>
        <v>2037</v>
      </c>
      <c r="C31" s="137"/>
      <c r="D31" s="129">
        <f t="shared" si="5"/>
        <v>82.72</v>
      </c>
      <c r="E31" s="129">
        <f t="shared" si="1"/>
        <v>37.46</v>
      </c>
      <c r="F31" s="129">
        <f t="shared" si="5"/>
        <v>2</v>
      </c>
      <c r="G31" s="131">
        <f t="shared" si="6"/>
        <v>42.915349490691959</v>
      </c>
      <c r="H31" s="129">
        <f t="shared" si="2"/>
        <v>0</v>
      </c>
      <c r="I31" s="131">
        <f t="shared" si="7"/>
        <v>42.915349490691959</v>
      </c>
      <c r="J31" s="131">
        <f t="shared" si="4"/>
        <v>122.18</v>
      </c>
      <c r="K31" s="129">
        <f t="shared" si="3"/>
        <v>122.18</v>
      </c>
      <c r="L31" s="120"/>
      <c r="N31" s="118"/>
      <c r="R31" s="161"/>
      <c r="T31" s="162"/>
      <c r="U31" s="154"/>
      <c r="V31" s="154"/>
      <c r="X31" s="154"/>
      <c r="Y31" s="154"/>
      <c r="Z31" s="154"/>
    </row>
    <row r="32" spans="2:28">
      <c r="B32" s="136">
        <f t="shared" si="0"/>
        <v>2038</v>
      </c>
      <c r="C32" s="137"/>
      <c r="D32" s="129">
        <f t="shared" si="5"/>
        <v>84.45</v>
      </c>
      <c r="E32" s="129">
        <f t="shared" si="1"/>
        <v>38.24</v>
      </c>
      <c r="F32" s="129">
        <f t="shared" si="5"/>
        <v>2.04</v>
      </c>
      <c r="G32" s="131">
        <f t="shared" si="6"/>
        <v>43.811029153494907</v>
      </c>
      <c r="H32" s="129">
        <f t="shared" si="2"/>
        <v>0</v>
      </c>
      <c r="I32" s="131">
        <f t="shared" si="7"/>
        <v>43.811029153494907</v>
      </c>
      <c r="J32" s="131">
        <f t="shared" si="4"/>
        <v>124.73</v>
      </c>
      <c r="K32" s="129">
        <f t="shared" si="3"/>
        <v>124.73</v>
      </c>
      <c r="L32" s="120"/>
      <c r="N32" s="118"/>
      <c r="R32" s="161"/>
      <c r="T32" s="162"/>
      <c r="U32" s="154"/>
      <c r="V32" s="154"/>
      <c r="X32" s="154"/>
      <c r="Y32" s="154"/>
      <c r="Z32" s="154"/>
    </row>
    <row r="33" spans="2:19">
      <c r="B33" s="136">
        <f t="shared" si="0"/>
        <v>2039</v>
      </c>
      <c r="C33" s="137"/>
      <c r="D33" s="129">
        <f t="shared" si="5"/>
        <v>86.2</v>
      </c>
      <c r="E33" s="129">
        <f t="shared" si="1"/>
        <v>39.03</v>
      </c>
      <c r="F33" s="129">
        <f t="shared" si="5"/>
        <v>2.08</v>
      </c>
      <c r="G33" s="131">
        <f t="shared" si="6"/>
        <v>44.71724622409554</v>
      </c>
      <c r="H33" s="129">
        <f t="shared" si="2"/>
        <v>0</v>
      </c>
      <c r="I33" s="131">
        <f t="shared" si="7"/>
        <v>44.71724622409554</v>
      </c>
      <c r="J33" s="131">
        <f t="shared" ref="J33:J37" si="8">ROUND(I33*$C$63*8.76,2)</f>
        <v>127.31</v>
      </c>
      <c r="K33" s="129">
        <f t="shared" si="3"/>
        <v>127.31</v>
      </c>
      <c r="L33" s="120"/>
      <c r="N33" s="118"/>
      <c r="R33" s="120"/>
    </row>
    <row r="34" spans="2:19">
      <c r="B34" s="136">
        <f t="shared" si="0"/>
        <v>2040</v>
      </c>
      <c r="C34" s="137"/>
      <c r="D34" s="129">
        <f t="shared" si="5"/>
        <v>87.99</v>
      </c>
      <c r="E34" s="129">
        <f t="shared" si="1"/>
        <v>39.840000000000003</v>
      </c>
      <c r="F34" s="129">
        <f t="shared" si="5"/>
        <v>2.12</v>
      </c>
      <c r="G34" s="131">
        <f t="shared" si="6"/>
        <v>45.644538110291535</v>
      </c>
      <c r="H34" s="129">
        <f t="shared" si="2"/>
        <v>0</v>
      </c>
      <c r="I34" s="131">
        <f t="shared" si="7"/>
        <v>45.644538110291535</v>
      </c>
      <c r="J34" s="131">
        <f t="shared" si="8"/>
        <v>129.94999999999999</v>
      </c>
      <c r="K34" s="129">
        <f t="shared" si="3"/>
        <v>129.94999999999999</v>
      </c>
      <c r="L34" s="120"/>
      <c r="N34" s="118"/>
      <c r="R34" s="120"/>
    </row>
    <row r="35" spans="2:19">
      <c r="B35" s="136">
        <f t="shared" si="0"/>
        <v>2041</v>
      </c>
      <c r="C35" s="137"/>
      <c r="D35" s="129">
        <f t="shared" si="5"/>
        <v>89.83</v>
      </c>
      <c r="E35" s="129">
        <f t="shared" si="1"/>
        <v>40.67</v>
      </c>
      <c r="F35" s="129">
        <f t="shared" si="5"/>
        <v>2.16</v>
      </c>
      <c r="G35" s="131">
        <f t="shared" si="6"/>
        <v>46.596417281348785</v>
      </c>
      <c r="H35" s="129">
        <f t="shared" si="2"/>
        <v>0</v>
      </c>
      <c r="I35" s="131">
        <f t="shared" si="7"/>
        <v>46.596417281348785</v>
      </c>
      <c r="J35" s="131">
        <f t="shared" si="8"/>
        <v>132.66</v>
      </c>
      <c r="K35" s="129">
        <f t="shared" si="3"/>
        <v>132.66</v>
      </c>
      <c r="L35" s="120"/>
      <c r="N35" s="118"/>
      <c r="R35" s="120"/>
    </row>
    <row r="36" spans="2:19">
      <c r="B36" s="136">
        <f t="shared" si="0"/>
        <v>2042</v>
      </c>
      <c r="C36" s="137"/>
      <c r="D36" s="129">
        <f t="shared" si="5"/>
        <v>91.72</v>
      </c>
      <c r="E36" s="129">
        <f t="shared" si="1"/>
        <v>41.53</v>
      </c>
      <c r="F36" s="129">
        <f t="shared" si="5"/>
        <v>2.21</v>
      </c>
      <c r="G36" s="131">
        <f t="shared" si="6"/>
        <v>47.579908675799089</v>
      </c>
      <c r="H36" s="129">
        <f t="shared" si="2"/>
        <v>0</v>
      </c>
      <c r="I36" s="131">
        <f t="shared" si="7"/>
        <v>47.579908675799089</v>
      </c>
      <c r="J36" s="131">
        <f t="shared" si="8"/>
        <v>135.46</v>
      </c>
      <c r="K36" s="129">
        <f t="shared" si="3"/>
        <v>135.46</v>
      </c>
      <c r="L36" s="120"/>
      <c r="N36" s="118"/>
      <c r="R36" s="120"/>
    </row>
    <row r="37" spans="2:19">
      <c r="B37" s="136">
        <f t="shared" si="0"/>
        <v>2043</v>
      </c>
      <c r="C37" s="137"/>
      <c r="D37" s="129">
        <f t="shared" si="5"/>
        <v>93.66</v>
      </c>
      <c r="E37" s="129">
        <f t="shared" si="1"/>
        <v>42.41</v>
      </c>
      <c r="F37" s="129">
        <f t="shared" si="5"/>
        <v>2.2599999999999998</v>
      </c>
      <c r="G37" s="131">
        <f t="shared" si="6"/>
        <v>48.587987355110634</v>
      </c>
      <c r="H37" s="129">
        <f t="shared" si="2"/>
        <v>0</v>
      </c>
      <c r="I37" s="131">
        <f t="shared" si="7"/>
        <v>48.587987355110634</v>
      </c>
      <c r="J37" s="131">
        <f t="shared" si="8"/>
        <v>138.33000000000001</v>
      </c>
      <c r="K37" s="129">
        <f t="shared" si="3"/>
        <v>138.32999999999998</v>
      </c>
      <c r="R37" s="120"/>
    </row>
    <row r="38" spans="2:19">
      <c r="B38" s="127"/>
      <c r="C38" s="132"/>
      <c r="D38" s="129"/>
      <c r="E38" s="129"/>
      <c r="F38" s="129"/>
      <c r="G38" s="130"/>
      <c r="H38" s="129"/>
      <c r="I38" s="131"/>
      <c r="J38" s="131"/>
      <c r="K38" s="138"/>
      <c r="R38" s="120"/>
    </row>
    <row r="39" spans="2:19">
      <c r="B39" s="127"/>
      <c r="C39" s="132"/>
      <c r="D39" s="129"/>
      <c r="E39" s="129"/>
      <c r="F39" s="129"/>
      <c r="G39" s="130"/>
      <c r="H39" s="129"/>
      <c r="I39" s="131"/>
      <c r="J39" s="131"/>
      <c r="K39" s="138"/>
      <c r="R39" s="120"/>
    </row>
    <row r="40" spans="2:19">
      <c r="B40" s="127"/>
      <c r="C40" s="132"/>
      <c r="D40" s="129"/>
      <c r="E40" s="129"/>
      <c r="F40" s="129"/>
      <c r="G40" s="130"/>
      <c r="H40" s="129"/>
      <c r="I40" s="129"/>
      <c r="J40" s="131"/>
      <c r="K40" s="131"/>
      <c r="L40" s="138"/>
      <c r="N40" s="118"/>
      <c r="O40" s="162"/>
      <c r="S40" s="120"/>
    </row>
    <row r="41" spans="2:19">
      <c r="N41" s="118"/>
      <c r="O41" s="162"/>
      <c r="S41" s="120"/>
    </row>
    <row r="42" spans="2:19" ht="14.25">
      <c r="B42" s="139" t="s">
        <v>27</v>
      </c>
      <c r="C42" s="140"/>
      <c r="D42" s="140"/>
      <c r="E42" s="140"/>
      <c r="F42" s="140"/>
      <c r="G42" s="140"/>
      <c r="H42" s="140"/>
      <c r="R42" s="120"/>
    </row>
    <row r="44" spans="2:19">
      <c r="B44" s="118" t="s">
        <v>65</v>
      </c>
      <c r="C44" s="141" t="s">
        <v>66</v>
      </c>
      <c r="D44" s="142" t="s">
        <v>105</v>
      </c>
    </row>
    <row r="45" spans="2:19">
      <c r="C45" s="141" t="str">
        <f>C7</f>
        <v>(a)</v>
      </c>
      <c r="D45" s="118" t="s">
        <v>67</v>
      </c>
    </row>
    <row r="46" spans="2:19">
      <c r="C46" s="141" t="str">
        <f>D7</f>
        <v>(b)</v>
      </c>
      <c r="D46" s="131" t="str">
        <f>"= "&amp;C7&amp;" x "&amp;C62</f>
        <v>= (a) x 0.05085</v>
      </c>
    </row>
    <row r="47" spans="2:19">
      <c r="C47" s="141" t="str">
        <f>F7</f>
        <v>(d)</v>
      </c>
      <c r="D47" s="131" t="str">
        <f>"= ("&amp;$D$7&amp;" + "&amp;$E$7&amp;") /  (8.76 x "&amp;TEXT(C63,"0.0%")&amp;")"</f>
        <v>= ((b) + (c)) /  (8.76 x 32.5%)</v>
      </c>
    </row>
    <row r="48" spans="2:19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J7</f>
        <v>(h)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68</v>
      </c>
      <c r="D53" s="147" t="s">
        <v>69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106</v>
      </c>
      <c r="Q54" s="118">
        <v>2024</v>
      </c>
    </row>
    <row r="55" spans="2:25">
      <c r="B55" s="85" t="s">
        <v>104</v>
      </c>
      <c r="C55" s="393">
        <v>1611.5125096665929</v>
      </c>
      <c r="D55" s="118" t="s">
        <v>67</v>
      </c>
      <c r="O55" s="278">
        <v>230.8</v>
      </c>
      <c r="P55" s="118" t="s">
        <v>34</v>
      </c>
      <c r="Q55" s="118" t="s">
        <v>111</v>
      </c>
      <c r="R55" s="118" t="s">
        <v>112</v>
      </c>
      <c r="T55" s="118" t="str">
        <f>$Q$55&amp;"Proposed Station Capital Costs"</f>
        <v>L1.US1_PVSProposed Station Capital Costs</v>
      </c>
    </row>
    <row r="56" spans="2:25">
      <c r="B56" s="85" t="s">
        <v>104</v>
      </c>
      <c r="C56" s="149">
        <v>24.570618817436728</v>
      </c>
      <c r="D56" s="118" t="s">
        <v>70</v>
      </c>
      <c r="R56" s="120"/>
      <c r="T56" s="118" t="str">
        <f>$Q$55&amp;"Proposed Station Fixed Costs"</f>
        <v>L1.US1_PVSProposed Station Fixed Costs</v>
      </c>
    </row>
    <row r="57" spans="2:25" ht="24" customHeight="1">
      <c r="B57" s="85"/>
      <c r="C57" s="154"/>
      <c r="D57" s="118" t="s">
        <v>109</v>
      </c>
      <c r="Q57" s="215" t="str">
        <f>Q55&amp;Q54</f>
        <v>L1.US1_PVS2024</v>
      </c>
      <c r="T57" s="118" t="str">
        <f>$Q$55&amp;"Proposed Station Variable O&amp;M Costs"</f>
        <v>L1.US1_PVSProposed Station Variable O&amp;M Costs</v>
      </c>
    </row>
    <row r="58" spans="2:25">
      <c r="B58" s="85" t="s">
        <v>104</v>
      </c>
      <c r="C58" s="149">
        <v>0</v>
      </c>
      <c r="D58" s="118" t="s">
        <v>71</v>
      </c>
      <c r="K58" s="120"/>
      <c r="L58" s="400"/>
      <c r="M58" s="52"/>
      <c r="N58" s="164"/>
      <c r="O58" s="52"/>
      <c r="P58" s="52"/>
      <c r="Q58" s="120" t="s">
        <v>260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72</v>
      </c>
      <c r="I59" s="394" t="s">
        <v>93</v>
      </c>
      <c r="L59" s="401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58" t="str">
        <f>LEFT(RIGHT(INDEX('Table 3 TransCost'!$39:$39,1,MATCH(F60,'Table 3 TransCost'!$4:$4,0)),6),5)</f>
        <v>2023$</v>
      </c>
      <c r="C60" s="154">
        <f>INDEX('Table 3 TransCost'!$39:$39,1,MATCH(F60,'Table 3 TransCost'!$4:$4,0)+2)</f>
        <v>1.4680258019147514</v>
      </c>
      <c r="D60" s="118" t="s">
        <v>222</v>
      </c>
      <c r="F60" s="118" t="s">
        <v>225</v>
      </c>
      <c r="K60" s="401"/>
      <c r="L60" s="401"/>
      <c r="M60" s="401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2"/>
      <c r="K61" s="401"/>
      <c r="L61" s="401"/>
      <c r="M61" s="401"/>
      <c r="N61" s="165"/>
      <c r="O61" s="401"/>
      <c r="R61" s="120"/>
      <c r="T61" s="120"/>
      <c r="U61" s="120"/>
      <c r="V61" s="120"/>
      <c r="W61" s="120"/>
      <c r="X61" s="120"/>
      <c r="Y61" s="120"/>
    </row>
    <row r="62" spans="2:25">
      <c r="C62" s="395">
        <v>5.0849999999999999E-2</v>
      </c>
      <c r="D62" s="118" t="s">
        <v>38</v>
      </c>
      <c r="E62" s="118" t="s">
        <v>113</v>
      </c>
      <c r="K62" s="288"/>
      <c r="L62" s="157"/>
      <c r="M62" s="157"/>
      <c r="O62" s="158"/>
    </row>
    <row r="63" spans="2:25">
      <c r="C63" s="396">
        <v>0.32500000000000001</v>
      </c>
      <c r="D63" s="118" t="s">
        <v>39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September 30, 2019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1.9145270054670371E-2</v>
      </c>
      <c r="E66" s="85"/>
      <c r="F66" s="87">
        <f>C74+1</f>
        <v>2026</v>
      </c>
      <c r="G66" s="41">
        <v>2.2057111549789621E-2</v>
      </c>
      <c r="H66" s="41"/>
      <c r="I66" s="87">
        <f>F74+1</f>
        <v>2035</v>
      </c>
      <c r="J66" s="41">
        <v>2.0995109139608337E-2</v>
      </c>
    </row>
    <row r="67" spans="3:14">
      <c r="C67" s="87">
        <f t="shared" ref="C67:C74" si="9">C66+1</f>
        <v>2018</v>
      </c>
      <c r="D67" s="41">
        <v>2.3994563767884003E-2</v>
      </c>
      <c r="E67" s="85"/>
      <c r="F67" s="87">
        <f t="shared" ref="F67:F74" si="10">F66+1</f>
        <v>2027</v>
      </c>
      <c r="G67" s="41">
        <v>2.2179175772425452E-2</v>
      </c>
      <c r="H67" s="41"/>
      <c r="I67" s="87">
        <f>I66+1</f>
        <v>2036</v>
      </c>
      <c r="J67" s="41">
        <v>2.0839652371155371E-2</v>
      </c>
    </row>
    <row r="68" spans="3:14">
      <c r="C68" s="87">
        <f t="shared" si="9"/>
        <v>2019</v>
      </c>
      <c r="D68" s="41">
        <v>1.9651346350279875E-2</v>
      </c>
      <c r="E68" s="85"/>
      <c r="F68" s="87">
        <f t="shared" si="10"/>
        <v>2028</v>
      </c>
      <c r="G68" s="41">
        <v>2.2447976887115972E-2</v>
      </c>
      <c r="H68" s="41"/>
      <c r="I68" s="87">
        <f t="shared" ref="I68:I74" si="11">I67+1</f>
        <v>2037</v>
      </c>
      <c r="J68" s="41">
        <v>2.0854082421584375E-2</v>
      </c>
    </row>
    <row r="69" spans="3:14">
      <c r="C69" s="87">
        <f t="shared" si="9"/>
        <v>2020</v>
      </c>
      <c r="D69" s="41">
        <v>2.6147280919121885E-2</v>
      </c>
      <c r="E69" s="85"/>
      <c r="F69" s="87">
        <f t="shared" si="10"/>
        <v>2029</v>
      </c>
      <c r="G69" s="41">
        <v>2.2764957830614385E-2</v>
      </c>
      <c r="H69" s="41"/>
      <c r="I69" s="87">
        <f t="shared" si="11"/>
        <v>2038</v>
      </c>
      <c r="J69" s="41">
        <v>2.0886076981620372E-2</v>
      </c>
    </row>
    <row r="70" spans="3:14">
      <c r="C70" s="87">
        <f t="shared" si="9"/>
        <v>2021</v>
      </c>
      <c r="D70" s="41">
        <v>2.5435997430165225E-2</v>
      </c>
      <c r="E70" s="85"/>
      <c r="F70" s="87">
        <f t="shared" si="10"/>
        <v>2030</v>
      </c>
      <c r="G70" s="41">
        <v>2.2409251338579406E-2</v>
      </c>
      <c r="H70" s="41"/>
      <c r="I70" s="87">
        <f t="shared" si="11"/>
        <v>2039</v>
      </c>
      <c r="J70" s="41">
        <v>2.0755199547329406E-2</v>
      </c>
    </row>
    <row r="71" spans="3:14">
      <c r="C71" s="87">
        <f t="shared" si="9"/>
        <v>2022</v>
      </c>
      <c r="D71" s="41">
        <v>2.5246661572301266E-2</v>
      </c>
      <c r="E71" s="85"/>
      <c r="F71" s="87">
        <f t="shared" si="10"/>
        <v>2031</v>
      </c>
      <c r="G71" s="41">
        <v>2.1876862460861402E-2</v>
      </c>
      <c r="H71" s="41"/>
      <c r="I71" s="87">
        <f t="shared" si="11"/>
        <v>2040</v>
      </c>
      <c r="J71" s="41">
        <v>2.0747934127706591E-2</v>
      </c>
    </row>
    <row r="72" spans="3:14" s="120" customFormat="1">
      <c r="C72" s="87">
        <f t="shared" si="9"/>
        <v>2023</v>
      </c>
      <c r="D72" s="41">
        <v>2.4577195966118071E-2</v>
      </c>
      <c r="E72" s="86"/>
      <c r="F72" s="87">
        <f t="shared" si="10"/>
        <v>2032</v>
      </c>
      <c r="G72" s="41">
        <v>2.1570874084378078E-2</v>
      </c>
      <c r="H72" s="41"/>
      <c r="I72" s="87">
        <f t="shared" si="11"/>
        <v>2041</v>
      </c>
      <c r="J72" s="41">
        <v>2.0871781890604124E-2</v>
      </c>
      <c r="N72" s="165"/>
    </row>
    <row r="73" spans="3:14" s="120" customFormat="1">
      <c r="C73" s="87">
        <f t="shared" si="9"/>
        <v>2024</v>
      </c>
      <c r="D73" s="41">
        <v>2.3256370085936506E-2</v>
      </c>
      <c r="E73" s="86"/>
      <c r="F73" s="87">
        <f t="shared" si="10"/>
        <v>2033</v>
      </c>
      <c r="G73" s="41">
        <v>2.144511122277093E-2</v>
      </c>
      <c r="H73" s="41"/>
      <c r="I73" s="87">
        <f t="shared" si="11"/>
        <v>2042</v>
      </c>
      <c r="J73" s="41">
        <v>2.1078469389761434E-2</v>
      </c>
      <c r="N73" s="165"/>
    </row>
    <row r="74" spans="3:14" s="120" customFormat="1">
      <c r="C74" s="87">
        <f t="shared" si="9"/>
        <v>2025</v>
      </c>
      <c r="D74" s="41">
        <v>2.2304783799234951E-2</v>
      </c>
      <c r="E74" s="86"/>
      <c r="F74" s="87">
        <f t="shared" si="10"/>
        <v>2034</v>
      </c>
      <c r="G74" s="41">
        <v>2.1010014778543251E-2</v>
      </c>
      <c r="H74" s="41"/>
      <c r="I74" s="87">
        <f t="shared" si="11"/>
        <v>2043</v>
      </c>
      <c r="J74" s="41">
        <v>2.1194942793044236E-2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55</vt:i4>
      </vt:variant>
    </vt:vector>
  </HeadingPairs>
  <TitlesOfParts>
    <vt:vector size="74" baseType="lpstr">
      <vt:lpstr>Appendix B.2</vt:lpstr>
      <vt:lpstr>Table 1</vt:lpstr>
      <vt:lpstr>Table 2</vt:lpstr>
      <vt:lpstr>Table 4</vt:lpstr>
      <vt:lpstr>Table 5</vt:lpstr>
      <vt:lpstr>Table3ACsummary</vt:lpstr>
      <vt:lpstr>Table 3 TransCost</vt:lpstr>
      <vt:lpstr>Table 3 WYAE Wind_2024</vt:lpstr>
      <vt:lpstr>Table 3 PV wS UTS_2024</vt:lpstr>
      <vt:lpstr>Table 3 PV wS UTS_2030</vt:lpstr>
      <vt:lpstr>Table 3 PV wS UTN_2024</vt:lpstr>
      <vt:lpstr>Table 3 PV wS JB_2024</vt:lpstr>
      <vt:lpstr>Table 3 PV wS JB_2029</vt:lpstr>
      <vt:lpstr>Table 3 PV wS SO_2024</vt:lpstr>
      <vt:lpstr>Table 3 PV wS YK_2024</vt:lpstr>
      <vt:lpstr>Table 3 185 MW (NTN) 2026)</vt:lpstr>
      <vt:lpstr>Table 3 YK Wind wS_2029</vt:lpstr>
      <vt:lpstr>Table 3 ID Wind_2030</vt:lpstr>
      <vt:lpstr>Table 3 ID Wind wS_2032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B.2'!Print_Area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5'!Print_Titles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2020-01-10T23:14:55Z</dcterms:created>
  <dcterms:modified xsi:type="dcterms:W3CDTF">2020-01-10T23:32:28Z</dcterms:modified>
  <cp:contentStatus/>
</cp:coreProperties>
</file>