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1555" windowHeight="11520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Capacity!$A$1:$H$37</definedName>
    <definedName name="_xlnm.Print_Area" localSheetId="3">Energy!$A$1:$H$37</definedName>
    <definedName name="_xlnm.Print_Area" localSheetId="1">Incremental!$A$1:$H$37</definedName>
    <definedName name="_xlnm.Print_Area" localSheetId="2">Total!$A$1:$H$37</definedName>
    <definedName name="Study_CF">#REF!</definedName>
    <definedName name="Study_MW">#REF!</definedName>
    <definedName name="Study_Name">#REF!</definedName>
  </definedNames>
  <calcPr calcId="152511" calcMode="manual"/>
</workbook>
</file>

<file path=xl/calcChain.xml><?xml version="1.0" encoding="utf-8"?>
<calcChain xmlns="http://schemas.openxmlformats.org/spreadsheetml/2006/main">
  <c r="D27" i="10" l="1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G20" i="12" l="1"/>
  <c r="G19" i="12"/>
  <c r="G18" i="12"/>
  <c r="G17" i="12"/>
  <c r="G16" i="12"/>
  <c r="G15" i="12"/>
  <c r="G14" i="12"/>
  <c r="G13" i="12"/>
  <c r="G12" i="12"/>
  <c r="G11" i="12"/>
  <c r="B42" i="5" l="1"/>
  <c r="C27" i="12" l="1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B37" i="5" l="1"/>
  <c r="B44" i="5"/>
  <c r="B42" i="10"/>
  <c r="B34" i="10" s="1"/>
  <c r="B35" i="12"/>
  <c r="B42" i="12"/>
  <c r="B39" i="10"/>
  <c r="B35" i="10"/>
  <c r="G7" i="12" l="1"/>
  <c r="F7" i="12"/>
  <c r="E7" i="12"/>
  <c r="D7" i="12"/>
  <c r="G7" i="5" l="1"/>
  <c r="F7" i="6" l="1"/>
  <c r="C8" i="14" s="1"/>
  <c r="E7" i="6" l="1"/>
  <c r="F7" i="5"/>
  <c r="C7" i="14" l="1"/>
  <c r="B10" i="10"/>
  <c r="B3" i="10"/>
  <c r="B1" i="10"/>
  <c r="C10" i="10" l="1"/>
  <c r="D8" i="10"/>
  <c r="C7" i="6" l="1"/>
  <c r="C5" i="14" l="1"/>
  <c r="C6" i="14"/>
  <c r="G8" i="10"/>
  <c r="B4" i="10"/>
  <c r="B11" i="10" l="1"/>
  <c r="C11" i="10" l="1"/>
  <c r="F11" i="10" s="1"/>
  <c r="B12" i="10"/>
  <c r="F10" i="10"/>
  <c r="C12" i="10" l="1"/>
  <c r="F12" i="10" s="1"/>
  <c r="B13" i="10"/>
  <c r="C13" i="10" l="1"/>
  <c r="F13" i="10" s="1"/>
  <c r="B14" i="10"/>
  <c r="C14" i="10" l="1"/>
  <c r="F14" i="10" s="1"/>
  <c r="B15" i="10"/>
  <c r="C15" i="10" l="1"/>
  <c r="F15" i="10" s="1"/>
  <c r="B16" i="10"/>
  <c r="C16" i="10" l="1"/>
  <c r="F16" i="10" s="1"/>
  <c r="B17" i="10"/>
  <c r="C17" i="10" l="1"/>
  <c r="F17" i="10" s="1"/>
  <c r="B18" i="10"/>
  <c r="C18" i="10" l="1"/>
  <c r="F18" i="10" s="1"/>
  <c r="B19" i="10"/>
  <c r="C19" i="10" l="1"/>
  <c r="F19" i="10" s="1"/>
  <c r="B20" i="10"/>
  <c r="C20" i="10" l="1"/>
  <c r="F20" i="10" s="1"/>
  <c r="B21" i="10"/>
  <c r="C21" i="10" l="1"/>
  <c r="F21" i="10" s="1"/>
  <c r="B22" i="10"/>
  <c r="C22" i="10" l="1"/>
  <c r="F22" i="10" s="1"/>
  <c r="B23" i="10"/>
  <c r="C23" i="10" l="1"/>
  <c r="F23" i="10" s="1"/>
  <c r="B24" i="10"/>
  <c r="C24" i="10" l="1"/>
  <c r="F24" i="10" s="1"/>
  <c r="B25" i="10"/>
  <c r="B30" i="10" l="1"/>
  <c r="C25" i="10"/>
  <c r="F25" i="10" s="1"/>
  <c r="B26" i="10"/>
  <c r="B31" i="10" l="1"/>
  <c r="C26" i="10"/>
  <c r="F26" i="10"/>
  <c r="B27" i="10"/>
  <c r="B32" i="10" l="1"/>
  <c r="C27" i="10"/>
  <c r="F27" i="10" s="1"/>
  <c r="C7" i="12" l="1"/>
  <c r="C8" i="5" l="1"/>
  <c r="E7" i="5"/>
  <c r="C7" i="5"/>
  <c r="B1" i="12" l="1"/>
  <c r="B3" i="12"/>
  <c r="B10" i="12"/>
  <c r="C10" i="12" s="1"/>
  <c r="B34" i="12"/>
  <c r="C10" i="5" l="1"/>
  <c r="B11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 l="1"/>
  <c r="B26" i="12"/>
  <c r="C24" i="5"/>
  <c r="B31" i="12" l="1"/>
  <c r="B27" i="12"/>
  <c r="C25" i="5"/>
  <c r="B34" i="6"/>
  <c r="B32" i="12" l="1"/>
  <c r="C26" i="5"/>
  <c r="D7" i="5"/>
  <c r="C27" i="5" l="1"/>
  <c r="B10" i="6" l="1"/>
  <c r="B11" i="5"/>
  <c r="B3" i="6"/>
  <c r="B1" i="6"/>
  <c r="B11" i="6" l="1"/>
  <c r="B12" i="5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27" i="6"/>
  <c r="B32" i="6" s="1"/>
  <c r="H3" i="14" s="1"/>
  <c r="B16" i="5"/>
  <c r="B17" i="5" l="1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C8" i="10" l="1"/>
  <c r="F8" i="10" s="1"/>
  <c r="B39" i="5" l="1"/>
  <c r="B36" i="5" s="1"/>
  <c r="B39" i="12" l="1"/>
  <c r="B36" i="6" l="1"/>
  <c r="B36" i="12"/>
  <c r="B40" i="5" l="1"/>
  <c r="C30" i="5" l="1"/>
  <c r="D4" i="14" s="1"/>
  <c r="C31" i="5"/>
  <c r="C32" i="5"/>
  <c r="H4" i="14" s="1"/>
  <c r="B40" i="10"/>
  <c r="B29" i="5"/>
  <c r="B29" i="6" s="1"/>
  <c r="C2" i="14" s="1"/>
  <c r="B40" i="12"/>
  <c r="B29" i="12" s="1"/>
  <c r="B41" i="6"/>
  <c r="C31" i="10" l="1"/>
  <c r="F32" i="10"/>
  <c r="C30" i="10"/>
  <c r="F31" i="10"/>
  <c r="F30" i="10"/>
  <c r="C32" i="10"/>
  <c r="C30" i="12"/>
  <c r="C31" i="12"/>
  <c r="C32" i="12"/>
  <c r="F4" i="14"/>
  <c r="B29" i="10"/>
  <c r="G16" i="10" l="1"/>
  <c r="G14" i="10"/>
  <c r="G27" i="10"/>
  <c r="G26" i="10"/>
  <c r="D10" i="10"/>
  <c r="G25" i="10"/>
  <c r="G21" i="10"/>
  <c r="G19" i="10"/>
  <c r="G23" i="10"/>
  <c r="G22" i="10"/>
  <c r="G20" i="10"/>
  <c r="G17" i="10"/>
  <c r="G24" i="10"/>
  <c r="G15" i="10"/>
  <c r="G18" i="10"/>
  <c r="G11" i="10" l="1"/>
  <c r="D30" i="10"/>
  <c r="G12" i="10"/>
  <c r="D31" i="10"/>
  <c r="G13" i="10"/>
  <c r="G32" i="10" s="1"/>
  <c r="D32" i="10"/>
  <c r="G10" i="10"/>
  <c r="G31" i="10" l="1"/>
  <c r="G30" i="10"/>
  <c r="I6" i="14" l="1"/>
  <c r="G6" i="14" l="1"/>
  <c r="E6" i="14"/>
  <c r="G20" i="5" l="1"/>
  <c r="G18" i="5" l="1"/>
  <c r="G19" i="5"/>
  <c r="G17" i="5"/>
  <c r="G13" i="5"/>
  <c r="G15" i="5"/>
  <c r="G14" i="5"/>
  <c r="G16" i="5"/>
  <c r="G12" i="5"/>
  <c r="G11" i="5"/>
  <c r="G21" i="12" l="1"/>
  <c r="G21" i="5" l="1"/>
  <c r="G22" i="12"/>
  <c r="G22" i="5" s="1"/>
  <c r="G23" i="12" l="1"/>
  <c r="G23" i="5" s="1"/>
  <c r="G24" i="12" l="1"/>
  <c r="G24" i="5" s="1"/>
  <c r="G25" i="12" l="1"/>
  <c r="G25" i="5" s="1"/>
  <c r="G30" i="5" s="1"/>
  <c r="D9" i="14" s="1"/>
  <c r="G30" i="12" l="1"/>
  <c r="G26" i="12"/>
  <c r="G26" i="5" s="1"/>
  <c r="G31" i="5" s="1"/>
  <c r="F9" i="14" s="1"/>
  <c r="G31" i="12" l="1"/>
  <c r="G27" i="12"/>
  <c r="G27" i="5" l="1"/>
  <c r="G32" i="5" s="1"/>
  <c r="H9" i="14" s="1"/>
  <c r="G32" i="12"/>
  <c r="D21" i="12" l="1"/>
  <c r="D21" i="5" l="1"/>
  <c r="C21" i="6" s="1"/>
  <c r="D27" i="12"/>
  <c r="D25" i="12"/>
  <c r="D26" i="12"/>
  <c r="D27" i="5" l="1"/>
  <c r="C27" i="6" s="1"/>
  <c r="D25" i="5"/>
  <c r="C25" i="6" s="1"/>
  <c r="D26" i="5"/>
  <c r="C26" i="6" s="1"/>
  <c r="D24" i="12"/>
  <c r="D22" i="12"/>
  <c r="D23" i="12"/>
  <c r="D23" i="5" l="1"/>
  <c r="C23" i="6" s="1"/>
  <c r="D22" i="5"/>
  <c r="C22" i="6" s="1"/>
  <c r="D24" i="5"/>
  <c r="C24" i="6" s="1"/>
  <c r="D20" i="12"/>
  <c r="D20" i="5" l="1"/>
  <c r="C20" i="6" s="1"/>
  <c r="D10" i="12" l="1"/>
  <c r="D10" i="5" l="1"/>
  <c r="C10" i="6" s="1"/>
  <c r="D18" i="12"/>
  <c r="D14" i="12"/>
  <c r="D13" i="12"/>
  <c r="D16" i="12"/>
  <c r="D19" i="12"/>
  <c r="D15" i="12"/>
  <c r="D17" i="12"/>
  <c r="D11" i="12"/>
  <c r="D12" i="12"/>
  <c r="D11" i="5" l="1"/>
  <c r="D30" i="12"/>
  <c r="D14" i="5"/>
  <c r="C14" i="6" s="1"/>
  <c r="D12" i="5"/>
  <c r="D31" i="12"/>
  <c r="D19" i="5"/>
  <c r="C19" i="6" s="1"/>
  <c r="D18" i="5"/>
  <c r="C18" i="6" s="1"/>
  <c r="D15" i="5"/>
  <c r="C15" i="6" s="1"/>
  <c r="D16" i="5"/>
  <c r="C16" i="6" s="1"/>
  <c r="D17" i="5"/>
  <c r="C17" i="6" s="1"/>
  <c r="D13" i="5"/>
  <c r="D32" i="12"/>
  <c r="C13" i="6" l="1"/>
  <c r="D32" i="5"/>
  <c r="C32" i="6" s="1"/>
  <c r="C12" i="6"/>
  <c r="D31" i="5"/>
  <c r="C31" i="6" s="1"/>
  <c r="C11" i="6"/>
  <c r="D30" i="5"/>
  <c r="C30" i="6" s="1"/>
  <c r="G5" i="14" l="1"/>
  <c r="E5" i="14"/>
  <c r="I5" i="14"/>
  <c r="E10" i="12" l="1"/>
  <c r="E10" i="5" l="1"/>
  <c r="F20" i="12" l="1"/>
  <c r="F20" i="5" s="1"/>
  <c r="E20" i="6" l="1"/>
  <c r="F20" i="6"/>
  <c r="G20" i="6" s="1"/>
  <c r="F12" i="12" l="1"/>
  <c r="F11" i="12"/>
  <c r="F10" i="12"/>
  <c r="F13" i="12"/>
  <c r="F11" i="5" l="1"/>
  <c r="F13" i="5"/>
  <c r="F10" i="5"/>
  <c r="E10" i="6" s="1"/>
  <c r="G10" i="12"/>
  <c r="G10" i="5" s="1"/>
  <c r="F12" i="5"/>
  <c r="F14" i="12"/>
  <c r="F14" i="5" s="1"/>
  <c r="F19" i="12"/>
  <c r="F19" i="5" s="1"/>
  <c r="F18" i="12"/>
  <c r="F18" i="5" s="1"/>
  <c r="F16" i="12"/>
  <c r="F16" i="5" s="1"/>
  <c r="F15" i="12"/>
  <c r="F15" i="5" s="1"/>
  <c r="F17" i="12"/>
  <c r="F17" i="5" s="1"/>
  <c r="F10" i="6" l="1"/>
  <c r="G10" i="6" s="1"/>
  <c r="E14" i="6"/>
  <c r="F14" i="6"/>
  <c r="G14" i="6" s="1"/>
  <c r="E12" i="6"/>
  <c r="F12" i="6"/>
  <c r="E13" i="6"/>
  <c r="F13" i="6"/>
  <c r="E15" i="6"/>
  <c r="F15" i="6"/>
  <c r="E19" i="6"/>
  <c r="F19" i="6"/>
  <c r="G19" i="6" s="1"/>
  <c r="E17" i="6"/>
  <c r="F17" i="6"/>
  <c r="E18" i="6"/>
  <c r="F18" i="6"/>
  <c r="G18" i="6" s="1"/>
  <c r="E16" i="6"/>
  <c r="F16" i="6"/>
  <c r="E11" i="6"/>
  <c r="F11" i="6"/>
  <c r="G11" i="6" s="1"/>
  <c r="G17" i="6" l="1"/>
  <c r="G15" i="6"/>
  <c r="G12" i="6"/>
  <c r="G16" i="6"/>
  <c r="G13" i="6"/>
  <c r="F26" i="12" l="1"/>
  <c r="F26" i="5" s="1"/>
  <c r="F24" i="12"/>
  <c r="F24" i="5" s="1"/>
  <c r="F27" i="12"/>
  <c r="F27" i="5" s="1"/>
  <c r="F22" i="12"/>
  <c r="F22" i="5" s="1"/>
  <c r="F23" i="12"/>
  <c r="F23" i="5" s="1"/>
  <c r="F25" i="12"/>
  <c r="F25" i="5" s="1"/>
  <c r="E24" i="6" l="1"/>
  <c r="F24" i="6"/>
  <c r="E22" i="6"/>
  <c r="F22" i="6"/>
  <c r="E27" i="6"/>
  <c r="F27" i="6"/>
  <c r="E25" i="6"/>
  <c r="F25" i="6"/>
  <c r="E23" i="6"/>
  <c r="F23" i="6"/>
  <c r="E26" i="6"/>
  <c r="F26" i="6"/>
  <c r="G26" i="6" l="1"/>
  <c r="G23" i="6"/>
  <c r="G27" i="6"/>
  <c r="G24" i="6"/>
  <c r="G25" i="6"/>
  <c r="G22" i="6"/>
  <c r="F21" i="12"/>
  <c r="F21" i="5" l="1"/>
  <c r="F30" i="12"/>
  <c r="F32" i="12"/>
  <c r="F31" i="12"/>
  <c r="E21" i="6" l="1"/>
  <c r="F21" i="6"/>
  <c r="F32" i="5"/>
  <c r="F30" i="5"/>
  <c r="F31" i="5"/>
  <c r="G21" i="6" l="1"/>
  <c r="E30" i="6"/>
  <c r="F30" i="6"/>
  <c r="E8" i="14" s="1"/>
  <c r="E32" i="6"/>
  <c r="F32" i="6"/>
  <c r="I8" i="14" s="1"/>
  <c r="E31" i="6"/>
  <c r="F31" i="6"/>
  <c r="G8" i="14" s="1"/>
  <c r="I7" i="14" l="1"/>
  <c r="G32" i="6"/>
  <c r="I32" i="6" s="1"/>
  <c r="G7" i="14"/>
  <c r="G31" i="6"/>
  <c r="I31" i="6" s="1"/>
  <c r="E7" i="14"/>
  <c r="G30" i="6"/>
  <c r="I30" i="6" s="1"/>
</calcChain>
</file>

<file path=xl/sharedStrings.xml><?xml version="1.0" encoding="utf-8"?>
<sst xmlns="http://schemas.openxmlformats.org/spreadsheetml/2006/main" count="30" uniqueCount="23">
  <si>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</si>
  <si>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</si>
  <si>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</si>
  <si>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</si>
  <si>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</si>
  <si>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</si>
  <si>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</si>
  <si>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</si>
  <si>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</si>
  <si>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</si>
  <si>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</si>
  <si>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</si>
  <si>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</si>
  <si>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</si>
  <si>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</si>
  <si>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</si>
  <si>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</si>
  <si>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2019.Q2</t>
  </si>
  <si>
    <t>2019.Q2 As Filed</t>
  </si>
  <si>
    <t>(3)   No Capacity costs - No deferrable thermal resources</t>
  </si>
  <si>
    <t>Capacity Factor</t>
  </si>
  <si>
    <t>2019.Q3</t>
  </si>
  <si>
    <t>2019.Q3 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</si>
</sst>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3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165" fontId="4" fillId="0" borderId="10" xfId="4" applyFont="1" applyBorder="1"/>
    <xf numFmtId="0" fontId="3" fillId="0" borderId="9" xfId="4" applyNumberFormat="1" applyFont="1" applyBorder="1" applyAlignment="1">
      <alignment horizontal="center"/>
    </xf>
    <xf numFmtId="8" fontId="4" fillId="0" borderId="10" xfId="4" applyNumberFormat="1" applyFont="1" applyFill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3" fillId="0" borderId="12" xfId="4" quotePrefix="1" applyFont="1" applyBorder="1" applyAlignment="1">
      <alignment horizontal="center"/>
    </xf>
    <xf numFmtId="165" fontId="3" fillId="0" borderId="11" xfId="4" applyFont="1" applyBorder="1" applyAlignment="1">
      <alignment horizontal="center"/>
    </xf>
    <xf numFmtId="165" fontId="4" fillId="0" borderId="13" xfId="4" applyFont="1" applyBorder="1"/>
    <xf numFmtId="8" fontId="4" fillId="0" borderId="13" xfId="4" applyNumberFormat="1" applyFont="1" applyFill="1" applyBorder="1" applyAlignment="1">
      <alignment horizontal="center"/>
    </xf>
    <xf numFmtId="8" fontId="4" fillId="0" borderId="1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tepStudy%20wQ%20201909%20OFPC\_UT%202019.Q3%20-%20Step%20Study%20_2020%2001%2008%20(Detailed)%2060%25P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Source%20Files\_All%20Data%20Series%20Files_2019%2010%2008%20(201909%20OFPC)\GNw_Market%20Price%20Index%20(1909)%20CON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enarios\016.5%20-%20UT%20Sch%2038%202019Q1%20-%201---%20Avoided%20Cost%20Study%20_2019%2004%2024%20T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16%20-%20UT%20Compliance%20Filing%20-%20UT%20-%202019%20May\Scenarios\016.5%20-%20UT%20Sch%2038%202019Q1-%201a%20-%20GRID%20AC%20Study%20CONF%20_2019%2004%2024%20Th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\Scenarios\053%20-%20UT%20Sch%2038%202019Q2-%201a%20-%20GRID%20AC%20Study%20CONF%20_2019%2008%2022%20Th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53%20-%20UT%20Compliance%20-%20UT%20-%202019%20Aug\Scenarios\053%20-%20UT%20Sch%2038%202019Q2-%201b%20-%20GRID%20AC%20Study%20CONF%20_2019%2008%2022%20Th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Source%20Files\_All%20Data%20Series%20Files_2019%2007%2001%20(201906%20OFPC)\GNw_Market%20Price%20Index%20(1906)%20CON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053%20-%20UT%20Compliance%20-%20UT%20-%202019%20Aug%20(2019%20IRP)\Scenarios\053%20-%20UT%20Sch%2038%202019Q2%20-%201%20---%20Avoided%20Cost%20Study%20_2019%2008%2022%20T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1%20-%20UT%202019.Q3%20-%20AC%20Study%20NON-CONF%20Thermal%2060pct%20P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remental"/>
      <sheetName val="Total"/>
      <sheetName val="Energy"/>
      <sheetName val="Capacity"/>
    </sheetNames>
    <sheetDataSet>
      <sheetData sheetId="0">
        <row r="7">
          <cell r="O7" t="str">
            <v>OFPC</v>
          </cell>
          <cell r="P7" t="str">
            <v>Generic</v>
          </cell>
          <cell r="Q7" t="str">
            <v>Queue</v>
          </cell>
          <cell r="R7" t="str">
            <v>IRP19</v>
          </cell>
        </row>
        <row r="10">
          <cell r="O10">
            <v>-3.08</v>
          </cell>
          <cell r="P10">
            <v>0</v>
          </cell>
          <cell r="Q10">
            <v>-3.1859999999999999</v>
          </cell>
          <cell r="R10">
            <v>21.562999999999999</v>
          </cell>
        </row>
        <row r="11">
          <cell r="O11">
            <v>-2.3620000000000001</v>
          </cell>
          <cell r="Q11">
            <v>-0.23</v>
          </cell>
        </row>
        <row r="12">
          <cell r="O12">
            <v>-1.776</v>
          </cell>
          <cell r="Q12">
            <v>-0.33100000000000002</v>
          </cell>
        </row>
        <row r="13">
          <cell r="O13">
            <v>-1.903</v>
          </cell>
          <cell r="Q13">
            <v>-0.34</v>
          </cell>
        </row>
        <row r="14">
          <cell r="O14">
            <v>-1.34</v>
          </cell>
          <cell r="Q14">
            <v>-0.20699999999999999</v>
          </cell>
        </row>
        <row r="15">
          <cell r="O15">
            <v>-1.7110000000000001</v>
          </cell>
          <cell r="Q15">
            <v>-0.39100000000000001</v>
          </cell>
        </row>
        <row r="16">
          <cell r="O16">
            <v>-2.9750000000000001</v>
          </cell>
          <cell r="Q16">
            <v>-0.76</v>
          </cell>
        </row>
        <row r="17">
          <cell r="O17">
            <v>-7.5449999999999999</v>
          </cell>
          <cell r="Q17">
            <v>-0.14599999999999999</v>
          </cell>
        </row>
        <row r="18">
          <cell r="O18">
            <v>-2.5249999999999999</v>
          </cell>
          <cell r="Q18">
            <v>-0.29699999999999999</v>
          </cell>
        </row>
        <row r="19">
          <cell r="O19">
            <v>-5.6159999999999997</v>
          </cell>
          <cell r="Q19">
            <v>-0.69799999999999995</v>
          </cell>
        </row>
        <row r="20">
          <cell r="O20">
            <v>-1.9930000000000001</v>
          </cell>
          <cell r="Q20">
            <v>-0.58399999999999996</v>
          </cell>
        </row>
        <row r="21">
          <cell r="O21">
            <v>-0.873</v>
          </cell>
          <cell r="Q21">
            <v>-0.505</v>
          </cell>
        </row>
        <row r="22">
          <cell r="O22">
            <v>-1.5069999999999999</v>
          </cell>
          <cell r="Q22">
            <v>-0.76700000000000002</v>
          </cell>
        </row>
        <row r="23">
          <cell r="O23">
            <v>-1.6359999999999999</v>
          </cell>
          <cell r="Q23">
            <v>-0.58199999999999996</v>
          </cell>
        </row>
        <row r="24">
          <cell r="O24">
            <v>-2.677</v>
          </cell>
          <cell r="Q24">
            <v>-0.25800000000000001</v>
          </cell>
        </row>
        <row r="25">
          <cell r="O25">
            <v>-2.8660000000000001</v>
          </cell>
          <cell r="Q25">
            <v>-0.40899999999999997</v>
          </cell>
        </row>
        <row r="26">
          <cell r="O26">
            <v>-4.0890000000000004</v>
          </cell>
          <cell r="Q26">
            <v>-0.21099999999999999</v>
          </cell>
        </row>
        <row r="27">
          <cell r="O27">
            <v>-4.5960000000000001</v>
          </cell>
          <cell r="Q27">
            <v>-0.252</v>
          </cell>
        </row>
        <row r="39">
          <cell r="B39" t="str">
            <v>Discount Rate - 2019 IRP Update</v>
          </cell>
        </row>
        <row r="40">
          <cell r="B40">
            <v>6.9199999999999998E-2</v>
          </cell>
        </row>
      </sheetData>
      <sheetData sheetId="1">
        <row r="1">
          <cell r="B1" t="str">
            <v>Appendix C</v>
          </cell>
        </row>
        <row r="3">
          <cell r="B3" t="str">
            <v>Utah Quarterly Compliance Filing</v>
          </cell>
        </row>
        <row r="10">
          <cell r="B10">
            <v>2019</v>
          </cell>
        </row>
        <row r="35">
          <cell r="B35" t="str">
            <v>(3)   Discount Rate - 2019 IRP Update</v>
          </cell>
        </row>
      </sheetData>
      <sheetData sheetId="2">
        <row r="7">
          <cell r="C7" t="str">
            <v>2019.Q2</v>
          </cell>
        </row>
        <row r="11">
          <cell r="K11">
            <v>15.038</v>
          </cell>
        </row>
        <row r="12">
          <cell r="K12">
            <v>15.178000000000001</v>
          </cell>
        </row>
        <row r="13">
          <cell r="K13">
            <v>13.781000000000001</v>
          </cell>
        </row>
        <row r="14">
          <cell r="K14">
            <v>13.948</v>
          </cell>
        </row>
        <row r="15">
          <cell r="K15">
            <v>9.6280000000000001</v>
          </cell>
        </row>
        <row r="16">
          <cell r="K16">
            <v>10.646000000000001</v>
          </cell>
        </row>
        <row r="17">
          <cell r="K17">
            <v>14.166</v>
          </cell>
        </row>
        <row r="18">
          <cell r="K18">
            <v>13.465999999999999</v>
          </cell>
        </row>
        <row r="19">
          <cell r="K19">
            <v>20.126000000000001</v>
          </cell>
        </row>
        <row r="20">
          <cell r="K20">
            <v>23.849</v>
          </cell>
        </row>
        <row r="21">
          <cell r="K21">
            <v>22.382000000000001</v>
          </cell>
        </row>
        <row r="22">
          <cell r="K22">
            <v>23.728000000000002</v>
          </cell>
        </row>
        <row r="23">
          <cell r="K23">
            <v>28.844000000000001</v>
          </cell>
        </row>
        <row r="24">
          <cell r="K24">
            <v>29.866</v>
          </cell>
        </row>
        <row r="25">
          <cell r="K25">
            <v>31.100999999999999</v>
          </cell>
        </row>
        <row r="26">
          <cell r="K26">
            <v>32.954000000000001</v>
          </cell>
        </row>
        <row r="27">
          <cell r="K27">
            <v>35.128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GNw_Market Price Index (1909) C"/>
    </sheetNames>
    <sheetDataSet>
      <sheetData sheetId="0"/>
      <sheetData sheetId="1">
        <row r="1">
          <cell r="N1" t="str">
            <v>GNw_Market Price Index (1909) CONF</v>
          </cell>
        </row>
      </sheetData>
      <sheetData sheetId="2">
        <row r="2">
          <cell r="F2" t="str">
            <v>OFPC Dated</v>
          </cell>
          <cell r="G2">
            <v>43738</v>
          </cell>
        </row>
      </sheetData>
      <sheetData sheetId="3">
        <row r="4">
          <cell r="O4">
            <v>0.89639999999999997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definedNames>
      <definedName name="Study_CF" refersTo="='Table 5'!$M$7" sheetId="1"/>
    </definedNames>
    <sheetDataSet>
      <sheetData sheetId="0"/>
      <sheetData sheetId="1">
        <row r="13">
          <cell r="B13">
            <v>2019</v>
          </cell>
          <cell r="C13">
            <v>0</v>
          </cell>
        </row>
        <row r="14">
          <cell r="B14">
            <v>2020</v>
          </cell>
          <cell r="C14">
            <v>0</v>
          </cell>
        </row>
        <row r="15">
          <cell r="B15">
            <v>2021</v>
          </cell>
          <cell r="C15">
            <v>0</v>
          </cell>
        </row>
        <row r="16">
          <cell r="B16">
            <v>2022</v>
          </cell>
          <cell r="C16">
            <v>0</v>
          </cell>
        </row>
        <row r="17">
          <cell r="B17">
            <v>2023</v>
          </cell>
          <cell r="C17">
            <v>0</v>
          </cell>
        </row>
        <row r="18">
          <cell r="B18">
            <v>2024</v>
          </cell>
          <cell r="C18">
            <v>0</v>
          </cell>
        </row>
        <row r="19">
          <cell r="B19">
            <v>2025</v>
          </cell>
          <cell r="C19">
            <v>0</v>
          </cell>
        </row>
        <row r="20">
          <cell r="B20">
            <v>2026</v>
          </cell>
          <cell r="C20">
            <v>0</v>
          </cell>
        </row>
        <row r="21">
          <cell r="B21">
            <v>2027</v>
          </cell>
          <cell r="C21">
            <v>0</v>
          </cell>
        </row>
        <row r="22">
          <cell r="B22">
            <v>2028</v>
          </cell>
          <cell r="C22">
            <v>0</v>
          </cell>
        </row>
        <row r="23">
          <cell r="B23">
            <v>2029</v>
          </cell>
          <cell r="C23">
            <v>0</v>
          </cell>
        </row>
        <row r="24">
          <cell r="B24">
            <v>2030</v>
          </cell>
          <cell r="C24">
            <v>0</v>
          </cell>
        </row>
        <row r="25">
          <cell r="B25">
            <v>2031</v>
          </cell>
          <cell r="C25">
            <v>0</v>
          </cell>
        </row>
        <row r="26">
          <cell r="B26">
            <v>2032</v>
          </cell>
          <cell r="C26">
            <v>0</v>
          </cell>
        </row>
        <row r="27">
          <cell r="B27">
            <v>2033</v>
          </cell>
          <cell r="C27">
            <v>0</v>
          </cell>
        </row>
        <row r="28">
          <cell r="B28">
            <v>2034</v>
          </cell>
          <cell r="C28">
            <v>0</v>
          </cell>
        </row>
        <row r="29">
          <cell r="B29">
            <v>2035</v>
          </cell>
          <cell r="C29">
            <v>0</v>
          </cell>
        </row>
        <row r="30">
          <cell r="B30">
            <v>2036</v>
          </cell>
          <cell r="C30">
            <v>0</v>
          </cell>
        </row>
        <row r="31">
          <cell r="B31">
            <v>2037</v>
          </cell>
          <cell r="C31">
            <v>0</v>
          </cell>
        </row>
        <row r="32">
          <cell r="B32">
            <v>2038</v>
          </cell>
          <cell r="C32">
            <v>0</v>
          </cell>
        </row>
        <row r="33">
          <cell r="B33">
            <v>2039</v>
          </cell>
          <cell r="C33">
            <v>0</v>
          </cell>
        </row>
        <row r="34">
          <cell r="B34">
            <v>2040</v>
          </cell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2"/>
      <sheetData sheetId="3"/>
      <sheetData sheetId="4">
        <row r="7">
          <cell r="M7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Table 1"/>
    </sheetNames>
    <sheetDataSet>
      <sheetData sheetId="0"/>
      <sheetData sheetId="1"/>
      <sheetData sheetId="2">
        <row r="5">
          <cell r="C5">
            <v>2019</v>
          </cell>
          <cell r="D5">
            <v>2020</v>
          </cell>
          <cell r="E5">
            <v>2021</v>
          </cell>
          <cell r="F5">
            <v>2022</v>
          </cell>
          <cell r="G5">
            <v>2023</v>
          </cell>
          <cell r="H5">
            <v>2024</v>
          </cell>
          <cell r="I5">
            <v>2025</v>
          </cell>
          <cell r="J5">
            <v>2026</v>
          </cell>
          <cell r="K5">
            <v>2027</v>
          </cell>
          <cell r="L5">
            <v>2028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4028189.1752354503</v>
          </cell>
          <cell r="D7">
            <v>1782787.6167584658</v>
          </cell>
          <cell r="E7">
            <v>262031.40131008625</v>
          </cell>
          <cell r="F7">
            <v>2213512.5811708272</v>
          </cell>
          <cell r="G7">
            <v>1965899.6790460646</v>
          </cell>
          <cell r="H7">
            <v>1446101.7159748375</v>
          </cell>
          <cell r="I7">
            <v>1573782.476621747</v>
          </cell>
          <cell r="J7">
            <v>1404861.2261835635</v>
          </cell>
          <cell r="K7">
            <v>1527934.4663331211</v>
          </cell>
          <cell r="L7">
            <v>991016.38908839226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-3451602.5</v>
          </cell>
          <cell r="D9">
            <v>-2844483</v>
          </cell>
          <cell r="E9">
            <v>-3026628.9299999997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-3412846.5</v>
          </cell>
        </row>
        <row r="10">
          <cell r="C10">
            <v>0</v>
          </cell>
          <cell r="D10">
            <v>0</v>
          </cell>
          <cell r="E10">
            <v>-308.13257830217481</v>
          </cell>
          <cell r="F10">
            <v>-137997.27538203076</v>
          </cell>
          <cell r="G10">
            <v>824.02210928499699</v>
          </cell>
          <cell r="H10">
            <v>-113.16642877459526</v>
          </cell>
          <cell r="I10">
            <v>11163.320558346808</v>
          </cell>
          <cell r="J10">
            <v>-3.4254730120301247</v>
          </cell>
          <cell r="K10">
            <v>-276.86064598709345</v>
          </cell>
          <cell r="L10">
            <v>-9954.4028930366039</v>
          </cell>
        </row>
        <row r="11">
          <cell r="C11">
            <v>-6372759.9968801737</v>
          </cell>
          <cell r="D11">
            <v>-4273256.8618299961</v>
          </cell>
          <cell r="E11">
            <v>-2071855.8409600258</v>
          </cell>
          <cell r="F11">
            <v>-6369410.7652100325</v>
          </cell>
          <cell r="G11">
            <v>-6759457.3779131174</v>
          </cell>
          <cell r="H11">
            <v>-8923429.9166499376</v>
          </cell>
          <cell r="I11">
            <v>-8515382.1674599648</v>
          </cell>
          <cell r="J11">
            <v>-9465299.7293000221</v>
          </cell>
          <cell r="K11">
            <v>-9116374.7133102417</v>
          </cell>
          <cell r="L11">
            <v>-10281966.997869968</v>
          </cell>
        </row>
        <row r="12">
          <cell r="C12">
            <v>-1490.9265599995852</v>
          </cell>
          <cell r="D12">
            <v>-573.09578999876976</v>
          </cell>
          <cell r="E12">
            <v>-351.1134399920702</v>
          </cell>
          <cell r="F12">
            <v>-1664.6166999936104</v>
          </cell>
          <cell r="G12">
            <v>-522.30099999904633</v>
          </cell>
          <cell r="H12">
            <v>-615.20499999821186</v>
          </cell>
          <cell r="I12">
            <v>-672.8369999974966</v>
          </cell>
          <cell r="J12">
            <v>-586.90699999034405</v>
          </cell>
          <cell r="K12">
            <v>-793.98100000619888</v>
          </cell>
          <cell r="L12">
            <v>-646.11100000143051</v>
          </cell>
        </row>
        <row r="13">
          <cell r="C13">
            <v>-5766024.6469941139</v>
          </cell>
          <cell r="D13">
            <v>-6814686.951540947</v>
          </cell>
          <cell r="E13">
            <v>-6873652.2753577232</v>
          </cell>
          <cell r="F13">
            <v>-5081067.166408658</v>
          </cell>
          <cell r="G13">
            <v>-5082139.7006869316</v>
          </cell>
          <cell r="H13">
            <v>-7560191.3205571175</v>
          </cell>
          <cell r="I13">
            <v>-8591950.5481247902</v>
          </cell>
          <cell r="J13">
            <v>-9384191.3048944473</v>
          </cell>
          <cell r="K13">
            <v>-9166265.0058002472</v>
          </cell>
          <cell r="L13">
            <v>-8758031.2504389286</v>
          </cell>
        </row>
        <row r="14">
          <cell r="C14">
            <v>-4218658.0212499797</v>
          </cell>
          <cell r="D14">
            <v>-2793282.4154499471</v>
          </cell>
          <cell r="E14">
            <v>-3067495.4302100241</v>
          </cell>
          <cell r="F14">
            <v>-1953518.426880002</v>
          </cell>
          <cell r="G14">
            <v>-1817647.2565999627</v>
          </cell>
          <cell r="H14">
            <v>-2769104.2210900187</v>
          </cell>
          <cell r="I14">
            <v>-2739846.2452499866</v>
          </cell>
          <cell r="J14">
            <v>-2422336.0101799965</v>
          </cell>
          <cell r="K14">
            <v>-3403904.5900000334</v>
          </cell>
          <cell r="L14">
            <v>-3097401.1199799776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-1207.7999999999302</v>
          </cell>
          <cell r="D17">
            <v>-311.72545999998692</v>
          </cell>
          <cell r="E17">
            <v>0</v>
          </cell>
          <cell r="F17">
            <v>-4989.4535199999809</v>
          </cell>
          <cell r="G17">
            <v>-5428.3073000000004</v>
          </cell>
          <cell r="H17">
            <v>0</v>
          </cell>
          <cell r="I17">
            <v>-5685.2397000000055</v>
          </cell>
          <cell r="J17">
            <v>5467.6576999999816</v>
          </cell>
          <cell r="K17">
            <v>-1219.2498999999953</v>
          </cell>
          <cell r="L17">
            <v>-83741.447500000009</v>
          </cell>
        </row>
        <row r="18">
          <cell r="C18">
            <v>-23839933.066919718</v>
          </cell>
          <cell r="D18">
            <v>-18509381.666829355</v>
          </cell>
          <cell r="E18">
            <v>-15302323.123856153</v>
          </cell>
          <cell r="F18">
            <v>-15762160.285271544</v>
          </cell>
          <cell r="G18">
            <v>-15630270.60043679</v>
          </cell>
          <cell r="H18">
            <v>-20699555.545700684</v>
          </cell>
          <cell r="I18">
            <v>-21416156.19359814</v>
          </cell>
          <cell r="J18">
            <v>-22671810.945331033</v>
          </cell>
          <cell r="K18">
            <v>-23216768.866989635</v>
          </cell>
          <cell r="L18">
            <v>-26635604.218770307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C21">
            <v>96721.805000003427</v>
          </cell>
          <cell r="D21">
            <v>68447.33900000155</v>
          </cell>
          <cell r="E21">
            <v>47303.080899499357</v>
          </cell>
          <cell r="F21">
            <v>91416.572007999755</v>
          </cell>
          <cell r="G21">
            <v>81647.934386999346</v>
          </cell>
          <cell r="H21">
            <v>62374.669908999465</v>
          </cell>
          <cell r="I21">
            <v>64491.453213999979</v>
          </cell>
          <cell r="J21">
            <v>57499.306381001137</v>
          </cell>
          <cell r="K21">
            <v>58960.496014300734</v>
          </cell>
          <cell r="L21">
            <v>45245.352058699355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-39245.281920000001</v>
          </cell>
          <cell r="D23">
            <v>-39245.277760000004</v>
          </cell>
          <cell r="E23">
            <v>-56255.406687999995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-37735.847999999998</v>
          </cell>
        </row>
        <row r="24">
          <cell r="C24">
            <v>-197436.63687000051</v>
          </cell>
          <cell r="D24">
            <v>-151499.25091399625</v>
          </cell>
          <cell r="E24">
            <v>-86094.426882702857</v>
          </cell>
          <cell r="F24">
            <v>-187764.23884930089</v>
          </cell>
          <cell r="G24">
            <v>-197441.78771233931</v>
          </cell>
          <cell r="H24">
            <v>-249205.48191914335</v>
          </cell>
          <cell r="I24">
            <v>-210019.10124223307</v>
          </cell>
          <cell r="J24">
            <v>-202482.74011040479</v>
          </cell>
          <cell r="K24">
            <v>-192022.04462315887</v>
          </cell>
          <cell r="L24">
            <v>-237556.68964770064</v>
          </cell>
        </row>
        <row r="25">
          <cell r="C25">
            <v>-365045.34873400629</v>
          </cell>
          <cell r="D25">
            <v>-441902.32242000476</v>
          </cell>
          <cell r="E25">
            <v>-472491.21401299536</v>
          </cell>
          <cell r="F25">
            <v>-475232.706063997</v>
          </cell>
          <cell r="G25">
            <v>-487074.19453200325</v>
          </cell>
          <cell r="H25">
            <v>-419547.71041699499</v>
          </cell>
          <cell r="I25">
            <v>-463915.22669400275</v>
          </cell>
          <cell r="J25">
            <v>-499826.48509200662</v>
          </cell>
          <cell r="K25">
            <v>-476358.36006300896</v>
          </cell>
          <cell r="L25">
            <v>-423752.23382299766</v>
          </cell>
        </row>
        <row r="26">
          <cell r="C26">
            <v>-177454.0600139983</v>
          </cell>
          <cell r="D26">
            <v>-177283.07758900337</v>
          </cell>
          <cell r="E26">
            <v>-213775.32630749978</v>
          </cell>
          <cell r="F26">
            <v>-121279.50318549573</v>
          </cell>
          <cell r="G26">
            <v>-109584.17609299906</v>
          </cell>
          <cell r="H26">
            <v>-147249.23553050123</v>
          </cell>
          <cell r="I26">
            <v>-137464.97509049997</v>
          </cell>
          <cell r="J26">
            <v>-116269.79260499962</v>
          </cell>
          <cell r="K26">
            <v>-148550.1245980002</v>
          </cell>
          <cell r="L26">
            <v>-131843.87306000106</v>
          </cell>
        </row>
        <row r="27">
          <cell r="C27">
            <v>0</v>
          </cell>
          <cell r="D27">
            <v>0</v>
          </cell>
          <cell r="E27">
            <v>-80.691105680074543</v>
          </cell>
          <cell r="F27">
            <v>-112.72266679024324</v>
          </cell>
          <cell r="G27">
            <v>-155.04669187031686</v>
          </cell>
          <cell r="H27">
            <v>-22.939174400176853</v>
          </cell>
          <cell r="I27">
            <v>-75.935742419678718</v>
          </cell>
          <cell r="J27">
            <v>-49.443952800240368</v>
          </cell>
          <cell r="K27">
            <v>-78.818985290359706</v>
          </cell>
          <cell r="L27">
            <v>-144.95746369566768</v>
          </cell>
        </row>
        <row r="28">
          <cell r="C28">
            <v>2.1827872842550278E-11</v>
          </cell>
          <cell r="D28">
            <v>-2.1827872842550278E-11</v>
          </cell>
          <cell r="E28">
            <v>7.2759576141834259E-12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-97.09001999999964</v>
          </cell>
          <cell r="D29">
            <v>-22.720563999999285</v>
          </cell>
          <cell r="E29">
            <v>0</v>
          </cell>
          <cell r="F29">
            <v>-194.17986860000019</v>
          </cell>
          <cell r="G29">
            <v>-97.090040000000045</v>
          </cell>
          <cell r="H29">
            <v>0</v>
          </cell>
          <cell r="I29">
            <v>-33.320682999999917</v>
          </cell>
          <cell r="J29">
            <v>127.74850500000002</v>
          </cell>
          <cell r="K29">
            <v>-30.134725999999773</v>
          </cell>
          <cell r="L29">
            <v>-2120.8825899999993</v>
          </cell>
        </row>
        <row r="30">
          <cell r="C30">
            <v>-876000.22255800851</v>
          </cell>
          <cell r="D30">
            <v>-878399.98824700585</v>
          </cell>
          <cell r="E30">
            <v>-876000.14589637739</v>
          </cell>
          <cell r="F30">
            <v>-875999.92264218361</v>
          </cell>
          <cell r="G30">
            <v>-876000.22945621132</v>
          </cell>
          <cell r="H30">
            <v>-878400.03695003921</v>
          </cell>
          <cell r="I30">
            <v>-876000.01266615547</v>
          </cell>
          <cell r="J30">
            <v>-876000.01963621238</v>
          </cell>
          <cell r="K30">
            <v>-875999.97900975915</v>
          </cell>
          <cell r="L30">
            <v>-878399.83664309443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C33">
            <v>41.647167101930194</v>
          </cell>
          <cell r="D33">
            <v>26.046120167774898</v>
          </cell>
          <cell r="E33">
            <v>5.5394151147744699</v>
          </cell>
          <cell r="F33">
            <v>24.213471721266526</v>
          </cell>
          <cell r="G33">
            <v>24.077763801445187</v>
          </cell>
          <cell r="H33">
            <v>23.184118137772987</v>
          </cell>
          <cell r="I33">
            <v>24.402961914961253</v>
          </cell>
          <cell r="J33">
            <v>24.4326638807552</v>
          </cell>
          <cell r="K33">
            <v>25.914545663973453</v>
          </cell>
          <cell r="L33">
            <v>21.903164501907082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87.949489241431849</v>
          </cell>
          <cell r="D35">
            <v>72.479624616115842</v>
          </cell>
          <cell r="E35">
            <v>53.801565186188917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90.440434782332176</v>
          </cell>
        </row>
        <row r="36">
          <cell r="C36">
            <v>0</v>
          </cell>
          <cell r="D36">
            <v>0</v>
          </cell>
          <cell r="E36">
            <v>-3.5174946002648728E-4</v>
          </cell>
          <cell r="F36">
            <v>-0.15753115019211936</v>
          </cell>
          <cell r="G36">
            <v>9.4066426192207682E-4</v>
          </cell>
          <cell r="H36">
            <v>-1.2883244992512656E-4</v>
          </cell>
          <cell r="I36">
            <v>1.2743516434857816E-2</v>
          </cell>
          <cell r="J36">
            <v>-3.9103572320154335E-6</v>
          </cell>
          <cell r="K36">
            <v>-3.1605097331173461E-4</v>
          </cell>
          <cell r="L36">
            <v>-1.1332427987553476E-2</v>
          </cell>
        </row>
        <row r="37">
          <cell r="C37">
            <v>32.277494683401805</v>
          </cell>
          <cell r="D37">
            <v>28.206455385418749</v>
          </cell>
          <cell r="E37">
            <v>24.064924013987255</v>
          </cell>
          <cell r="F37">
            <v>33.922384817495015</v>
          </cell>
          <cell r="G37">
            <v>34.23519132515775</v>
          </cell>
          <cell r="H37">
            <v>35.807518550274963</v>
          </cell>
          <cell r="I37">
            <v>40.545750920238646</v>
          </cell>
          <cell r="J37">
            <v>46.746205252551491</v>
          </cell>
          <cell r="K37">
            <v>47.475667344345936</v>
          </cell>
          <cell r="L37">
            <v>43.282161462673379</v>
          </cell>
        </row>
        <row r="38">
          <cell r="C38">
            <v>15.795365334720596</v>
          </cell>
          <cell r="D38">
            <v>15.421251724185209</v>
          </cell>
          <cell r="E38">
            <v>14.547682732506155</v>
          </cell>
          <cell r="F38">
            <v>10.691745541866005</v>
          </cell>
          <cell r="G38">
            <v>10.434015510860757</v>
          </cell>
          <cell r="H38">
            <v>18.019860752053503</v>
          </cell>
          <cell r="I38">
            <v>18.520518520923691</v>
          </cell>
          <cell r="J38">
            <v>18.774898059207551</v>
          </cell>
          <cell r="K38">
            <v>19.242372495756776</v>
          </cell>
          <cell r="L38">
            <v>20.667811403437177</v>
          </cell>
        </row>
        <row r="39">
          <cell r="C39">
            <v>23.773240358192957</v>
          </cell>
          <cell r="D39">
            <v>15.756057788694495</v>
          </cell>
          <cell r="E39">
            <v>14.349155644827139</v>
          </cell>
          <cell r="F39">
            <v>16.107572801416541</v>
          </cell>
          <cell r="G39">
            <v>16.58676755535771</v>
          </cell>
          <cell r="H39">
            <v>18.805559235086324</v>
          </cell>
          <cell r="I39">
            <v>19.931231526039348</v>
          </cell>
          <cell r="J39">
            <v>20.833751879211967</v>
          </cell>
          <cell r="K39">
            <v>22.914181992182975</v>
          </cell>
          <cell r="L39">
            <v>23.492946984122469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12.440001557316958</v>
          </cell>
          <cell r="D41">
            <v>13.719970155670287</v>
          </cell>
          <cell r="E41">
            <v>0</v>
          </cell>
          <cell r="F41">
            <v>25.695009250819815</v>
          </cell>
          <cell r="G41">
            <v>55.91003258418678</v>
          </cell>
          <cell r="H41">
            <v>0</v>
          </cell>
          <cell r="I41">
            <v>170.62194373386703</v>
          </cell>
          <cell r="J41">
            <v>42.800169755411076</v>
          </cell>
          <cell r="K41">
            <v>40.459963034009483</v>
          </cell>
          <cell r="L41">
            <v>39.484244858646342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27.214528550352103</v>
          </cell>
          <cell r="D43">
            <v>21.071700722318909</v>
          </cell>
          <cell r="E43">
            <v>17.468402483195788</v>
          </cell>
          <cell r="F43">
            <v>17.993335247941403</v>
          </cell>
          <cell r="G43">
            <v>17.842769984363457</v>
          </cell>
          <cell r="H43">
            <v>23.565066797552984</v>
          </cell>
          <cell r="I43">
            <v>24.447666534178303</v>
          </cell>
          <cell r="J43">
            <v>25.881062142836758</v>
          </cell>
          <cell r="K43">
            <v>26.503161442120295</v>
          </cell>
          <cell r="L43">
            <v>30.322870186954177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>
        <row r="5">
          <cell r="C5">
            <v>2019</v>
          </cell>
          <cell r="D5">
            <v>2020</v>
          </cell>
          <cell r="E5">
            <v>2021</v>
          </cell>
          <cell r="F5">
            <v>2022</v>
          </cell>
          <cell r="G5">
            <v>2023</v>
          </cell>
          <cell r="H5">
            <v>2024</v>
          </cell>
          <cell r="I5">
            <v>2025</v>
          </cell>
          <cell r="J5">
            <v>2026</v>
          </cell>
          <cell r="K5">
            <v>2027</v>
          </cell>
          <cell r="L5">
            <v>2028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4375527.7572699785</v>
          </cell>
          <cell r="D7">
            <v>2743736.0962999463</v>
          </cell>
          <cell r="E7">
            <v>-557848.42930004001</v>
          </cell>
          <cell r="F7">
            <v>2326635.5568400025</v>
          </cell>
          <cell r="G7">
            <v>1684766.036740005</v>
          </cell>
          <cell r="H7">
            <v>2041778.0234600306</v>
          </cell>
          <cell r="I7">
            <v>2699099.985160023</v>
          </cell>
          <cell r="J7">
            <v>2659758.6928899884</v>
          </cell>
          <cell r="K7">
            <v>3008632.7613000274</v>
          </cell>
          <cell r="L7">
            <v>2864908.8313100338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-2457163</v>
          </cell>
          <cell r="D9">
            <v>-2805240</v>
          </cell>
          <cell r="E9">
            <v>-4039489.3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-3418846.5</v>
          </cell>
        </row>
        <row r="10">
          <cell r="C10">
            <v>0</v>
          </cell>
          <cell r="D10">
            <v>0</v>
          </cell>
          <cell r="E10">
            <v>-72.889004638418555</v>
          </cell>
          <cell r="F10">
            <v>-40.210197007283568</v>
          </cell>
          <cell r="G10">
            <v>-101.02498774603009</v>
          </cell>
          <cell r="H10">
            <v>-38.151277534663677</v>
          </cell>
          <cell r="I10">
            <v>-22.176534943282604</v>
          </cell>
          <cell r="J10">
            <v>-27.609856899827719</v>
          </cell>
          <cell r="K10">
            <v>-59.761939726769924</v>
          </cell>
          <cell r="L10">
            <v>-1055.4633071366698</v>
          </cell>
        </row>
        <row r="11">
          <cell r="C11">
            <v>-6034939.5388901234</v>
          </cell>
          <cell r="D11">
            <v>-5369632.9607801437</v>
          </cell>
          <cell r="E11">
            <v>-4675133.3883000612</v>
          </cell>
          <cell r="F11">
            <v>-7382353.8053199053</v>
          </cell>
          <cell r="G11">
            <v>-8603663.9852800369</v>
          </cell>
          <cell r="H11">
            <v>-10265768.159394145</v>
          </cell>
          <cell r="I11">
            <v>-11763124.210773945</v>
          </cell>
          <cell r="J11">
            <v>-11919332.034120083</v>
          </cell>
          <cell r="K11">
            <v>-12912321.188759804</v>
          </cell>
          <cell r="L11">
            <v>-11815340.563516021</v>
          </cell>
        </row>
        <row r="12">
          <cell r="C12">
            <v>-1026.8175999969244</v>
          </cell>
          <cell r="D12">
            <v>224.4476999938488</v>
          </cell>
          <cell r="E12">
            <v>400.74149999022484</v>
          </cell>
          <cell r="F12">
            <v>-474.69821999967098</v>
          </cell>
          <cell r="G12">
            <v>-125.77400000393391</v>
          </cell>
          <cell r="H12">
            <v>-168.0620000064373</v>
          </cell>
          <cell r="I12">
            <v>-83.866999998688698</v>
          </cell>
          <cell r="J12">
            <v>-47.741999998688698</v>
          </cell>
          <cell r="K12">
            <v>-580.46799999475479</v>
          </cell>
          <cell r="L12">
            <v>657.62999999523163</v>
          </cell>
        </row>
        <row r="13">
          <cell r="C13">
            <v>-4798392.2324352264</v>
          </cell>
          <cell r="D13">
            <v>-4211095.188865304</v>
          </cell>
          <cell r="E13">
            <v>-5520739.4921586514</v>
          </cell>
          <cell r="F13">
            <v>-6009061.7732417583</v>
          </cell>
          <cell r="G13">
            <v>-5849723.9285850525</v>
          </cell>
          <cell r="H13">
            <v>-5410840.4227335453</v>
          </cell>
          <cell r="I13">
            <v>-4755968.6714886427</v>
          </cell>
          <cell r="J13">
            <v>-8374218.2445906401</v>
          </cell>
          <cell r="K13">
            <v>-8110588.0443792343</v>
          </cell>
          <cell r="L13">
            <v>-7572636.3305826187</v>
          </cell>
        </row>
        <row r="14">
          <cell r="C14">
            <v>-1170315.3745299876</v>
          </cell>
          <cell r="D14">
            <v>-935905.31520998478</v>
          </cell>
          <cell r="E14">
            <v>-1381334.5858100057</v>
          </cell>
          <cell r="F14">
            <v>-605387.81438004971</v>
          </cell>
          <cell r="G14">
            <v>-846977.59087002277</v>
          </cell>
          <cell r="H14">
            <v>-1093057.844990015</v>
          </cell>
          <cell r="I14">
            <v>-1807420.2110300064</v>
          </cell>
          <cell r="J14">
            <v>-2056681.5395899713</v>
          </cell>
          <cell r="K14">
            <v>-2139509.1941400468</v>
          </cell>
          <cell r="L14">
            <v>-3250334.692110002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-51509.020170000091</v>
          </cell>
          <cell r="D17">
            <v>-6815.6084300000221</v>
          </cell>
          <cell r="E17">
            <v>-30016.52099999995</v>
          </cell>
          <cell r="F17">
            <v>-23040.379700000049</v>
          </cell>
          <cell r="G17">
            <v>-54142.541960000002</v>
          </cell>
          <cell r="H17">
            <v>-98675.629600000044</v>
          </cell>
          <cell r="I17">
            <v>-140339.96073999995</v>
          </cell>
          <cell r="J17">
            <v>-85137.315000000061</v>
          </cell>
          <cell r="K17">
            <v>-158803.20390000008</v>
          </cell>
          <cell r="L17">
            <v>-348666.02906000009</v>
          </cell>
        </row>
        <row r="18">
          <cell r="C18">
            <v>-18888873.740895312</v>
          </cell>
          <cell r="D18">
            <v>-16072200.721885385</v>
          </cell>
          <cell r="E18">
            <v>-15088537.005473325</v>
          </cell>
          <cell r="F18">
            <v>-16346994.237898722</v>
          </cell>
          <cell r="G18">
            <v>-17039500.882422868</v>
          </cell>
          <cell r="H18">
            <v>-18910326.293455277</v>
          </cell>
          <cell r="I18">
            <v>-21166059.082727559</v>
          </cell>
          <cell r="J18">
            <v>-25095203.178047583</v>
          </cell>
          <cell r="K18">
            <v>-26330494.622418836</v>
          </cell>
          <cell r="L18">
            <v>-29271130.779885814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C21">
            <v>102074.79080000333</v>
          </cell>
          <cell r="D21">
            <v>86737.039499999955</v>
          </cell>
          <cell r="E21">
            <v>10708.05854300037</v>
          </cell>
          <cell r="F21">
            <v>71669.35922779981</v>
          </cell>
          <cell r="G21">
            <v>59056.676107800566</v>
          </cell>
          <cell r="H21">
            <v>64641.103965300135</v>
          </cell>
          <cell r="I21">
            <v>72939.77806700021</v>
          </cell>
          <cell r="J21">
            <v>66918.990046299994</v>
          </cell>
          <cell r="K21">
            <v>71107.762019600719</v>
          </cell>
          <cell r="L21">
            <v>59254.745916000102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-39245.281920000001</v>
          </cell>
          <cell r="D23">
            <v>-39245.283583999997</v>
          </cell>
          <cell r="E23">
            <v>-78490.574240000016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-37735.851999999999</v>
          </cell>
        </row>
        <row r="24">
          <cell r="C24">
            <v>-181921.80108690634</v>
          </cell>
          <cell r="D24">
            <v>-164827.11628800072</v>
          </cell>
          <cell r="E24">
            <v>-163346.8106555976</v>
          </cell>
          <cell r="F24">
            <v>-194064.01634900272</v>
          </cell>
          <cell r="G24">
            <v>-234088.53485060483</v>
          </cell>
          <cell r="H24">
            <v>-263186.55505859852</v>
          </cell>
          <cell r="I24">
            <v>-274806.34652450308</v>
          </cell>
          <cell r="J24">
            <v>-259112.86147099733</v>
          </cell>
          <cell r="K24">
            <v>-281160.22929323465</v>
          </cell>
          <cell r="L24">
            <v>-272360.61211149767</v>
          </cell>
        </row>
        <row r="25">
          <cell r="C25">
            <v>-490027.52590599656</v>
          </cell>
          <cell r="D25">
            <v>-525868.45806999877</v>
          </cell>
          <cell r="E25">
            <v>-534384.35217899457</v>
          </cell>
          <cell r="F25">
            <v>-569024.90305000544</v>
          </cell>
          <cell r="G25">
            <v>-530359.54082400352</v>
          </cell>
          <cell r="H25">
            <v>-486360.77842599899</v>
          </cell>
          <cell r="I25">
            <v>-433987.58666499704</v>
          </cell>
          <cell r="J25">
            <v>-450610.81731799617</v>
          </cell>
          <cell r="K25">
            <v>-424093.667022001</v>
          </cell>
          <cell r="L25">
            <v>-369033.94968200102</v>
          </cell>
        </row>
        <row r="26">
          <cell r="C26">
            <v>-59447.270842500031</v>
          </cell>
          <cell r="D26">
            <v>-61332.896372498944</v>
          </cell>
          <cell r="E26">
            <v>-88343.25743999891</v>
          </cell>
          <cell r="F26">
            <v>-40812.753294000402</v>
          </cell>
          <cell r="G26">
            <v>-51459.565840497613</v>
          </cell>
          <cell r="H26">
            <v>-61791.114048000425</v>
          </cell>
          <cell r="I26">
            <v>-91261.568254001439</v>
          </cell>
          <cell r="J26">
            <v>-97467.64775150083</v>
          </cell>
          <cell r="K26">
            <v>-96362.714170998894</v>
          </cell>
          <cell r="L26">
            <v>-134404.11524100229</v>
          </cell>
        </row>
        <row r="27">
          <cell r="C27">
            <v>0</v>
          </cell>
          <cell r="D27">
            <v>0</v>
          </cell>
          <cell r="E27">
            <v>-1.2900085002183914</v>
          </cell>
          <cell r="F27">
            <v>-15.858767298981547</v>
          </cell>
          <cell r="G27">
            <v>-51.067176200449467</v>
          </cell>
          <cell r="H27">
            <v>-22.728446499444544</v>
          </cell>
          <cell r="I27">
            <v>-11.130399900488555</v>
          </cell>
          <cell r="J27">
            <v>-19.054696899838746</v>
          </cell>
          <cell r="K27">
            <v>-47.232476780191064</v>
          </cell>
          <cell r="L27">
            <v>-84.730942839756608</v>
          </cell>
        </row>
        <row r="28">
          <cell r="C28">
            <v>2.1827872842550278E-11</v>
          </cell>
          <cell r="D28">
            <v>-8.0035533756017685E-11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1.4551915228366852E-11</v>
          </cell>
        </row>
        <row r="29">
          <cell r="C29">
            <v>-3282.6360350000032</v>
          </cell>
          <cell r="D29">
            <v>-389.49002829999881</v>
          </cell>
          <cell r="E29">
            <v>-725.62342700000227</v>
          </cell>
          <cell r="F29">
            <v>-413.373980999997</v>
          </cell>
          <cell r="G29">
            <v>-984.60391499999969</v>
          </cell>
          <cell r="H29">
            <v>-2397.4734269999999</v>
          </cell>
          <cell r="I29">
            <v>-2993.5756249000005</v>
          </cell>
          <cell r="J29">
            <v>-1870.5924386999986</v>
          </cell>
          <cell r="K29">
            <v>-3228.254997</v>
          </cell>
          <cell r="L29">
            <v>-5526.5194869999978</v>
          </cell>
        </row>
        <row r="30">
          <cell r="C30">
            <v>-875999.30659040622</v>
          </cell>
          <cell r="D30">
            <v>-878400.28384279844</v>
          </cell>
          <cell r="E30">
            <v>-875999.96649309166</v>
          </cell>
          <cell r="F30">
            <v>-876000.26466910739</v>
          </cell>
          <cell r="G30">
            <v>-875999.98871410696</v>
          </cell>
          <cell r="H30">
            <v>-878399.7533713975</v>
          </cell>
          <cell r="I30">
            <v>-875999.98553530232</v>
          </cell>
          <cell r="J30">
            <v>-875999.9637223942</v>
          </cell>
          <cell r="K30">
            <v>-875999.85997961543</v>
          </cell>
          <cell r="L30">
            <v>-878400.52538034075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C33">
            <v>42.865899826755616</v>
          </cell>
          <cell r="D33">
            <v>31.63280776144023</v>
          </cell>
          <cell r="E33">
            <v>-52.096131811372437</v>
          </cell>
          <cell r="F33">
            <v>32.463462516036067</v>
          </cell>
          <cell r="G33">
            <v>28.527952261733724</v>
          </cell>
          <cell r="H33">
            <v>31.586373038370034</v>
          </cell>
          <cell r="I33">
            <v>37.004499556890806</v>
          </cell>
          <cell r="J33">
            <v>39.745947914781013</v>
          </cell>
          <cell r="K33">
            <v>42.310890904859356</v>
          </cell>
          <cell r="L33">
            <v>48.349018918608586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62.61040511847596</v>
          </cell>
          <cell r="D35">
            <v>71.479672047615807</v>
          </cell>
          <cell r="E35">
            <v>51.464641953675674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90.599425183244833</v>
          </cell>
        </row>
        <row r="36">
          <cell r="C36">
            <v>0</v>
          </cell>
          <cell r="D36">
            <v>0</v>
          </cell>
          <cell r="E36">
            <v>-8.3206629482209429E-5</v>
          </cell>
          <cell r="F36">
            <v>-4.590203750962588E-5</v>
          </cell>
          <cell r="G36">
            <v>-1.1532532996299022E-4</v>
          </cell>
          <cell r="H36">
            <v>-4.3432705198555401E-5</v>
          </cell>
          <cell r="I36">
            <v>-2.5315679577016274E-5</v>
          </cell>
          <cell r="J36">
            <v>-3.1518102789074234E-5</v>
          </cell>
          <cell r="K36">
            <v>-6.8221403286708955E-5</v>
          </cell>
          <cell r="L36">
            <v>-1.2015740845324086E-3</v>
          </cell>
        </row>
        <row r="37">
          <cell r="C37">
            <v>33.173261823673108</v>
          </cell>
          <cell r="D37">
            <v>32.577363978132333</v>
          </cell>
          <cell r="E37">
            <v>28.620904011142091</v>
          </cell>
          <cell r="F37">
            <v>38.04081737669263</v>
          </cell>
          <cell r="G37">
            <v>36.753888825742322</v>
          </cell>
          <cell r="H37">
            <v>39.005670928397045</v>
          </cell>
          <cell r="I37">
            <v>42.805140272570405</v>
          </cell>
          <cell r="J37">
            <v>46.000541873735671</v>
          </cell>
          <cell r="K37">
            <v>45.925133939526575</v>
          </cell>
          <cell r="L37">
            <v>43.381238101635319</v>
          </cell>
        </row>
        <row r="38">
          <cell r="C38">
            <v>9.7920871354392371</v>
          </cell>
          <cell r="D38">
            <v>8.0078869995750193</v>
          </cell>
          <cell r="E38">
            <v>10.331027601477098</v>
          </cell>
          <cell r="F38">
            <v>10.560279068688997</v>
          </cell>
          <cell r="G38">
            <v>11.029732621565579</v>
          </cell>
          <cell r="H38">
            <v>11.125157830869</v>
          </cell>
          <cell r="I38">
            <v>10.958766604446366</v>
          </cell>
          <cell r="J38">
            <v>18.584148277738642</v>
          </cell>
          <cell r="K38">
            <v>19.124520536540988</v>
          </cell>
          <cell r="L38">
            <v>20.520161727960286</v>
          </cell>
        </row>
        <row r="39">
          <cell r="C39">
            <v>19.6866123195231</v>
          </cell>
          <cell r="D39">
            <v>15.259434505193779</v>
          </cell>
          <cell r="E39">
            <v>15.635993349556783</v>
          </cell>
          <cell r="F39">
            <v>14.833300023133788</v>
          </cell>
          <cell r="G39">
            <v>16.459089326468217</v>
          </cell>
          <cell r="H39">
            <v>17.689563650542187</v>
          </cell>
          <cell r="I39">
            <v>19.804834012928094</v>
          </cell>
          <cell r="J39">
            <v>21.101171383899558</v>
          </cell>
          <cell r="K39">
            <v>22.202666379274202</v>
          </cell>
          <cell r="L39">
            <v>24.183297410810464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15.691358902053862</v>
          </cell>
          <cell r="D41">
            <v>17.498800828734961</v>
          </cell>
          <cell r="E41">
            <v>41.366526883096149</v>
          </cell>
          <cell r="F41">
            <v>55.737372836729691</v>
          </cell>
          <cell r="G41">
            <v>54.989159737395539</v>
          </cell>
          <cell r="H41">
            <v>41.158174471812423</v>
          </cell>
          <cell r="I41">
            <v>46.880379293804531</v>
          </cell>
          <cell r="J41">
            <v>45.513556688579236</v>
          </cell>
          <cell r="K41">
            <v>49.191654329529435</v>
          </cell>
          <cell r="L41">
            <v>63.089622660367944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21.562658324942308</v>
          </cell>
          <cell r="D43">
            <v>18.297126056896541</v>
          </cell>
          <cell r="E43">
            <v>17.224357971014051</v>
          </cell>
          <cell r="F43">
            <v>18.660946688267831</v>
          </cell>
          <cell r="G43">
            <v>19.451485276198916</v>
          </cell>
          <cell r="H43">
            <v>21.528155285649053</v>
          </cell>
          <cell r="I43">
            <v>24.162168301627876</v>
          </cell>
          <cell r="J43">
            <v>28.64749339875577</v>
          </cell>
          <cell r="K43">
            <v>30.057647067468192</v>
          </cell>
          <cell r="L43">
            <v>33.323216384930596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>
        <row r="5">
          <cell r="C5">
            <v>2029</v>
          </cell>
          <cell r="D5">
            <v>2030</v>
          </cell>
          <cell r="E5">
            <v>2031</v>
          </cell>
          <cell r="F5">
            <v>2032</v>
          </cell>
          <cell r="G5">
            <v>2033</v>
          </cell>
          <cell r="H5">
            <v>2034</v>
          </cell>
          <cell r="I5">
            <v>2035</v>
          </cell>
          <cell r="J5">
            <v>2036</v>
          </cell>
          <cell r="K5">
            <v>2037</v>
          </cell>
          <cell r="L5">
            <v>2038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3951373.5354500413</v>
          </cell>
          <cell r="D7">
            <v>4978683.0418200195</v>
          </cell>
          <cell r="E7">
            <v>5395777.0137200356</v>
          </cell>
          <cell r="F7">
            <v>6010893.1239500046</v>
          </cell>
          <cell r="G7">
            <v>6940429.3373199999</v>
          </cell>
          <cell r="H7">
            <v>7038536.6984299719</v>
          </cell>
          <cell r="I7">
            <v>7870419.6011999846</v>
          </cell>
          <cell r="J7">
            <v>7673546.94551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-3537389.5</v>
          </cell>
          <cell r="D9">
            <v>-5822104.1999999974</v>
          </cell>
          <cell r="E9">
            <v>-6200000.2000000002</v>
          </cell>
          <cell r="F9">
            <v>-6370317</v>
          </cell>
          <cell r="G9">
            <v>-8009701.5</v>
          </cell>
          <cell r="H9">
            <v>-8286061.5</v>
          </cell>
          <cell r="I9">
            <v>-8736236.5</v>
          </cell>
          <cell r="J9">
            <v>-10006602.5</v>
          </cell>
          <cell r="K9">
            <v>0</v>
          </cell>
          <cell r="L9">
            <v>0</v>
          </cell>
        </row>
        <row r="10">
          <cell r="C10">
            <v>-816.30123200826347</v>
          </cell>
          <cell r="D10">
            <v>-1307.5470834174193</v>
          </cell>
          <cell r="E10">
            <v>-15085.029527672566</v>
          </cell>
          <cell r="F10">
            <v>-22775.211898929905</v>
          </cell>
          <cell r="G10">
            <v>-18676.252444627695</v>
          </cell>
          <cell r="H10">
            <v>-29584.991899144836</v>
          </cell>
          <cell r="I10">
            <v>-18576.989231859334</v>
          </cell>
          <cell r="J10">
            <v>-15218.094804742374</v>
          </cell>
          <cell r="K10">
            <v>0</v>
          </cell>
          <cell r="L10">
            <v>0</v>
          </cell>
        </row>
        <row r="11">
          <cell r="C11">
            <v>-14917191.074849963</v>
          </cell>
          <cell r="D11">
            <v>-15817196.874680042</v>
          </cell>
          <cell r="E11">
            <v>-17667212.522799969</v>
          </cell>
          <cell r="F11">
            <v>-18516833.853659987</v>
          </cell>
          <cell r="G11">
            <v>-20234556.66779995</v>
          </cell>
          <cell r="H11">
            <v>-21720046.335300088</v>
          </cell>
          <cell r="I11">
            <v>-23054990.212800026</v>
          </cell>
          <cell r="J11">
            <v>-23593113.052399993</v>
          </cell>
          <cell r="K11">
            <v>0</v>
          </cell>
          <cell r="L11">
            <v>0</v>
          </cell>
        </row>
        <row r="12">
          <cell r="C12">
            <v>766.58799999952316</v>
          </cell>
          <cell r="D12">
            <v>489.08299998939037</v>
          </cell>
          <cell r="E12">
            <v>8490.2721000015736</v>
          </cell>
          <cell r="F12">
            <v>9964.4890000075102</v>
          </cell>
          <cell r="G12">
            <v>10954.477099999785</v>
          </cell>
          <cell r="H12">
            <v>9976.2785999923944</v>
          </cell>
          <cell r="I12">
            <v>0</v>
          </cell>
          <cell r="J12">
            <v>0</v>
          </cell>
          <cell r="K12" t="e">
            <v>#N/A</v>
          </cell>
          <cell r="L12" t="e">
            <v>#N/A</v>
          </cell>
        </row>
        <row r="13">
          <cell r="C13">
            <v>-6060483.4439535141</v>
          </cell>
          <cell r="D13">
            <v>-5202971.9624859095</v>
          </cell>
          <cell r="E13">
            <v>-5221193.8502868414</v>
          </cell>
          <cell r="F13">
            <v>-5705038.7505390644</v>
          </cell>
          <cell r="G13">
            <v>-5229614.6772711277</v>
          </cell>
          <cell r="H13">
            <v>-5269591.9719929695</v>
          </cell>
          <cell r="I13">
            <v>-4971256.0816550255</v>
          </cell>
          <cell r="J13">
            <v>-4821292.2032310963</v>
          </cell>
          <cell r="K13">
            <v>0</v>
          </cell>
          <cell r="L13">
            <v>0</v>
          </cell>
        </row>
        <row r="14">
          <cell r="C14">
            <v>-3403320.7176100016</v>
          </cell>
          <cell r="D14">
            <v>-2732435.5191899538</v>
          </cell>
          <cell r="E14">
            <v>-2796393.9393300414</v>
          </cell>
          <cell r="F14">
            <v>-2530379.1429200172</v>
          </cell>
          <cell r="G14">
            <v>-1662502.2813000083</v>
          </cell>
          <cell r="H14">
            <v>-1841644.7288700342</v>
          </cell>
          <cell r="I14">
            <v>-1706444.3863999844</v>
          </cell>
          <cell r="J14">
            <v>-1701955.8766400218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-755829.79300999967</v>
          </cell>
          <cell r="D17">
            <v>-2137493.2751000039</v>
          </cell>
          <cell r="E17">
            <v>-2752811.8462000005</v>
          </cell>
          <cell r="F17">
            <v>-2943772.0537000019</v>
          </cell>
          <cell r="G17">
            <v>-4751918.4555600137</v>
          </cell>
          <cell r="H17">
            <v>-4952072.2092300057</v>
          </cell>
          <cell r="I17">
            <v>-6113464.6456999853</v>
          </cell>
          <cell r="J17">
            <v>-6568062.001214996</v>
          </cell>
          <cell r="K17">
            <v>0</v>
          </cell>
          <cell r="L17">
            <v>0</v>
          </cell>
        </row>
        <row r="18">
          <cell r="C18">
            <v>-32625637.778105531</v>
          </cell>
          <cell r="D18">
            <v>-36691703.337359354</v>
          </cell>
          <cell r="E18">
            <v>-40039984.129764557</v>
          </cell>
          <cell r="F18">
            <v>-42090044.647667997</v>
          </cell>
          <cell r="G18">
            <v>-46836444.694595724</v>
          </cell>
          <cell r="H18">
            <v>-49127562.157122225</v>
          </cell>
          <cell r="I18">
            <v>-52471388.41698686</v>
          </cell>
          <cell r="J18">
            <v>-54379790.673800848</v>
          </cell>
          <cell r="K18" t="e">
            <v>#N/A</v>
          </cell>
          <cell r="L18" t="e">
            <v>#N/A</v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e">
            <v>#N/A</v>
          </cell>
          <cell r="L19" t="e">
            <v>#N/A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e">
            <v>#N/A</v>
          </cell>
          <cell r="L20" t="e">
            <v>#N/A</v>
          </cell>
        </row>
        <row r="21">
          <cell r="C21">
            <v>75334.214743999299</v>
          </cell>
          <cell r="D21">
            <v>95247.989540000446</v>
          </cell>
          <cell r="E21">
            <v>93103.195631999522</v>
          </cell>
          <cell r="F21">
            <v>103006.16478050081</v>
          </cell>
          <cell r="G21">
            <v>115905.35602099961</v>
          </cell>
          <cell r="H21">
            <v>115242.80547749996</v>
          </cell>
          <cell r="I21">
            <v>131514.51026999997</v>
          </cell>
          <cell r="J21">
            <v>123020.0881799995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-37735.843999999983</v>
          </cell>
          <cell r="D23">
            <v>-76981.13271999998</v>
          </cell>
          <cell r="E23">
            <v>-78490.563839999988</v>
          </cell>
          <cell r="F23">
            <v>-78490.567999999999</v>
          </cell>
          <cell r="G23">
            <v>-76981.129759999967</v>
          </cell>
          <cell r="H23">
            <v>-75471.704000000012</v>
          </cell>
          <cell r="I23">
            <v>-75471.695999999996</v>
          </cell>
          <cell r="J23">
            <v>-78490.563840000017</v>
          </cell>
          <cell r="K23">
            <v>0</v>
          </cell>
          <cell r="L23">
            <v>0</v>
          </cell>
        </row>
        <row r="24">
          <cell r="C24">
            <v>-319278.19518025964</v>
          </cell>
          <cell r="D24">
            <v>-337440.0531824939</v>
          </cell>
          <cell r="E24">
            <v>-360210.35904899985</v>
          </cell>
          <cell r="F24">
            <v>-361254.49090299755</v>
          </cell>
          <cell r="G24">
            <v>-366120.07654799893</v>
          </cell>
          <cell r="H24">
            <v>-375102.39823000133</v>
          </cell>
          <cell r="I24">
            <v>-366653.39651999995</v>
          </cell>
          <cell r="J24">
            <v>-379716.62241999805</v>
          </cell>
          <cell r="K24">
            <v>0</v>
          </cell>
          <cell r="L24">
            <v>0</v>
          </cell>
        </row>
        <row r="25">
          <cell r="C25">
            <v>-299143.7080540061</v>
          </cell>
          <cell r="D25">
            <v>-236914.66582700238</v>
          </cell>
          <cell r="E25">
            <v>-212031.85492900759</v>
          </cell>
          <cell r="F25">
            <v>-214088.02827800065</v>
          </cell>
          <cell r="G25">
            <v>-195182.69424699619</v>
          </cell>
          <cell r="H25">
            <v>-192886.09227499738</v>
          </cell>
          <cell r="I25">
            <v>-178296.40484200045</v>
          </cell>
          <cell r="J25">
            <v>-169208.15140400082</v>
          </cell>
          <cell r="K25">
            <v>0</v>
          </cell>
          <cell r="L25">
            <v>0</v>
          </cell>
        </row>
        <row r="26">
          <cell r="C26">
            <v>-133693.23244050331</v>
          </cell>
          <cell r="D26">
            <v>-102959.48854899779</v>
          </cell>
          <cell r="E26">
            <v>-101833.10316649638</v>
          </cell>
          <cell r="F26">
            <v>-88854.390845999122</v>
          </cell>
          <cell r="G26">
            <v>-56333.87796000205</v>
          </cell>
          <cell r="H26">
            <v>-59478.947839001194</v>
          </cell>
          <cell r="I26">
            <v>-55420.776041002944</v>
          </cell>
          <cell r="J26">
            <v>-53900.313443996012</v>
          </cell>
          <cell r="K26">
            <v>0</v>
          </cell>
          <cell r="L26">
            <v>0</v>
          </cell>
        </row>
        <row r="27">
          <cell r="C27">
            <v>-281.06965409964323</v>
          </cell>
          <cell r="D27">
            <v>-921.32017430104315</v>
          </cell>
          <cell r="E27">
            <v>-828.35512769874185</v>
          </cell>
          <cell r="F27">
            <v>-385.70701900031418</v>
          </cell>
          <cell r="G27">
            <v>-3937.2680904380977</v>
          </cell>
          <cell r="H27">
            <v>-2598.9806021004915</v>
          </cell>
          <cell r="I27">
            <v>-2650.6090273298323</v>
          </cell>
          <cell r="J27">
            <v>-2061.5423062397167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1.0186340659856796E-10</v>
          </cell>
          <cell r="E28">
            <v>2.9103830456733704E-11</v>
          </cell>
          <cell r="F28">
            <v>2.9103830456733704E-11</v>
          </cell>
          <cell r="G28">
            <v>4.3655745685100555E-11</v>
          </cell>
          <cell r="H28">
            <v>1.0186340659856796E-10</v>
          </cell>
          <cell r="I28">
            <v>-4.6566128730773926E-10</v>
          </cell>
          <cell r="J28">
            <v>9.8953023552894592E-10</v>
          </cell>
          <cell r="K28">
            <v>0</v>
          </cell>
          <cell r="L28">
            <v>0</v>
          </cell>
        </row>
        <row r="29">
          <cell r="C29">
            <v>-10533.556228000009</v>
          </cell>
          <cell r="D29">
            <v>-25535.393920899995</v>
          </cell>
          <cell r="E29">
            <v>-29502.211810000023</v>
          </cell>
          <cell r="F29">
            <v>-32320.728829999978</v>
          </cell>
          <cell r="G29">
            <v>-61539.908337399946</v>
          </cell>
          <cell r="H29">
            <v>-55218.062609399902</v>
          </cell>
          <cell r="I29">
            <v>-65992.757850999886</v>
          </cell>
          <cell r="J29">
            <v>-72002.706891299982</v>
          </cell>
          <cell r="K29">
            <v>0</v>
          </cell>
          <cell r="L29">
            <v>0</v>
          </cell>
        </row>
        <row r="30">
          <cell r="C30">
            <v>-875999.82030086801</v>
          </cell>
          <cell r="D30">
            <v>-876000.04391369538</v>
          </cell>
          <cell r="E30">
            <v>-875999.64355420205</v>
          </cell>
          <cell r="F30">
            <v>-878400.07865649834</v>
          </cell>
          <cell r="G30">
            <v>-876000.31096383475</v>
          </cell>
          <cell r="H30">
            <v>-875998.99103300017</v>
          </cell>
          <cell r="I30">
            <v>-876000.15055133356</v>
          </cell>
          <cell r="J30">
            <v>-878399.98848553305</v>
          </cell>
          <cell r="K30">
            <v>0</v>
          </cell>
          <cell r="L30">
            <v>0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3">
          <cell r="C33">
            <v>52.451247403023942</v>
          </cell>
          <cell r="D33">
            <v>52.270741522887121</v>
          </cell>
          <cell r="E33">
            <v>57.954799264328472</v>
          </cell>
          <cell r="F33">
            <v>58.354693010450511</v>
          </cell>
          <cell r="G33">
            <v>59.880143382351896</v>
          </cell>
          <cell r="H33">
            <v>61.075714611999601</v>
          </cell>
          <cell r="I33">
            <v>59.844496132342904</v>
          </cell>
          <cell r="J33">
            <v>62.376373314594638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93.74083431127184</v>
          </cell>
          <cell r="D35">
            <v>75.630274513840632</v>
          </cell>
          <cell r="E35">
            <v>78.99038937519245</v>
          </cell>
          <cell r="F35">
            <v>81.160286672915916</v>
          </cell>
          <cell r="G35">
            <v>104.0475961442944</v>
          </cell>
          <cell r="H35">
            <v>109.79030631135609</v>
          </cell>
          <cell r="I35">
            <v>115.75513686614384</v>
          </cell>
          <cell r="J35">
            <v>127.48796811293231</v>
          </cell>
          <cell r="K35">
            <v>0</v>
          </cell>
          <cell r="L35">
            <v>0</v>
          </cell>
        </row>
        <row r="36">
          <cell r="C36">
            <v>-9.3185091262678493E-4</v>
          </cell>
          <cell r="D36">
            <v>-1.4926335820437933E-3</v>
          </cell>
          <cell r="E36">
            <v>-1.7220360349084078E-2</v>
          </cell>
          <cell r="F36">
            <v>-2.5928062226228735E-2</v>
          </cell>
          <cell r="G36">
            <v>-2.1319915313818577E-2</v>
          </cell>
          <cell r="H36">
            <v>-3.3772860701879875E-2</v>
          </cell>
          <cell r="I36">
            <v>-2.1206605067553265E-2</v>
          </cell>
          <cell r="J36">
            <v>-1.7324789394613033E-2</v>
          </cell>
          <cell r="K36">
            <v>0</v>
          </cell>
          <cell r="L36">
            <v>0</v>
          </cell>
        </row>
        <row r="37">
          <cell r="C37">
            <v>46.721609242459991</v>
          </cell>
          <cell r="D37">
            <v>46.874094303576364</v>
          </cell>
          <cell r="E37">
            <v>49.046930714162713</v>
          </cell>
          <cell r="F37">
            <v>51.257034362050447</v>
          </cell>
          <cell r="G37">
            <v>55.26754189112917</v>
          </cell>
          <cell r="H37">
            <v>57.904312096618533</v>
          </cell>
          <cell r="I37">
            <v>62.879521727115481</v>
          </cell>
          <cell r="J37">
            <v>62.133474436902723</v>
          </cell>
          <cell r="K37">
            <v>0</v>
          </cell>
          <cell r="L37">
            <v>0</v>
          </cell>
        </row>
        <row r="38">
          <cell r="C38">
            <v>20.259438125502477</v>
          </cell>
          <cell r="D38">
            <v>21.961375604687873</v>
          </cell>
          <cell r="E38">
            <v>24.624572812585161</v>
          </cell>
          <cell r="F38">
            <v>26.64809796431436</v>
          </cell>
          <cell r="G38">
            <v>26.793434210172606</v>
          </cell>
          <cell r="H38">
            <v>27.31970931569354</v>
          </cell>
          <cell r="I38">
            <v>27.881976005407203</v>
          </cell>
          <cell r="J38">
            <v>28.493262075299167</v>
          </cell>
          <cell r="K38">
            <v>0</v>
          </cell>
          <cell r="L38">
            <v>0</v>
          </cell>
        </row>
        <row r="39">
          <cell r="C39">
            <v>25.456192923785881</v>
          </cell>
          <cell r="D39">
            <v>26.538938350394044</v>
          </cell>
          <cell r="E39">
            <v>27.46055901643258</v>
          </cell>
          <cell r="F39">
            <v>28.477817683828661</v>
          </cell>
          <cell r="G39">
            <v>29.511589500023614</v>
          </cell>
          <cell r="H39">
            <v>30.962967499946956</v>
          </cell>
          <cell r="I39">
            <v>30.790698151492414</v>
          </cell>
          <cell r="J39">
            <v>31.575992195451764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71.754474619015539</v>
          </cell>
          <cell r="D41">
            <v>83.707080522087679</v>
          </cell>
          <cell r="E41">
            <v>93.308659836375782</v>
          </cell>
          <cell r="F41">
            <v>91.080002223452453</v>
          </cell>
          <cell r="G41">
            <v>77.216859497207068</v>
          </cell>
          <cell r="H41">
            <v>89.682107180395761</v>
          </cell>
          <cell r="I41">
            <v>92.638417377602551</v>
          </cell>
          <cell r="J41">
            <v>91.219653882326597</v>
          </cell>
          <cell r="K41">
            <v>0</v>
          </cell>
          <cell r="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37.243886382191306</v>
          </cell>
          <cell r="D43">
            <v>41.885503993164484</v>
          </cell>
          <cell r="E43">
            <v>45.707763038932221</v>
          </cell>
          <cell r="F43">
            <v>47.916713204356924</v>
          </cell>
          <cell r="G43">
            <v>53.46624208736079</v>
          </cell>
          <cell r="H43">
            <v>56.081756554524979</v>
          </cell>
          <cell r="I43">
            <v>59.898834930522128</v>
          </cell>
          <cell r="J43">
            <v>61.907777079503532</v>
          </cell>
          <cell r="K43">
            <v>0</v>
          </cell>
          <cell r="L4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GNw_Market Price Index (1906) C"/>
    </sheetNames>
    <sheetDataSet>
      <sheetData sheetId="0"/>
      <sheetData sheetId="1">
        <row r="1">
          <cell r="N1" t="str">
            <v>GNw_Market Price Index (1906) CONF</v>
          </cell>
        </row>
      </sheetData>
      <sheetData sheetId="2">
        <row r="2">
          <cell r="F2" t="str">
            <v>OFPC Dated</v>
          </cell>
          <cell r="G2">
            <v>43644</v>
          </cell>
        </row>
      </sheetData>
      <sheetData sheetId="3">
        <row r="2">
          <cell r="B2" t="str">
            <v>Inflation Forecast</v>
          </cell>
        </row>
      </sheetData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>
        <row r="13">
          <cell r="B13">
            <v>2019</v>
          </cell>
          <cell r="C13">
            <v>0</v>
          </cell>
        </row>
        <row r="14">
          <cell r="B14">
            <v>2020</v>
          </cell>
          <cell r="C14">
            <v>0</v>
          </cell>
        </row>
        <row r="15">
          <cell r="B15">
            <v>2021</v>
          </cell>
          <cell r="C15">
            <v>0</v>
          </cell>
        </row>
        <row r="16">
          <cell r="B16">
            <v>2022</v>
          </cell>
          <cell r="C16">
            <v>0</v>
          </cell>
        </row>
        <row r="17">
          <cell r="B17">
            <v>2023</v>
          </cell>
          <cell r="C17">
            <v>0</v>
          </cell>
        </row>
        <row r="18">
          <cell r="B18">
            <v>2024</v>
          </cell>
          <cell r="C18">
            <v>0</v>
          </cell>
        </row>
        <row r="19">
          <cell r="B19">
            <v>2025</v>
          </cell>
          <cell r="C19">
            <v>0</v>
          </cell>
        </row>
        <row r="20">
          <cell r="B20">
            <v>2026</v>
          </cell>
          <cell r="C20">
            <v>0</v>
          </cell>
        </row>
        <row r="21">
          <cell r="B21">
            <v>2027</v>
          </cell>
          <cell r="C21">
            <v>0</v>
          </cell>
        </row>
        <row r="22">
          <cell r="B22">
            <v>2028</v>
          </cell>
          <cell r="C22">
            <v>0</v>
          </cell>
        </row>
        <row r="23">
          <cell r="B23">
            <v>2029</v>
          </cell>
          <cell r="C23">
            <v>0</v>
          </cell>
        </row>
        <row r="24">
          <cell r="B24">
            <v>2030</v>
          </cell>
          <cell r="C24">
            <v>0</v>
          </cell>
        </row>
        <row r="25">
          <cell r="B25">
            <v>2031</v>
          </cell>
          <cell r="C25">
            <v>0</v>
          </cell>
        </row>
        <row r="26">
          <cell r="B26">
            <v>2032</v>
          </cell>
          <cell r="C26">
            <v>0</v>
          </cell>
        </row>
        <row r="27">
          <cell r="B27">
            <v>2033</v>
          </cell>
          <cell r="C27">
            <v>0</v>
          </cell>
        </row>
        <row r="28">
          <cell r="B28">
            <v>2034</v>
          </cell>
          <cell r="C28">
            <v>0</v>
          </cell>
        </row>
        <row r="29">
          <cell r="B29">
            <v>2035</v>
          </cell>
          <cell r="C29">
            <v>0</v>
          </cell>
        </row>
        <row r="30">
          <cell r="B30">
            <v>2036</v>
          </cell>
          <cell r="C30">
            <v>0</v>
          </cell>
        </row>
        <row r="31">
          <cell r="B31">
            <v>2037</v>
          </cell>
          <cell r="C31">
            <v>0</v>
          </cell>
        </row>
        <row r="32">
          <cell r="B32">
            <v>2038</v>
          </cell>
          <cell r="C32">
            <v>0</v>
          </cell>
        </row>
        <row r="33">
          <cell r="B33">
            <v>2039</v>
          </cell>
          <cell r="C33">
            <v>0</v>
          </cell>
        </row>
        <row r="34">
          <cell r="B34">
            <v>2040</v>
          </cell>
          <cell r="C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3ACsummary"/>
      <sheetName val="Table 3 TransCost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  <sheetName val="4_Appendix B.1 - UT 2019"/>
    </sheetNames>
    <sheetDataSet>
      <sheetData sheetId="0"/>
      <sheetData sheetId="1">
        <row r="13">
          <cell r="B13">
            <v>2020</v>
          </cell>
          <cell r="C13">
            <v>0</v>
          </cell>
          <cell r="D13">
            <v>0</v>
          </cell>
          <cell r="E13">
            <v>15.03816792151928</v>
          </cell>
          <cell r="F13">
            <v>0</v>
          </cell>
          <cell r="G13">
            <v>15.03816792151928</v>
          </cell>
        </row>
        <row r="14">
          <cell r="B14">
            <v>2021</v>
          </cell>
          <cell r="C14">
            <v>0</v>
          </cell>
          <cell r="D14">
            <v>0</v>
          </cell>
          <cell r="E14">
            <v>15.178482820774221</v>
          </cell>
          <cell r="F14">
            <v>0</v>
          </cell>
          <cell r="G14">
            <v>15.178482820774221</v>
          </cell>
        </row>
        <row r="15">
          <cell r="B15">
            <v>2022</v>
          </cell>
          <cell r="C15">
            <v>0</v>
          </cell>
          <cell r="D15">
            <v>0</v>
          </cell>
          <cell r="E15">
            <v>13.781002027127535</v>
          </cell>
          <cell r="F15">
            <v>0</v>
          </cell>
          <cell r="G15">
            <v>13.781002027127535</v>
          </cell>
        </row>
        <row r="16">
          <cell r="B16">
            <v>2023</v>
          </cell>
          <cell r="C16">
            <v>0</v>
          </cell>
          <cell r="D16">
            <v>0</v>
          </cell>
          <cell r="E16">
            <v>13.948497906670145</v>
          </cell>
          <cell r="F16">
            <v>0</v>
          </cell>
          <cell r="G16">
            <v>13.948497906670145</v>
          </cell>
        </row>
        <row r="17">
          <cell r="B17">
            <v>2024</v>
          </cell>
          <cell r="C17">
            <v>0</v>
          </cell>
          <cell r="D17">
            <v>0</v>
          </cell>
          <cell r="E17">
            <v>9.6278195453114392</v>
          </cell>
          <cell r="F17">
            <v>0</v>
          </cell>
          <cell r="G17">
            <v>9.6278195453114392</v>
          </cell>
        </row>
        <row r="18">
          <cell r="B18">
            <v>2025</v>
          </cell>
          <cell r="C18">
            <v>0</v>
          </cell>
          <cell r="D18">
            <v>0</v>
          </cell>
          <cell r="E18">
            <v>10.645833332359178</v>
          </cell>
          <cell r="F18">
            <v>0</v>
          </cell>
          <cell r="G18">
            <v>10.645833332359178</v>
          </cell>
        </row>
        <row r="19">
          <cell r="B19">
            <v>2026</v>
          </cell>
          <cell r="C19">
            <v>112.48330989724177</v>
          </cell>
          <cell r="D19">
            <v>0</v>
          </cell>
          <cell r="E19">
            <v>14.166258038638023</v>
          </cell>
          <cell r="F19">
            <v>0</v>
          </cell>
          <cell r="G19">
            <v>27.006818529190735</v>
          </cell>
        </row>
        <row r="20">
          <cell r="B20">
            <v>2027</v>
          </cell>
          <cell r="C20">
            <v>115</v>
          </cell>
          <cell r="D20">
            <v>0</v>
          </cell>
          <cell r="E20">
            <v>13.466133662814835</v>
          </cell>
          <cell r="F20">
            <v>0</v>
          </cell>
          <cell r="G20">
            <v>26.593987544093373</v>
          </cell>
        </row>
        <row r="21">
          <cell r="B21">
            <v>2028</v>
          </cell>
          <cell r="C21">
            <v>117.55000000000001</v>
          </cell>
          <cell r="D21">
            <v>0</v>
          </cell>
          <cell r="E21">
            <v>20.126459076574566</v>
          </cell>
          <cell r="F21">
            <v>0</v>
          </cell>
          <cell r="G21">
            <v>33.508745051073653</v>
          </cell>
        </row>
        <row r="22">
          <cell r="B22">
            <v>2029</v>
          </cell>
          <cell r="C22">
            <v>120.23</v>
          </cell>
          <cell r="D22">
            <v>0</v>
          </cell>
          <cell r="E22">
            <v>23.849385290385655</v>
          </cell>
          <cell r="F22">
            <v>0</v>
          </cell>
          <cell r="G22">
            <v>37.574271135134524</v>
          </cell>
        </row>
        <row r="23">
          <cell r="B23">
            <v>2030</v>
          </cell>
          <cell r="C23">
            <v>122.91</v>
          </cell>
          <cell r="D23">
            <v>0</v>
          </cell>
          <cell r="E23">
            <v>22.381810985870558</v>
          </cell>
          <cell r="F23">
            <v>0</v>
          </cell>
          <cell r="G23">
            <v>36.412632903678777</v>
          </cell>
        </row>
        <row r="24">
          <cell r="B24">
            <v>2031</v>
          </cell>
          <cell r="C24">
            <v>125.58000000000001</v>
          </cell>
          <cell r="D24">
            <v>0</v>
          </cell>
          <cell r="E24">
            <v>23.728491124336731</v>
          </cell>
          <cell r="F24">
            <v>0</v>
          </cell>
          <cell r="G24">
            <v>38.064107562692897</v>
          </cell>
        </row>
        <row r="25">
          <cell r="B25">
            <v>2032</v>
          </cell>
          <cell r="C25">
            <v>128.28</v>
          </cell>
          <cell r="D25">
            <v>0</v>
          </cell>
          <cell r="E25">
            <v>28.844250407669922</v>
          </cell>
          <cell r="F25">
            <v>0</v>
          </cell>
          <cell r="G25">
            <v>43.448075544281942</v>
          </cell>
        </row>
        <row r="26">
          <cell r="B26">
            <v>2033</v>
          </cell>
          <cell r="C26">
            <v>131.03</v>
          </cell>
          <cell r="D26">
            <v>0</v>
          </cell>
          <cell r="E26">
            <v>29.866430326029658</v>
          </cell>
          <cell r="F26">
            <v>0</v>
          </cell>
          <cell r="G26">
            <v>44.824192883107294</v>
          </cell>
        </row>
        <row r="27">
          <cell r="B27">
            <v>2034</v>
          </cell>
          <cell r="C27">
            <v>133.79000000000002</v>
          </cell>
          <cell r="D27">
            <v>0</v>
          </cell>
          <cell r="E27">
            <v>31.101427972202448</v>
          </cell>
          <cell r="F27">
            <v>0</v>
          </cell>
          <cell r="G27">
            <v>46.374259022430756</v>
          </cell>
        </row>
        <row r="28">
          <cell r="B28">
            <v>2035</v>
          </cell>
          <cell r="C28">
            <v>136.57999999999998</v>
          </cell>
          <cell r="D28">
            <v>0</v>
          </cell>
          <cell r="E28">
            <v>32.954229670071491</v>
          </cell>
          <cell r="F28">
            <v>0</v>
          </cell>
          <cell r="G28">
            <v>48.545553870984726</v>
          </cell>
        </row>
        <row r="29">
          <cell r="B29">
            <v>2036</v>
          </cell>
          <cell r="C29">
            <v>139.44</v>
          </cell>
          <cell r="D29">
            <v>0</v>
          </cell>
          <cell r="E29">
            <v>35.127624708262722</v>
          </cell>
          <cell r="F29">
            <v>0</v>
          </cell>
          <cell r="G29">
            <v>51.001941648153434</v>
          </cell>
        </row>
        <row r="30">
          <cell r="B30">
            <v>2037</v>
          </cell>
          <cell r="C30">
            <v>142.33000000000001</v>
          </cell>
          <cell r="D30">
            <v>0</v>
          </cell>
          <cell r="E30">
            <v>37.645789247662577</v>
          </cell>
          <cell r="F30">
            <v>0</v>
          </cell>
          <cell r="G30">
            <v>53.893506142639765</v>
          </cell>
        </row>
        <row r="31">
          <cell r="B31">
            <v>2038</v>
          </cell>
          <cell r="C31">
            <v>145.32</v>
          </cell>
          <cell r="D31">
            <v>0</v>
          </cell>
          <cell r="E31">
            <v>41.165539699537248</v>
          </cell>
          <cell r="F31">
            <v>0</v>
          </cell>
          <cell r="G31">
            <v>57.754580795427657</v>
          </cell>
        </row>
        <row r="32">
          <cell r="B32">
            <v>2039</v>
          </cell>
          <cell r="C32">
            <v>148.33000000000001</v>
          </cell>
          <cell r="D32">
            <v>0</v>
          </cell>
          <cell r="E32">
            <v>42.019938690474653</v>
          </cell>
          <cell r="F32">
            <v>0</v>
          </cell>
          <cell r="G32">
            <v>58.952587092301144</v>
          </cell>
        </row>
        <row r="33">
          <cell r="B33">
            <v>2040</v>
          </cell>
          <cell r="C33" t="e">
            <v>#REF!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2041</v>
          </cell>
          <cell r="C34" t="e">
            <v>#N/A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C2:L31"/>
  <sheetViews>
    <sheetView tabSelected="1" zoomScale="80" zoomScaleNormal="80" workbookViewId="0">
      <selection activeCell="H9" sqref="H9"/>
    </sheetView>
  </sheetViews>
  <sheetFormatPr defaultRowHeight="12.75" x14ac:dyDescent="0.2"/>
  <cols>
    <col min="1" max="1" width="9.140625" style="79"/>
    <col min="2" max="2" width="12.28515625" style="79" customWidth="1"/>
    <col min="3" max="3" width="22" style="79" customWidth="1"/>
    <col min="4" max="4" width="9.140625" style="79"/>
    <col min="5" max="5" width="11.28515625" style="79" customWidth="1"/>
    <col min="6" max="16384" width="9.140625" style="79"/>
  </cols>
  <sheetData>
    <row r="2" spans="3:12" x14ac:dyDescent="0.2">
      <c r="C2" s="77" t="str">
        <f>Incremental!$B$30&amp;",  "&amp;LEFT(Incremental!$B$29,50)</f>
        <v xml:space="preserve">2020 - 2034,  Nominal Levelized Payment at 6.920% Discount Rate </v>
      </c>
      <c r="D2" s="78"/>
      <c r="E2" s="78"/>
      <c r="F2" s="78"/>
      <c r="G2" s="78"/>
      <c r="H2" s="78"/>
      <c r="I2" s="78"/>
      <c r="J2" s="78"/>
    </row>
    <row r="3" spans="3:12" ht="15.75" customHeight="1" x14ac:dyDescent="0.2">
      <c r="C3" s="78"/>
      <c r="D3" s="80" t="str">
        <f>Incremental!B30</f>
        <v>2020 - 2034</v>
      </c>
      <c r="E3" s="80"/>
      <c r="F3" s="102" t="str">
        <f>Incremental!B31</f>
        <v>2021 - 2035</v>
      </c>
      <c r="G3" s="102"/>
      <c r="H3" s="81" t="str">
        <f>Incremental!B32</f>
        <v>2022 - 2036</v>
      </c>
      <c r="I3" s="82"/>
      <c r="J3" s="78"/>
    </row>
    <row r="4" spans="3:12" x14ac:dyDescent="0.2">
      <c r="C4" s="83" t="s">
        <v>18</v>
      </c>
      <c r="D4" s="84">
        <f>Total!$C$30</f>
        <v>29.37</v>
      </c>
      <c r="E4" s="84"/>
      <c r="F4" s="84">
        <f>Total!$C$31</f>
        <v>31.81</v>
      </c>
      <c r="G4" s="84"/>
      <c r="H4" s="84">
        <f>Total!$C$32</f>
        <v>34.6</v>
      </c>
      <c r="I4" s="84"/>
      <c r="J4" s="78"/>
    </row>
    <row r="5" spans="3:12" x14ac:dyDescent="0.2">
      <c r="C5" s="85" t="str">
        <f>Incremental!C7</f>
        <v>OFPC</v>
      </c>
      <c r="D5" s="84"/>
      <c r="E5" s="84" t="str">
        <f>TEXT(Incremental!$C$30,"$0.00")</f>
        <v>-$2.59</v>
      </c>
      <c r="F5" s="84"/>
      <c r="G5" s="84" t="str">
        <f>TEXT(Incremental!$C$31,"$0.00")</f>
        <v>-$2.68</v>
      </c>
      <c r="H5" s="84"/>
      <c r="I5" s="84" t="str">
        <f>TEXT(Incremental!$C$32,"$0.00")</f>
        <v>-$2.85</v>
      </c>
      <c r="J5" s="78"/>
    </row>
    <row r="6" spans="3:12" hidden="1" x14ac:dyDescent="0.2">
      <c r="C6" s="85">
        <f>Incremental!D7</f>
        <v>0</v>
      </c>
      <c r="D6" s="84"/>
      <c r="E6" s="84" t="str">
        <f>TEXT(Incremental!$D$30,"$0.00")</f>
        <v>$0.00</v>
      </c>
      <c r="F6" s="84"/>
      <c r="G6" s="84" t="str">
        <f>TEXT(Incremental!$D$31,"$0.00")</f>
        <v>$0.00</v>
      </c>
      <c r="H6" s="84"/>
      <c r="I6" s="84" t="str">
        <f>TEXT(Incremental!$D$32,"$0.00")</f>
        <v>$0.00</v>
      </c>
      <c r="J6" s="78"/>
    </row>
    <row r="7" spans="3:12" x14ac:dyDescent="0.2">
      <c r="C7" s="85" t="str">
        <f>Incremental!E7</f>
        <v>Queue</v>
      </c>
      <c r="D7" s="84"/>
      <c r="E7" s="84" t="str">
        <f>TEXT(Incremental!$E$30,"$0.00")</f>
        <v>-$0.41</v>
      </c>
      <c r="F7" s="84"/>
      <c r="G7" s="84" t="str">
        <f>TEXT(Incremental!$E$31,"$0.00")</f>
        <v>-$0.42</v>
      </c>
      <c r="H7" s="84"/>
      <c r="I7" s="84" t="str">
        <f>TEXT(Incremental!$E$32,"$0.00")</f>
        <v>-$0.42</v>
      </c>
      <c r="J7" s="78"/>
    </row>
    <row r="8" spans="3:12" x14ac:dyDescent="0.2">
      <c r="C8" s="85" t="str">
        <f>Incremental!F7</f>
        <v>IRP19</v>
      </c>
      <c r="D8" s="84"/>
      <c r="E8" s="84" t="str">
        <f>TEXT(Incremental!$F$30,"$0.00")</f>
        <v>-$2.27</v>
      </c>
      <c r="F8" s="84"/>
      <c r="G8" s="84" t="str">
        <f>TEXT(Incremental!$F$31,"$0.00")</f>
        <v>-$2.64</v>
      </c>
      <c r="H8" s="84"/>
      <c r="I8" s="84" t="str">
        <f>TEXT(Incremental!$F$32,"$0.00")</f>
        <v>-$3.07</v>
      </c>
      <c r="J8" s="78"/>
    </row>
    <row r="9" spans="3:12" x14ac:dyDescent="0.2">
      <c r="C9" s="78" t="s">
        <v>22</v>
      </c>
      <c r="D9" s="84">
        <f>Total!$G$30</f>
        <v>24.1</v>
      </c>
      <c r="E9" s="84"/>
      <c r="F9" s="84">
        <f>Total!$G$31</f>
        <v>26.07</v>
      </c>
      <c r="G9" s="84"/>
      <c r="H9" s="84">
        <f>Total!$G$32</f>
        <v>28.26</v>
      </c>
      <c r="I9" s="84"/>
      <c r="J9" s="78"/>
    </row>
    <row r="10" spans="3:12" x14ac:dyDescent="0.2">
      <c r="C10" s="78"/>
      <c r="D10" s="86"/>
      <c r="E10" s="86"/>
      <c r="F10" s="78"/>
      <c r="G10" s="78"/>
      <c r="H10" s="78"/>
      <c r="I10" s="78"/>
      <c r="J10" s="78"/>
    </row>
    <row r="11" spans="3:12" x14ac:dyDescent="0.2">
      <c r="C11" s="78"/>
      <c r="D11" s="86"/>
      <c r="E11" s="86"/>
      <c r="F11" s="78"/>
      <c r="G11" s="78"/>
      <c r="H11" s="78"/>
      <c r="I11" s="78"/>
      <c r="J11" s="78"/>
    </row>
    <row r="12" spans="3:12" x14ac:dyDescent="0.2"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3:12" x14ac:dyDescent="0.2"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23" spans="3:10" x14ac:dyDescent="0.2">
      <c r="C23" s="88"/>
      <c r="D23" s="89"/>
      <c r="E23" s="89"/>
      <c r="F23" s="89"/>
      <c r="G23" s="89"/>
      <c r="H23" s="89"/>
      <c r="I23" s="89"/>
      <c r="J23" s="89"/>
    </row>
    <row r="24" spans="3:10" x14ac:dyDescent="0.2">
      <c r="C24" s="90"/>
      <c r="D24" s="90"/>
      <c r="E24" s="90"/>
      <c r="F24" s="90"/>
      <c r="G24" s="90"/>
      <c r="H24" s="90"/>
      <c r="I24" s="90"/>
      <c r="J24" s="90"/>
    </row>
    <row r="25" spans="3:10" x14ac:dyDescent="0.2">
      <c r="C25" s="91"/>
      <c r="D25" s="90"/>
      <c r="E25" s="92"/>
      <c r="F25" s="93"/>
      <c r="G25" s="93"/>
      <c r="H25" s="90"/>
      <c r="I25" s="90"/>
      <c r="J25" s="90"/>
    </row>
    <row r="26" spans="3:10" x14ac:dyDescent="0.2">
      <c r="C26" s="90"/>
      <c r="D26" s="90"/>
      <c r="E26" s="92"/>
      <c r="F26" s="92"/>
      <c r="G26" s="92"/>
      <c r="H26" s="94"/>
      <c r="I26" s="94"/>
      <c r="J26" s="94"/>
    </row>
    <row r="27" spans="3:10" x14ac:dyDescent="0.2">
      <c r="C27" s="90"/>
      <c r="D27" s="90"/>
      <c r="E27" s="92"/>
      <c r="F27" s="92"/>
      <c r="G27" s="92"/>
      <c r="H27" s="94"/>
      <c r="I27" s="94"/>
      <c r="J27" s="94"/>
    </row>
    <row r="28" spans="3:10" x14ac:dyDescent="0.2">
      <c r="C28" s="90"/>
      <c r="D28" s="90"/>
      <c r="E28" s="92"/>
      <c r="F28" s="92"/>
      <c r="G28" s="92"/>
      <c r="H28" s="94"/>
      <c r="I28" s="94"/>
      <c r="J28" s="94"/>
    </row>
    <row r="29" spans="3:10" x14ac:dyDescent="0.2">
      <c r="C29" s="90"/>
      <c r="D29" s="90"/>
      <c r="E29" s="92"/>
      <c r="F29" s="92"/>
      <c r="G29" s="92"/>
      <c r="H29" s="94"/>
      <c r="I29" s="94"/>
      <c r="J29" s="94"/>
    </row>
    <row r="30" spans="3:10" x14ac:dyDescent="0.2">
      <c r="C30" s="90"/>
      <c r="D30" s="90"/>
      <c r="E30" s="92"/>
      <c r="F30" s="92"/>
      <c r="G30" s="92"/>
      <c r="H30" s="94"/>
      <c r="I30" s="94"/>
      <c r="J30" s="94"/>
    </row>
    <row r="31" spans="3:10" x14ac:dyDescent="0.2">
      <c r="C31" s="90"/>
      <c r="D31" s="90"/>
      <c r="E31" s="92"/>
      <c r="F31" s="92"/>
      <c r="G31" s="92"/>
      <c r="H31" s="94"/>
      <c r="I31" s="94"/>
      <c r="J31" s="94"/>
    </row>
  </sheetData>
  <mergeCells count="1">
    <mergeCell ref="F3:G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41"/>
  <sheetViews>
    <sheetView showGridLines="0" view="pageBreakPreview" zoomScale="60" zoomScaleNormal="60" workbookViewId="0">
      <pane xSplit="2" ySplit="9" topLeftCell="C10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140625" defaultRowHeight="15" x14ac:dyDescent="0.2"/>
  <cols>
    <col min="1" max="1" width="1.85546875" style="1" customWidth="1"/>
    <col min="2" max="2" width="17" style="1" customWidth="1"/>
    <col min="3" max="3" width="15.7109375" style="1" customWidth="1"/>
    <col min="4" max="4" width="15.7109375" style="1" hidden="1" customWidth="1"/>
    <col min="5" max="6" width="15.7109375" style="1" customWidth="1"/>
    <col min="7" max="7" width="15.5703125" style="1" customWidth="1"/>
    <col min="8" max="8" width="17.7109375" style="1" hidden="1" customWidth="1"/>
    <col min="9" max="9" width="11" style="1" customWidth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2019.Q3 and 2019.Q2 Compliance Filing</v>
      </c>
      <c r="C4" s="6"/>
      <c r="D4" s="6"/>
      <c r="E4" s="6"/>
      <c r="F4" s="6"/>
      <c r="G4" s="6"/>
    </row>
    <row r="5" spans="2:10" ht="15.75" x14ac:dyDescent="0.25">
      <c r="B5" s="6" t="s">
        <v>14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OFPC</v>
      </c>
      <c r="D7" s="11"/>
      <c r="E7" s="11" t="str">
        <f>Energy!F7</f>
        <v>Queue</v>
      </c>
      <c r="F7" s="11" t="str">
        <f>Energy!G7</f>
        <v>IRP19</v>
      </c>
      <c r="G7" s="11" t="s">
        <v>4</v>
      </c>
      <c r="H7" s="1"/>
    </row>
    <row r="8" spans="2:10" s="4" customFormat="1" ht="15.75" x14ac:dyDescent="0.25">
      <c r="B8" s="15" t="s">
        <v>0</v>
      </c>
      <c r="C8" s="70" t="s">
        <v>16</v>
      </c>
      <c r="D8" s="54"/>
      <c r="E8" s="54"/>
      <c r="F8" s="54"/>
      <c r="G8" s="12" t="s">
        <v>12</v>
      </c>
      <c r="H8" s="1"/>
    </row>
    <row r="9" spans="2:10" ht="4.5" customHeight="1" x14ac:dyDescent="0.2"/>
    <row r="10" spans="2:10" ht="15.75" hidden="1" x14ac:dyDescent="0.25">
      <c r="B10" s="3">
        <f>Total!B10</f>
        <v>2019</v>
      </c>
      <c r="C10" s="60">
        <f>ROUND(Total!D10-Total!C10,3)</f>
        <v>-3.08</v>
      </c>
      <c r="D10" s="60"/>
      <c r="E10" s="60">
        <f>ROUND(Total!F10-Total!E10,3)</f>
        <v>-3.1859999999999999</v>
      </c>
      <c r="F10" s="60">
        <f>ROUND(Total!G10-Total!F10,3)</f>
        <v>21.562999999999999</v>
      </c>
      <c r="G10" s="60">
        <f>SUM(C10:F10)</f>
        <v>15.296999999999999</v>
      </c>
      <c r="H10" s="59"/>
      <c r="I10" s="69"/>
      <c r="J10" s="19"/>
    </row>
    <row r="11" spans="2:10" ht="15.75" x14ac:dyDescent="0.25">
      <c r="B11" s="3">
        <f t="shared" ref="B11:B27" si="0">B10+1</f>
        <v>2020</v>
      </c>
      <c r="C11" s="60">
        <f>ROUND(Total!D11-Total!C11,3)</f>
        <v>-2.3620000000000001</v>
      </c>
      <c r="D11" s="60"/>
      <c r="E11" s="60">
        <f>ROUND(Total!F11-Total!D11,3)</f>
        <v>-0.23</v>
      </c>
      <c r="F11" s="60">
        <f>ROUND(Total!G11-Total!F11,3)</f>
        <v>-0.66700000000000004</v>
      </c>
      <c r="G11" s="60">
        <f t="shared" ref="G11:G27" si="1">SUM(C11:F11)</f>
        <v>-3.2590000000000003</v>
      </c>
      <c r="H11" s="59"/>
      <c r="I11" s="69"/>
      <c r="J11" s="19"/>
    </row>
    <row r="12" spans="2:10" ht="15.75" x14ac:dyDescent="0.25">
      <c r="B12" s="3">
        <f t="shared" si="0"/>
        <v>2021</v>
      </c>
      <c r="C12" s="60">
        <f>ROUND(Total!D12-Total!C12,3)</f>
        <v>-1.776</v>
      </c>
      <c r="D12" s="60"/>
      <c r="E12" s="60">
        <f>ROUND(Total!F12-Total!D12,3)</f>
        <v>-0.33100000000000002</v>
      </c>
      <c r="F12" s="60">
        <f>ROUND(Total!G12-Total!F12,3)</f>
        <v>6.0999999999999999E-2</v>
      </c>
      <c r="G12" s="60">
        <f t="shared" si="1"/>
        <v>-2.0460000000000003</v>
      </c>
      <c r="H12" s="59"/>
      <c r="I12" s="69"/>
      <c r="J12" s="19"/>
    </row>
    <row r="13" spans="2:10" ht="15.75" x14ac:dyDescent="0.25">
      <c r="B13" s="3">
        <f t="shared" si="0"/>
        <v>2022</v>
      </c>
      <c r="C13" s="60">
        <f>ROUND(Total!D13-Total!C13,3)</f>
        <v>-1.903</v>
      </c>
      <c r="D13" s="60"/>
      <c r="E13" s="60">
        <f>ROUND(Total!F13-Total!D13,3)</f>
        <v>-0.34</v>
      </c>
      <c r="F13" s="60">
        <f>ROUND(Total!G13-Total!F13,3)</f>
        <v>-2.637</v>
      </c>
      <c r="G13" s="60">
        <f t="shared" si="1"/>
        <v>-4.88</v>
      </c>
      <c r="H13" s="59"/>
      <c r="I13" s="69"/>
      <c r="J13" s="19"/>
    </row>
    <row r="14" spans="2:10" ht="15.75" x14ac:dyDescent="0.25">
      <c r="B14" s="3">
        <f t="shared" si="0"/>
        <v>2023</v>
      </c>
      <c r="C14" s="60">
        <f>ROUND(Total!D14-Total!C14,3)</f>
        <v>-1.34</v>
      </c>
      <c r="D14" s="60"/>
      <c r="E14" s="60">
        <f>ROUND(Total!F14-Total!D14,3)</f>
        <v>-0.20699999999999999</v>
      </c>
      <c r="F14" s="60">
        <f>ROUND(Total!G14-Total!F14,3)</f>
        <v>-3.956</v>
      </c>
      <c r="G14" s="60">
        <f t="shared" si="1"/>
        <v>-5.5030000000000001</v>
      </c>
      <c r="H14" s="59"/>
      <c r="I14" s="69"/>
      <c r="J14" s="19"/>
    </row>
    <row r="15" spans="2:10" ht="15.75" x14ac:dyDescent="0.25">
      <c r="B15" s="3">
        <f t="shared" si="0"/>
        <v>2024</v>
      </c>
      <c r="C15" s="60">
        <f>ROUND(Total!D15-Total!C15,3)</f>
        <v>-1.7110000000000001</v>
      </c>
      <c r="D15" s="60"/>
      <c r="E15" s="60">
        <f>ROUND(Total!F15-Total!D15,3)</f>
        <v>-0.39100000000000001</v>
      </c>
      <c r="F15" s="60">
        <f>ROUND(Total!G15-Total!F15,3)</f>
        <v>-9.798</v>
      </c>
      <c r="G15" s="60">
        <f t="shared" si="1"/>
        <v>-11.9</v>
      </c>
      <c r="H15" s="59"/>
      <c r="I15" s="69"/>
      <c r="J15" s="19"/>
    </row>
    <row r="16" spans="2:10" ht="15.75" x14ac:dyDescent="0.25">
      <c r="B16" s="3">
        <f t="shared" si="0"/>
        <v>2025</v>
      </c>
      <c r="C16" s="60">
        <f>ROUND(Total!D16-Total!C16,3)</f>
        <v>-2.9750000000000001</v>
      </c>
      <c r="D16" s="60"/>
      <c r="E16" s="60">
        <f>ROUND(Total!F16-Total!D16,3)</f>
        <v>-0.76</v>
      </c>
      <c r="F16" s="60">
        <f>ROUND(Total!G16-Total!F16,3)</f>
        <v>-9.7810000000000006</v>
      </c>
      <c r="G16" s="60">
        <f t="shared" si="1"/>
        <v>-13.516000000000002</v>
      </c>
      <c r="H16" s="59"/>
      <c r="I16" s="69"/>
      <c r="J16" s="19"/>
    </row>
    <row r="17" spans="2:10" ht="15.75" x14ac:dyDescent="0.25">
      <c r="B17" s="3">
        <f t="shared" si="0"/>
        <v>2026</v>
      </c>
      <c r="C17" s="60">
        <f>ROUND(Total!D17-Total!C17,3)</f>
        <v>-7.5449999999999999</v>
      </c>
      <c r="D17" s="60"/>
      <c r="E17" s="60">
        <f>ROUND(Total!F17-Total!D17,3)</f>
        <v>-0.14599999999999999</v>
      </c>
      <c r="F17" s="60">
        <f>ROUND(Total!G17-Total!F17,3)</f>
        <v>6.0510000000000002</v>
      </c>
      <c r="G17" s="60">
        <f t="shared" si="1"/>
        <v>-1.6399999999999997</v>
      </c>
      <c r="H17" s="59"/>
      <c r="I17" s="69"/>
      <c r="J17" s="19"/>
    </row>
    <row r="18" spans="2:10" ht="15.75" x14ac:dyDescent="0.25">
      <c r="B18" s="3">
        <f t="shared" si="0"/>
        <v>2027</v>
      </c>
      <c r="C18" s="60">
        <f>ROUND(Total!D18-Total!C18,3)</f>
        <v>-2.5249999999999999</v>
      </c>
      <c r="D18" s="60"/>
      <c r="E18" s="60">
        <f>ROUND(Total!F18-Total!D18,3)</f>
        <v>-0.29699999999999999</v>
      </c>
      <c r="F18" s="60">
        <f>ROUND(Total!G18-Total!F18,3)</f>
        <v>-0.64200000000000002</v>
      </c>
      <c r="G18" s="60">
        <f t="shared" si="1"/>
        <v>-3.464</v>
      </c>
      <c r="H18" s="59"/>
      <c r="I18" s="69"/>
      <c r="J18" s="19"/>
    </row>
    <row r="19" spans="2:10" ht="15.75" x14ac:dyDescent="0.25">
      <c r="B19" s="3">
        <f t="shared" si="0"/>
        <v>2028</v>
      </c>
      <c r="C19" s="60">
        <f>ROUND(Total!D19-Total!C19,3)</f>
        <v>-5.6159999999999997</v>
      </c>
      <c r="D19" s="60"/>
      <c r="E19" s="60">
        <f>ROUND(Total!F19-Total!D19,3)</f>
        <v>-0.69799999999999995</v>
      </c>
      <c r="F19" s="60">
        <f>ROUND(Total!G19-Total!F19,3)</f>
        <v>6.4989999999999997</v>
      </c>
      <c r="G19" s="60">
        <f t="shared" si="1"/>
        <v>0.18499999999999961</v>
      </c>
      <c r="H19" s="59"/>
      <c r="I19" s="69"/>
      <c r="J19" s="19"/>
    </row>
    <row r="20" spans="2:10" ht="15.75" x14ac:dyDescent="0.25">
      <c r="B20" s="3">
        <f t="shared" si="0"/>
        <v>2029</v>
      </c>
      <c r="C20" s="60">
        <f>ROUND(Total!D20-Total!C20,3)</f>
        <v>-1.9930000000000001</v>
      </c>
      <c r="D20" s="60"/>
      <c r="E20" s="60">
        <f>ROUND(Total!F20-Total!D20,3)</f>
        <v>-0.58399999999999996</v>
      </c>
      <c r="F20" s="60">
        <f>ROUND(Total!G20-Total!F20,3)</f>
        <v>2.907</v>
      </c>
      <c r="G20" s="60">
        <f t="shared" si="1"/>
        <v>0.33000000000000007</v>
      </c>
      <c r="H20" s="59"/>
      <c r="I20" s="69"/>
      <c r="J20" s="19"/>
    </row>
    <row r="21" spans="2:10" ht="15.75" x14ac:dyDescent="0.25">
      <c r="B21" s="3">
        <f t="shared" si="0"/>
        <v>2030</v>
      </c>
      <c r="C21" s="60">
        <f>ROUND(Total!D21-Total!C21,3)</f>
        <v>-0.873</v>
      </c>
      <c r="D21" s="60"/>
      <c r="E21" s="60">
        <f>ROUND(Total!F21-Total!D21,3)</f>
        <v>-0.505</v>
      </c>
      <c r="F21" s="60">
        <f>ROUND(Total!G21-Total!F21,3)</f>
        <v>-4.0949999999999998</v>
      </c>
      <c r="G21" s="60">
        <f t="shared" si="1"/>
        <v>-5.4729999999999999</v>
      </c>
      <c r="H21" s="59"/>
      <c r="I21" s="69"/>
      <c r="J21" s="19"/>
    </row>
    <row r="22" spans="2:10" ht="15.75" x14ac:dyDescent="0.25">
      <c r="B22" s="3">
        <f t="shared" si="0"/>
        <v>2031</v>
      </c>
      <c r="C22" s="60">
        <f>ROUND(Total!D22-Total!C22,3)</f>
        <v>-1.5069999999999999</v>
      </c>
      <c r="D22" s="60"/>
      <c r="E22" s="60">
        <f>ROUND(Total!F22-Total!D22,3)</f>
        <v>-0.76700000000000002</v>
      </c>
      <c r="F22" s="60">
        <f>ROUND(Total!G22-Total!F22,3)</f>
        <v>-5.37</v>
      </c>
      <c r="G22" s="60">
        <f t="shared" si="1"/>
        <v>-7.6440000000000001</v>
      </c>
      <c r="H22" s="59"/>
      <c r="I22" s="69"/>
      <c r="J22" s="19"/>
    </row>
    <row r="23" spans="2:10" ht="15.75" x14ac:dyDescent="0.25">
      <c r="B23" s="3">
        <f t="shared" si="0"/>
        <v>2032</v>
      </c>
      <c r="C23" s="60">
        <f>ROUND(Total!D23-Total!C23,3)</f>
        <v>-1.6359999999999999</v>
      </c>
      <c r="D23" s="60"/>
      <c r="E23" s="60">
        <f>ROUND(Total!F23-Total!D23,3)</f>
        <v>-0.58199999999999996</v>
      </c>
      <c r="F23" s="60">
        <f>ROUND(Total!G23-Total!F23,3)</f>
        <v>-2.2509999999999999</v>
      </c>
      <c r="G23" s="60">
        <f t="shared" si="1"/>
        <v>-4.4689999999999994</v>
      </c>
      <c r="H23" s="59"/>
      <c r="I23" s="69"/>
      <c r="J23" s="19"/>
    </row>
    <row r="24" spans="2:10" ht="15.75" x14ac:dyDescent="0.25">
      <c r="B24" s="3">
        <f t="shared" si="0"/>
        <v>2033</v>
      </c>
      <c r="C24" s="60">
        <f>ROUND(Total!D24-Total!C24,3)</f>
        <v>-2.677</v>
      </c>
      <c r="D24" s="60"/>
      <c r="E24" s="60">
        <f>ROUND(Total!F24-Total!D24,3)</f>
        <v>-0.25800000000000001</v>
      </c>
      <c r="F24" s="60">
        <f>ROUND(Total!G24-Total!F24,3)</f>
        <v>-5.7069999999999999</v>
      </c>
      <c r="G24" s="60">
        <f t="shared" si="1"/>
        <v>-8.6419999999999995</v>
      </c>
      <c r="H24" s="59"/>
      <c r="I24" s="69"/>
      <c r="J24" s="19"/>
    </row>
    <row r="25" spans="2:10" ht="15.75" x14ac:dyDescent="0.25">
      <c r="B25" s="3">
        <f t="shared" si="0"/>
        <v>2034</v>
      </c>
      <c r="C25" s="60">
        <f>ROUND(Total!D25-Total!C25,3)</f>
        <v>-2.8660000000000001</v>
      </c>
      <c r="D25" s="60"/>
      <c r="E25" s="60">
        <f>ROUND(Total!F25-Total!D25,3)</f>
        <v>-0.40899999999999997</v>
      </c>
      <c r="F25" s="60">
        <f>ROUND(Total!G25-Total!F25,3)</f>
        <v>-6.4329999999999998</v>
      </c>
      <c r="G25" s="60">
        <f t="shared" si="1"/>
        <v>-9.7080000000000002</v>
      </c>
      <c r="H25" s="59"/>
      <c r="I25" s="69"/>
      <c r="J25" s="19"/>
    </row>
    <row r="26" spans="2:10" ht="15.75" x14ac:dyDescent="0.25">
      <c r="B26" s="3">
        <f t="shared" si="0"/>
        <v>2035</v>
      </c>
      <c r="C26" s="60">
        <f>ROUND(Total!D26-Total!C26,3)</f>
        <v>-4.0890000000000004</v>
      </c>
      <c r="D26" s="60"/>
      <c r="E26" s="60">
        <f>ROUND(Total!F26-Total!D26,3)</f>
        <v>-0.21099999999999999</v>
      </c>
      <c r="F26" s="60">
        <f>ROUND(Total!G26-Total!F26,3)</f>
        <v>-7.0540000000000003</v>
      </c>
      <c r="G26" s="60">
        <f t="shared" si="1"/>
        <v>-11.354000000000001</v>
      </c>
      <c r="H26" s="59"/>
      <c r="I26" s="69"/>
      <c r="J26" s="19"/>
    </row>
    <row r="27" spans="2:10" ht="15.75" x14ac:dyDescent="0.25">
      <c r="B27" s="3">
        <f t="shared" si="0"/>
        <v>2036</v>
      </c>
      <c r="C27" s="60">
        <f>ROUND(Total!D27-Total!C27,3)</f>
        <v>-4.5960000000000001</v>
      </c>
      <c r="D27" s="60"/>
      <c r="E27" s="60">
        <f>ROUND(Total!F27-Total!D27,3)</f>
        <v>-0.252</v>
      </c>
      <c r="F27" s="60">
        <f>ROUND(Total!G27-Total!F27,3)</f>
        <v>-6.0579999999999998</v>
      </c>
      <c r="G27" s="60">
        <f t="shared" si="1"/>
        <v>-10.905999999999999</v>
      </c>
      <c r="H27" s="59"/>
      <c r="I27" s="69"/>
      <c r="J27" s="19"/>
    </row>
    <row r="28" spans="2:10" x14ac:dyDescent="0.2">
      <c r="C28" s="48"/>
      <c r="D28" s="48"/>
      <c r="E28" s="48"/>
      <c r="F28" s="48"/>
      <c r="G28" s="48"/>
      <c r="H28" s="59"/>
    </row>
    <row r="29" spans="2:10" x14ac:dyDescent="0.2">
      <c r="B29" s="13" t="str">
        <f>Total!B29</f>
        <v>Nominal Levelized Payment at 6.920% Discount Rate (3)</v>
      </c>
      <c r="C29" s="62"/>
      <c r="D29" s="62"/>
      <c r="E29" s="62"/>
      <c r="F29" s="62"/>
      <c r="G29" s="62"/>
      <c r="H29" s="59"/>
      <c r="I29" s="1" t="s">
        <v>15</v>
      </c>
    </row>
    <row r="30" spans="2:10" x14ac:dyDescent="0.2">
      <c r="B30" s="8" t="str">
        <f>B11&amp;" - "&amp;B25</f>
        <v>2020 - 2034</v>
      </c>
      <c r="C30" s="61">
        <f>ROUND(Total!D30-Total!C30,3)</f>
        <v>-2.59</v>
      </c>
      <c r="D30" s="61"/>
      <c r="E30" s="61">
        <f>ROUND(Total!F30-Total!D30,3)</f>
        <v>-0.41</v>
      </c>
      <c r="F30" s="61">
        <f>ROUND(Total!G30-Total!F30,3)</f>
        <v>-2.27</v>
      </c>
      <c r="G30" s="61">
        <f t="shared" ref="G30:G32" si="2">SUM(C30:F30)</f>
        <v>-5.27</v>
      </c>
      <c r="H30" s="59"/>
      <c r="I30" s="67">
        <f>SUM(C30:F30)-G30</f>
        <v>0</v>
      </c>
    </row>
    <row r="31" spans="2:10" x14ac:dyDescent="0.2">
      <c r="B31" s="8" t="str">
        <f>B12&amp;" - "&amp;B26</f>
        <v>2021 - 2035</v>
      </c>
      <c r="C31" s="61">
        <f>ROUND(Total!D31-Total!C31,3)</f>
        <v>-2.68</v>
      </c>
      <c r="D31" s="61"/>
      <c r="E31" s="61">
        <f>ROUND(Total!F31-Total!D31,3)</f>
        <v>-0.42</v>
      </c>
      <c r="F31" s="61">
        <f>ROUND(Total!G31-Total!F31,3)</f>
        <v>-2.64</v>
      </c>
      <c r="G31" s="61">
        <f t="shared" si="2"/>
        <v>-5.74</v>
      </c>
      <c r="H31" s="59"/>
      <c r="I31" s="67">
        <f t="shared" ref="I31:I32" si="3">SUM(C31:F31)-G31</f>
        <v>0</v>
      </c>
    </row>
    <row r="32" spans="2:10" x14ac:dyDescent="0.2">
      <c r="B32" s="8" t="str">
        <f>B13&amp;" - "&amp;B27</f>
        <v>2022 - 2036</v>
      </c>
      <c r="C32" s="61">
        <f>ROUND(Total!D32-Total!C32,3)</f>
        <v>-2.85</v>
      </c>
      <c r="D32" s="61"/>
      <c r="E32" s="61">
        <f>ROUND(Total!F32-Total!D32,3)</f>
        <v>-0.42</v>
      </c>
      <c r="F32" s="61">
        <f>ROUND(Total!G32-Total!F32,3)</f>
        <v>-3.07</v>
      </c>
      <c r="G32" s="61">
        <f t="shared" si="2"/>
        <v>-6.34</v>
      </c>
      <c r="H32" s="59"/>
      <c r="I32" s="67">
        <f t="shared" si="3"/>
        <v>0</v>
      </c>
    </row>
    <row r="33" spans="2:7" x14ac:dyDescent="0.2">
      <c r="C33" s="48"/>
      <c r="D33" s="48"/>
      <c r="E33" s="48"/>
      <c r="F33" s="48"/>
      <c r="G33" s="50"/>
    </row>
    <row r="34" spans="2:7" x14ac:dyDescent="0.2">
      <c r="B34" s="1" t="str">
        <f>Total!B34</f>
        <v>(1)   Studies are sequential.  The order of the studies would affect the price impact.</v>
      </c>
      <c r="C34" s="48"/>
      <c r="D34" s="48"/>
      <c r="E34" s="48"/>
      <c r="F34" s="48"/>
      <c r="G34" s="48"/>
    </row>
    <row r="35" spans="2:7" x14ac:dyDescent="0.2">
      <c r="B35" s="1" t="str">
        <f>Total!B35</f>
        <v>(2)   Official Forward Price Curve Dated September 2019</v>
      </c>
    </row>
    <row r="36" spans="2:7" x14ac:dyDescent="0.2">
      <c r="B36" s="1" t="str">
        <f>Total!B36</f>
        <v>(3)   Discount Rate - 2019 IRP Update - Calculated Annually</v>
      </c>
      <c r="C36" s="8"/>
    </row>
    <row r="40" spans="2:7" hidden="1" x14ac:dyDescent="0.2">
      <c r="B40" s="21" t="s">
        <v>11</v>
      </c>
    </row>
    <row r="41" spans="2:7" hidden="1" x14ac:dyDescent="0.2">
      <c r="B41" s="37">
        <f>Discount_Rate</f>
        <v>6.9199999999999998E-2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44"/>
  <sheetViews>
    <sheetView view="pageBreakPreview" zoomScale="60" zoomScaleNormal="70" workbookViewId="0">
      <pane xSplit="2" ySplit="9" topLeftCell="C11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4" width="17.7109375" style="1" customWidth="1"/>
    <col min="5" max="5" width="17.7109375" style="1" hidden="1" customWidth="1"/>
    <col min="6" max="7" width="17.7109375" style="1" customWidth="1"/>
    <col min="8" max="8" width="16.28515625" style="1" customWidth="1"/>
    <col min="9" max="9" width="9.140625" style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3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2019.Q3 and 2019.Q2 Compliance Filing</v>
      </c>
      <c r="C4" s="6"/>
      <c r="D4" s="6"/>
      <c r="E4" s="6"/>
      <c r="F4" s="6"/>
      <c r="G4" s="6"/>
    </row>
    <row r="5" spans="2:16" ht="15.75" x14ac:dyDescent="0.25">
      <c r="B5" s="6" t="s">
        <v>9</v>
      </c>
      <c r="C5" s="6"/>
      <c r="D5" s="6"/>
      <c r="E5" s="6"/>
      <c r="F5" s="6"/>
      <c r="G5" s="6"/>
    </row>
    <row r="6" spans="2:16" s="18" customFormat="1" ht="15.75" x14ac:dyDescent="0.25">
      <c r="B6" s="16"/>
      <c r="C6" s="16"/>
      <c r="D6" s="16"/>
      <c r="E6" s="17"/>
      <c r="F6" s="17"/>
      <c r="G6" s="17"/>
    </row>
    <row r="7" spans="2:16" ht="15.75" x14ac:dyDescent="0.25">
      <c r="B7" s="43"/>
      <c r="C7" s="44" t="str">
        <f>Energy!C7</f>
        <v>2019.Q2</v>
      </c>
      <c r="D7" s="44" t="str">
        <f>Energy!D7</f>
        <v>OFPC</v>
      </c>
      <c r="E7" s="44" t="str">
        <f>Energy!E7</f>
        <v>Generic</v>
      </c>
      <c r="F7" s="44" t="str">
        <f>Energy!F7</f>
        <v>Queue</v>
      </c>
      <c r="G7" s="44" t="str">
        <f>Energy!G7</f>
        <v>IRP19</v>
      </c>
    </row>
    <row r="8" spans="2:16" ht="15.75" x14ac:dyDescent="0.25">
      <c r="B8" s="7" t="s">
        <v>0</v>
      </c>
      <c r="C8" s="2" t="str">
        <f>Energy!C8</f>
        <v>As Filed</v>
      </c>
      <c r="D8" s="68" t="s">
        <v>16</v>
      </c>
      <c r="E8" s="2"/>
      <c r="F8" s="2"/>
      <c r="G8" s="2"/>
    </row>
    <row r="9" spans="2:16" ht="4.5" customHeight="1" x14ac:dyDescent="0.2"/>
    <row r="10" spans="2:16" ht="15.75" hidden="1" x14ac:dyDescent="0.25">
      <c r="B10" s="3">
        <v>2019</v>
      </c>
      <c r="C10" s="64">
        <f>ROUND(Capacity!$F10+Energy!C10,3)</f>
        <v>27.215</v>
      </c>
      <c r="D10" s="64">
        <f>ROUND(Capacity!$G10+Energy!D10,3)</f>
        <v>24.135000000000002</v>
      </c>
      <c r="E10" s="64">
        <f>ROUND(Capacity!$G10+Energy!E10,3)</f>
        <v>24.135000000000002</v>
      </c>
      <c r="F10" s="64">
        <f>ROUND(Capacity!$G10+Energy!F10,3)</f>
        <v>20.949000000000002</v>
      </c>
      <c r="G10" s="64">
        <f>ROUND(Capacity!$G10+Energy!G10,3)</f>
        <v>42.512</v>
      </c>
      <c r="I10" s="45"/>
      <c r="J10" s="51"/>
      <c r="K10" s="45"/>
      <c r="L10" s="45"/>
      <c r="M10" s="45"/>
      <c r="N10" s="45"/>
      <c r="O10" s="45"/>
    </row>
    <row r="11" spans="2:16" ht="15.75" x14ac:dyDescent="0.25">
      <c r="B11" s="3">
        <f t="shared" ref="B11:B27" si="0">B10+1</f>
        <v>2020</v>
      </c>
      <c r="C11" s="64">
        <f>ROUND(Capacity!$F11+Energy!C11,3)</f>
        <v>18.297000000000001</v>
      </c>
      <c r="D11" s="64">
        <f>ROUND(Capacity!$F11+Energy!D11,3)</f>
        <v>15.935</v>
      </c>
      <c r="E11" s="64"/>
      <c r="F11" s="64">
        <f>ROUND(Capacity!$F11+Energy!F11,3)</f>
        <v>15.705</v>
      </c>
      <c r="G11" s="64">
        <f>ROUND(Capacity!$G11+Energy!G11,3)</f>
        <v>15.038</v>
      </c>
      <c r="I11" s="45"/>
      <c r="J11" s="51"/>
      <c r="K11" s="45"/>
      <c r="L11" s="45"/>
      <c r="M11" s="45"/>
      <c r="N11" s="45"/>
      <c r="O11" s="45"/>
    </row>
    <row r="12" spans="2:16" ht="15.75" x14ac:dyDescent="0.25">
      <c r="B12" s="3">
        <f t="shared" si="0"/>
        <v>2021</v>
      </c>
      <c r="C12" s="64">
        <f>ROUND(Capacity!$F12+Energy!C12,3)</f>
        <v>17.224</v>
      </c>
      <c r="D12" s="64">
        <f>ROUND(Capacity!$F12+Energy!D12,3)</f>
        <v>15.448</v>
      </c>
      <c r="E12" s="64"/>
      <c r="F12" s="64">
        <f>ROUND(Capacity!$F12+Energy!F12,3)</f>
        <v>15.117000000000001</v>
      </c>
      <c r="G12" s="64">
        <f>ROUND(Capacity!$G12+Energy!G12,3)</f>
        <v>15.178000000000001</v>
      </c>
      <c r="I12" s="45"/>
      <c r="J12" s="51"/>
      <c r="K12" s="45"/>
      <c r="L12" s="45"/>
      <c r="M12" s="45"/>
      <c r="N12" s="45"/>
      <c r="O12" s="45"/>
    </row>
    <row r="13" spans="2:16" ht="15.75" x14ac:dyDescent="0.25">
      <c r="B13" s="3">
        <f t="shared" si="0"/>
        <v>2022</v>
      </c>
      <c r="C13" s="64">
        <f>ROUND(Capacity!$F13+Energy!C13,3)</f>
        <v>18.661000000000001</v>
      </c>
      <c r="D13" s="64">
        <f>ROUND(Capacity!$F13+Energy!D13,3)</f>
        <v>16.757999999999999</v>
      </c>
      <c r="E13" s="64"/>
      <c r="F13" s="64">
        <f>ROUND(Capacity!$F13+Energy!F13,3)</f>
        <v>16.417999999999999</v>
      </c>
      <c r="G13" s="64">
        <f>ROUND(Capacity!$G13+Energy!G13,3)</f>
        <v>13.781000000000001</v>
      </c>
      <c r="I13" s="45"/>
      <c r="J13" s="51"/>
      <c r="K13" s="45"/>
      <c r="L13" s="45"/>
      <c r="M13" s="45"/>
      <c r="N13" s="45"/>
      <c r="O13" s="45"/>
      <c r="P13" s="5"/>
    </row>
    <row r="14" spans="2:16" ht="15.75" x14ac:dyDescent="0.25">
      <c r="B14" s="3">
        <f t="shared" si="0"/>
        <v>2023</v>
      </c>
      <c r="C14" s="64">
        <f>ROUND(Capacity!$F14+Energy!C14,3)</f>
        <v>19.451000000000001</v>
      </c>
      <c r="D14" s="64">
        <f>ROUND(Capacity!$F14+Energy!D14,3)</f>
        <v>18.111000000000001</v>
      </c>
      <c r="E14" s="64"/>
      <c r="F14" s="64">
        <f>ROUND(Capacity!$F14+Energy!F14,3)</f>
        <v>17.904</v>
      </c>
      <c r="G14" s="64">
        <f>ROUND(Capacity!$G14+Energy!G14,3)</f>
        <v>13.948</v>
      </c>
      <c r="I14" s="45"/>
      <c r="J14" s="51"/>
      <c r="K14" s="45"/>
      <c r="L14" s="45"/>
      <c r="M14" s="45"/>
      <c r="N14" s="45"/>
      <c r="O14" s="45"/>
    </row>
    <row r="15" spans="2:16" ht="15.75" x14ac:dyDescent="0.25">
      <c r="B15" s="3">
        <f t="shared" si="0"/>
        <v>2024</v>
      </c>
      <c r="C15" s="64">
        <f>ROUND(Capacity!$F15+Energy!C15,3)</f>
        <v>21.527999999999999</v>
      </c>
      <c r="D15" s="64">
        <f>ROUND(Capacity!$F15+Energy!D15,3)</f>
        <v>19.817</v>
      </c>
      <c r="E15" s="64"/>
      <c r="F15" s="64">
        <f>ROUND(Capacity!$F15+Energy!F15,3)</f>
        <v>19.425999999999998</v>
      </c>
      <c r="G15" s="64">
        <f>ROUND(Capacity!$G15+Energy!G15,3)</f>
        <v>9.6280000000000001</v>
      </c>
      <c r="I15" s="45"/>
      <c r="J15" s="51"/>
      <c r="K15" s="45"/>
      <c r="L15" s="45"/>
      <c r="M15" s="45"/>
      <c r="N15" s="45"/>
      <c r="O15" s="45"/>
    </row>
    <row r="16" spans="2:16" ht="15.75" x14ac:dyDescent="0.25">
      <c r="B16" s="3">
        <f t="shared" si="0"/>
        <v>2025</v>
      </c>
      <c r="C16" s="64">
        <f>ROUND(Capacity!$F16+Energy!C16,3)</f>
        <v>24.161999999999999</v>
      </c>
      <c r="D16" s="64">
        <f>ROUND(Capacity!$F16+Energy!D16,3)</f>
        <v>21.187000000000001</v>
      </c>
      <c r="E16" s="64"/>
      <c r="F16" s="64">
        <f>ROUND(Capacity!$F16+Energy!F16,3)</f>
        <v>20.427</v>
      </c>
      <c r="G16" s="64">
        <f>ROUND(Capacity!$G16+Energy!G16,3)</f>
        <v>10.646000000000001</v>
      </c>
      <c r="I16" s="45"/>
      <c r="J16" s="51"/>
      <c r="K16" s="45"/>
      <c r="L16" s="45"/>
      <c r="M16" s="45"/>
      <c r="N16" s="45"/>
      <c r="O16" s="45"/>
    </row>
    <row r="17" spans="2:15" ht="15.75" x14ac:dyDescent="0.25">
      <c r="B17" s="3">
        <f t="shared" si="0"/>
        <v>2026</v>
      </c>
      <c r="C17" s="64">
        <f>ROUND(Capacity!$F17+Energy!C17,3)</f>
        <v>28.646999999999998</v>
      </c>
      <c r="D17" s="64">
        <f>ROUND(Capacity!$F17+Energy!D17,3)</f>
        <v>21.102</v>
      </c>
      <c r="E17" s="64"/>
      <c r="F17" s="64">
        <f>ROUND(Capacity!$F17+Energy!F17,3)</f>
        <v>20.956</v>
      </c>
      <c r="G17" s="64">
        <f>ROUND(Capacity!$G17+Energy!G17,3)</f>
        <v>27.007000000000001</v>
      </c>
      <c r="I17" s="45"/>
      <c r="J17" s="51"/>
      <c r="K17" s="45"/>
      <c r="L17" s="45"/>
      <c r="M17" s="45"/>
      <c r="N17" s="45"/>
      <c r="O17" s="45"/>
    </row>
    <row r="18" spans="2:15" ht="15.75" x14ac:dyDescent="0.25">
      <c r="B18" s="3">
        <f t="shared" si="0"/>
        <v>2027</v>
      </c>
      <c r="C18" s="64">
        <f>ROUND(Capacity!$F18+Energy!C18,3)</f>
        <v>30.058</v>
      </c>
      <c r="D18" s="64">
        <f>ROUND(Capacity!$F18+Energy!D18,3)</f>
        <v>27.533000000000001</v>
      </c>
      <c r="E18" s="64"/>
      <c r="F18" s="64">
        <f>ROUND(Capacity!$F18+Energy!F18,3)</f>
        <v>27.236000000000001</v>
      </c>
      <c r="G18" s="64">
        <f>ROUND(Capacity!$G18+Energy!G18,3)</f>
        <v>26.594000000000001</v>
      </c>
      <c r="I18" s="45"/>
      <c r="J18" s="51"/>
      <c r="K18" s="45"/>
      <c r="L18" s="45"/>
      <c r="M18" s="45"/>
      <c r="N18" s="45"/>
      <c r="O18" s="45"/>
    </row>
    <row r="19" spans="2:15" ht="15.75" x14ac:dyDescent="0.25">
      <c r="B19" s="3">
        <f t="shared" si="0"/>
        <v>2028</v>
      </c>
      <c r="C19" s="64">
        <f>ROUND(Capacity!$F19+Energy!C19,3)</f>
        <v>33.323</v>
      </c>
      <c r="D19" s="64">
        <f>ROUND(Capacity!$F19+Energy!D19,3)</f>
        <v>27.707000000000001</v>
      </c>
      <c r="E19" s="64"/>
      <c r="F19" s="64">
        <f>ROUND(Capacity!$F19+Energy!F19,3)</f>
        <v>27.009</v>
      </c>
      <c r="G19" s="64">
        <f>ROUND(Capacity!$G19+Energy!G19,3)</f>
        <v>33.508000000000003</v>
      </c>
      <c r="I19" s="45"/>
      <c r="J19" s="51"/>
      <c r="K19" s="45"/>
      <c r="L19" s="45"/>
      <c r="M19" s="45"/>
      <c r="N19" s="45"/>
      <c r="O19" s="45"/>
    </row>
    <row r="20" spans="2:15" ht="15.75" x14ac:dyDescent="0.25">
      <c r="B20" s="3">
        <f t="shared" si="0"/>
        <v>2029</v>
      </c>
      <c r="C20" s="64">
        <f>ROUND(Capacity!$F20+Energy!C20,3)</f>
        <v>37.244</v>
      </c>
      <c r="D20" s="64">
        <f>ROUND(Capacity!$F20+Energy!D20,3)</f>
        <v>35.250999999999998</v>
      </c>
      <c r="E20" s="64"/>
      <c r="F20" s="64">
        <f>ROUND(Capacity!$F20+Energy!F20,3)</f>
        <v>34.667000000000002</v>
      </c>
      <c r="G20" s="64">
        <f>ROUND(Capacity!$G20+Energy!G20,3)</f>
        <v>37.573999999999998</v>
      </c>
      <c r="I20" s="45"/>
      <c r="J20" s="51"/>
      <c r="K20" s="45"/>
      <c r="L20" s="45"/>
      <c r="M20" s="45"/>
      <c r="N20" s="45"/>
      <c r="O20" s="45"/>
    </row>
    <row r="21" spans="2:15" ht="15.75" x14ac:dyDescent="0.25">
      <c r="B21" s="3">
        <f t="shared" si="0"/>
        <v>2030</v>
      </c>
      <c r="C21" s="64">
        <f>ROUND(Capacity!$F21+Energy!C21,3)</f>
        <v>41.886000000000003</v>
      </c>
      <c r="D21" s="64">
        <f>ROUND(Capacity!$F21+Energy!D21,3)</f>
        <v>41.012999999999998</v>
      </c>
      <c r="E21" s="64"/>
      <c r="F21" s="64">
        <f>ROUND(Capacity!$F21+Energy!F21,3)</f>
        <v>40.508000000000003</v>
      </c>
      <c r="G21" s="64">
        <f>ROUND(Capacity!$G21+Energy!G21,3)</f>
        <v>36.412999999999997</v>
      </c>
      <c r="I21" s="45"/>
      <c r="J21" s="51"/>
      <c r="K21" s="45"/>
      <c r="L21" s="45"/>
      <c r="M21" s="45"/>
      <c r="N21" s="45"/>
      <c r="O21" s="45"/>
    </row>
    <row r="22" spans="2:15" ht="15.75" x14ac:dyDescent="0.25">
      <c r="B22" s="3">
        <f t="shared" si="0"/>
        <v>2031</v>
      </c>
      <c r="C22" s="64">
        <f>ROUND(Capacity!$F22+Energy!C22,3)</f>
        <v>45.707999999999998</v>
      </c>
      <c r="D22" s="64">
        <f>ROUND(Capacity!$F22+Energy!D22,3)</f>
        <v>44.201000000000001</v>
      </c>
      <c r="E22" s="64"/>
      <c r="F22" s="64">
        <f>ROUND(Capacity!$F22+Energy!F22,3)</f>
        <v>43.433999999999997</v>
      </c>
      <c r="G22" s="64">
        <f>ROUND(Capacity!$G22+Energy!G22,3)</f>
        <v>38.064</v>
      </c>
      <c r="I22" s="45"/>
      <c r="J22" s="51"/>
      <c r="K22" s="45"/>
      <c r="L22" s="45"/>
      <c r="M22" s="45"/>
      <c r="N22" s="45"/>
      <c r="O22" s="45"/>
    </row>
    <row r="23" spans="2:15" ht="15.75" x14ac:dyDescent="0.25">
      <c r="B23" s="3">
        <f t="shared" si="0"/>
        <v>2032</v>
      </c>
      <c r="C23" s="64">
        <f>ROUND(Capacity!$F23+Energy!C23,3)</f>
        <v>47.917000000000002</v>
      </c>
      <c r="D23" s="64">
        <f>ROUND(Capacity!$F23+Energy!D23,3)</f>
        <v>46.280999999999999</v>
      </c>
      <c r="E23" s="64"/>
      <c r="F23" s="64">
        <f>ROUND(Capacity!$F23+Energy!F23,3)</f>
        <v>45.698999999999998</v>
      </c>
      <c r="G23" s="64">
        <f>ROUND(Capacity!$G23+Energy!G23,3)</f>
        <v>43.448</v>
      </c>
      <c r="I23" s="45"/>
      <c r="J23" s="51"/>
      <c r="K23" s="45"/>
      <c r="L23" s="45"/>
      <c r="M23" s="45"/>
      <c r="N23" s="45"/>
      <c r="O23" s="45"/>
    </row>
    <row r="24" spans="2:15" ht="15.75" x14ac:dyDescent="0.25">
      <c r="B24" s="3">
        <f t="shared" si="0"/>
        <v>2033</v>
      </c>
      <c r="C24" s="64">
        <f>ROUND(Capacity!$F24+Energy!C24,3)</f>
        <v>53.466000000000001</v>
      </c>
      <c r="D24" s="64">
        <f>ROUND(Capacity!$F24+Energy!D24,3)</f>
        <v>50.789000000000001</v>
      </c>
      <c r="E24" s="64"/>
      <c r="F24" s="64">
        <f>ROUND(Capacity!$F24+Energy!F24,3)</f>
        <v>50.530999999999999</v>
      </c>
      <c r="G24" s="64">
        <f>ROUND(Capacity!$G24+Energy!G24,3)</f>
        <v>44.823999999999998</v>
      </c>
      <c r="I24" s="45"/>
      <c r="J24" s="51"/>
      <c r="K24" s="45"/>
      <c r="L24" s="45"/>
      <c r="M24" s="45"/>
      <c r="N24" s="45"/>
      <c r="O24" s="45"/>
    </row>
    <row r="25" spans="2:15" ht="15.75" x14ac:dyDescent="0.25">
      <c r="B25" s="3">
        <f t="shared" si="0"/>
        <v>2034</v>
      </c>
      <c r="C25" s="64">
        <f>ROUND(Capacity!$F25+Energy!C25,3)</f>
        <v>56.082000000000001</v>
      </c>
      <c r="D25" s="64">
        <f>ROUND(Capacity!$F25+Energy!D25,3)</f>
        <v>53.216000000000001</v>
      </c>
      <c r="E25" s="64"/>
      <c r="F25" s="64">
        <f>ROUND(Capacity!$F25+Energy!F25,3)</f>
        <v>52.807000000000002</v>
      </c>
      <c r="G25" s="64">
        <f>ROUND(Capacity!$G25+Energy!G25,3)</f>
        <v>46.374000000000002</v>
      </c>
      <c r="I25" s="45"/>
      <c r="J25" s="51"/>
      <c r="K25" s="45"/>
      <c r="L25" s="45"/>
      <c r="M25" s="45"/>
      <c r="N25" s="45"/>
      <c r="O25" s="45"/>
    </row>
    <row r="26" spans="2:15" ht="15.75" x14ac:dyDescent="0.25">
      <c r="B26" s="3">
        <f t="shared" si="0"/>
        <v>2035</v>
      </c>
      <c r="C26" s="64">
        <f>ROUND(Capacity!$F26+Energy!C26,3)</f>
        <v>59.899000000000001</v>
      </c>
      <c r="D26" s="64">
        <f>ROUND(Capacity!$F26+Energy!D26,3)</f>
        <v>55.81</v>
      </c>
      <c r="E26" s="64"/>
      <c r="F26" s="64">
        <f>ROUND(Capacity!$F26+Energy!F26,3)</f>
        <v>55.598999999999997</v>
      </c>
      <c r="G26" s="64">
        <f>ROUND(Capacity!$G26+Energy!G26,3)</f>
        <v>48.545000000000002</v>
      </c>
      <c r="I26" s="45"/>
      <c r="J26" s="51"/>
      <c r="K26" s="45"/>
      <c r="L26" s="45"/>
      <c r="M26" s="45"/>
      <c r="N26" s="45"/>
      <c r="O26" s="45"/>
    </row>
    <row r="27" spans="2:15" ht="15.75" x14ac:dyDescent="0.25">
      <c r="B27" s="3">
        <f t="shared" si="0"/>
        <v>2036</v>
      </c>
      <c r="C27" s="64">
        <f>ROUND(Capacity!$F27+Energy!C27,3)</f>
        <v>61.908000000000001</v>
      </c>
      <c r="D27" s="64">
        <f>ROUND(Capacity!$F27+Energy!D27,3)</f>
        <v>57.311999999999998</v>
      </c>
      <c r="E27" s="64"/>
      <c r="F27" s="64">
        <f>ROUND(Capacity!$F27+Energy!F27,3)</f>
        <v>57.06</v>
      </c>
      <c r="G27" s="64">
        <f>ROUND(Capacity!$G27+Energy!G27,3)</f>
        <v>51.002000000000002</v>
      </c>
      <c r="I27" s="45"/>
      <c r="J27" s="51"/>
      <c r="K27" s="45"/>
      <c r="L27" s="45"/>
      <c r="M27" s="45"/>
      <c r="N27" s="45"/>
      <c r="O27" s="45"/>
    </row>
    <row r="28" spans="2:15" x14ac:dyDescent="0.2">
      <c r="C28" s="65"/>
      <c r="D28" s="65"/>
      <c r="E28" s="65"/>
      <c r="F28" s="65"/>
      <c r="G28" s="65"/>
      <c r="I28" s="45"/>
      <c r="J28" s="45"/>
    </row>
    <row r="29" spans="2:15" x14ac:dyDescent="0.2">
      <c r="B29" s="4" t="str">
        <f>"Nominal Levelized Payment at "&amp;TEXT(Discount_Rate,"0.000%")&amp;" Discount Rate (3)"</f>
        <v>Nominal Levelized Payment at 6.920% Discount Rate (3)</v>
      </c>
      <c r="C29" s="65"/>
      <c r="D29" s="65"/>
      <c r="E29" s="65"/>
      <c r="F29" s="65"/>
      <c r="G29" s="65"/>
      <c r="I29" s="45"/>
      <c r="J29" s="45"/>
    </row>
    <row r="30" spans="2:15" x14ac:dyDescent="0.2">
      <c r="B30" s="8" t="str">
        <f>B11&amp;" - "&amp;B25</f>
        <v>2020 - 2034</v>
      </c>
      <c r="C30" s="66">
        <f t="shared" ref="C30:G32" si="1">ROUND(PMT(Discount_Rate,COUNT(C11:C25),-NPV(Discount_Rate,C11:C25)),2)</f>
        <v>29.37</v>
      </c>
      <c r="D30" s="66">
        <f t="shared" si="1"/>
        <v>26.78</v>
      </c>
      <c r="E30" s="66"/>
      <c r="F30" s="66">
        <f t="shared" si="1"/>
        <v>26.37</v>
      </c>
      <c r="G30" s="66">
        <f t="shared" si="1"/>
        <v>24.1</v>
      </c>
      <c r="I30" s="45"/>
      <c r="J30" s="51"/>
    </row>
    <row r="31" spans="2:15" x14ac:dyDescent="0.2">
      <c r="B31" s="8" t="str">
        <f>B12&amp;" - "&amp;B26</f>
        <v>2021 - 2035</v>
      </c>
      <c r="C31" s="66">
        <f t="shared" si="1"/>
        <v>31.81</v>
      </c>
      <c r="D31" s="66">
        <f t="shared" si="1"/>
        <v>29.13</v>
      </c>
      <c r="E31" s="66"/>
      <c r="F31" s="66">
        <f t="shared" si="1"/>
        <v>28.71</v>
      </c>
      <c r="G31" s="66">
        <f t="shared" si="1"/>
        <v>26.07</v>
      </c>
      <c r="I31" s="45"/>
      <c r="J31" s="51"/>
    </row>
    <row r="32" spans="2:15" x14ac:dyDescent="0.2">
      <c r="B32" s="8" t="str">
        <f>B13&amp;" - "&amp;B27</f>
        <v>2022 - 2036</v>
      </c>
      <c r="C32" s="66">
        <f t="shared" si="1"/>
        <v>34.6</v>
      </c>
      <c r="D32" s="66">
        <f t="shared" si="1"/>
        <v>31.75</v>
      </c>
      <c r="E32" s="66"/>
      <c r="F32" s="66">
        <f t="shared" si="1"/>
        <v>31.33</v>
      </c>
      <c r="G32" s="66">
        <f t="shared" si="1"/>
        <v>28.26</v>
      </c>
      <c r="I32" s="45"/>
      <c r="J32" s="51"/>
    </row>
    <row r="33" spans="2:10" x14ac:dyDescent="0.2">
      <c r="D33" s="10"/>
      <c r="E33" s="10"/>
      <c r="F33" s="10"/>
      <c r="G33" s="10"/>
      <c r="I33" s="45"/>
      <c r="J33" s="45"/>
    </row>
    <row r="34" spans="2:10" x14ac:dyDescent="0.2">
      <c r="B34" s="8" t="s">
        <v>13</v>
      </c>
      <c r="I34" s="45"/>
      <c r="J34" s="45"/>
    </row>
    <row r="35" spans="2:10" x14ac:dyDescent="0.2">
      <c r="B35" s="1" t="str">
        <f>"(2)   Official Forward Price Curve Dated "&amp;TEXT(B42,"MMMM YYYY")</f>
        <v>(2)   Official Forward Price Curve Dated September 2019</v>
      </c>
      <c r="I35" s="45"/>
      <c r="J35" s="45"/>
    </row>
    <row r="36" spans="2:10" x14ac:dyDescent="0.2">
      <c r="B36" s="1" t="str">
        <f>"(3)   "&amp;B39&amp;" - Calculated Annually"</f>
        <v>(3)   Discount Rate - 2019 IRP Update - Calculated Annually</v>
      </c>
    </row>
    <row r="37" spans="2:10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10" x14ac:dyDescent="0.2">
      <c r="B39" s="21" t="str">
        <f>[1]Incremental!$B$39</f>
        <v>Discount Rate - 2019 IRP Update</v>
      </c>
    </row>
    <row r="40" spans="2:10" x14ac:dyDescent="0.2">
      <c r="B40" s="20">
        <f>[1]Incremental!$B$40</f>
        <v>6.9199999999999998E-2</v>
      </c>
      <c r="D40" s="19"/>
    </row>
    <row r="41" spans="2:10" x14ac:dyDescent="0.2">
      <c r="B41" s="1" t="s">
        <v>10</v>
      </c>
      <c r="D41" s="19"/>
    </row>
    <row r="42" spans="2:10" x14ac:dyDescent="0.2">
      <c r="B42" s="22">
        <f>'[2]Forward Price Curve'!$G$2</f>
        <v>43738</v>
      </c>
      <c r="D42" s="19"/>
      <c r="E42" s="19"/>
      <c r="F42" s="19"/>
      <c r="G42" s="19"/>
    </row>
    <row r="43" spans="2:10" x14ac:dyDescent="0.2">
      <c r="B43" s="25" t="s">
        <v>20</v>
      </c>
    </row>
    <row r="44" spans="2:10" x14ac:dyDescent="0.2">
      <c r="B44" s="101">
        <f>'[3]Table 1'!Study_CF</f>
        <v>1</v>
      </c>
    </row>
  </sheetData>
  <phoneticPr fontId="2" type="noConversion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J43"/>
  <sheetViews>
    <sheetView view="pageBreakPreview" zoomScale="60" zoomScaleNormal="90" workbookViewId="0">
      <pane xSplit="2" ySplit="8" topLeftCell="C9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4" width="17.7109375" style="25" customWidth="1"/>
    <col min="5" max="5" width="17.7109375" style="25" hidden="1" customWidth="1"/>
    <col min="6" max="7" width="17.7109375" style="25" customWidth="1"/>
    <col min="8" max="8" width="27.7109375" style="25" customWidth="1"/>
    <col min="9" max="9" width="10" style="25" bestFit="1" customWidth="1"/>
    <col min="10" max="16384" width="9.140625" style="25"/>
  </cols>
  <sheetData>
    <row r="1" spans="2:10" ht="15.75" x14ac:dyDescent="0.25">
      <c r="B1" s="23" t="str">
        <f>Total!B1</f>
        <v>Appendix C</v>
      </c>
      <c r="C1" s="23"/>
      <c r="D1" s="23"/>
      <c r="E1" s="23"/>
      <c r="F1" s="23"/>
      <c r="G1" s="23"/>
    </row>
    <row r="2" spans="2:10" ht="8.25" customHeight="1" x14ac:dyDescent="0.25">
      <c r="B2" s="23"/>
      <c r="C2" s="23"/>
      <c r="D2" s="23"/>
      <c r="E2" s="23"/>
      <c r="F2" s="23"/>
      <c r="G2" s="23"/>
    </row>
    <row r="3" spans="2:10" ht="15.75" x14ac:dyDescent="0.25">
      <c r="B3" s="23" t="str">
        <f>Total!B3</f>
        <v>Utah Quarterly Compliance Filing</v>
      </c>
      <c r="C3" s="23"/>
      <c r="D3" s="23"/>
      <c r="E3" s="23"/>
      <c r="F3" s="23"/>
      <c r="G3" s="23"/>
    </row>
    <row r="4" spans="2:10" ht="15.75" x14ac:dyDescent="0.25">
      <c r="B4" s="23" t="str">
        <f>Capacity!$B$4</f>
        <v>Step Study between 2019.Q3 and 2019.Q2 Compliance Filing</v>
      </c>
      <c r="C4" s="23"/>
      <c r="D4" s="23"/>
      <c r="E4" s="23"/>
      <c r="F4" s="23"/>
      <c r="G4" s="23"/>
    </row>
    <row r="5" spans="2:10" ht="15.75" x14ac:dyDescent="0.25">
      <c r="B5" s="23" t="s">
        <v>5</v>
      </c>
      <c r="C5" s="23"/>
      <c r="D5" s="23"/>
      <c r="E5" s="23"/>
      <c r="F5" s="23"/>
      <c r="G5" s="23"/>
    </row>
    <row r="6" spans="2:10" ht="15.75" x14ac:dyDescent="0.25">
      <c r="B6" s="23"/>
      <c r="C6" s="47"/>
      <c r="D6" s="47"/>
      <c r="E6" s="47"/>
      <c r="F6" s="47"/>
      <c r="G6" s="47"/>
    </row>
    <row r="7" spans="2:10" ht="15.75" x14ac:dyDescent="0.25">
      <c r="B7" s="26"/>
      <c r="C7" s="41" t="str">
        <f>Capacity!K7</f>
        <v>2019.Q2</v>
      </c>
      <c r="D7" s="46" t="str">
        <f>[1]Incremental!O7</f>
        <v>OFPC</v>
      </c>
      <c r="E7" s="46" t="str">
        <f>[1]Incremental!P7</f>
        <v>Generic</v>
      </c>
      <c r="F7" s="95" t="str">
        <f>[1]Incremental!Q7</f>
        <v>Queue</v>
      </c>
      <c r="G7" s="46" t="str">
        <f>[1]Incremental!R7</f>
        <v>IRP19</v>
      </c>
      <c r="I7" s="55"/>
      <c r="J7" s="56"/>
    </row>
    <row r="8" spans="2:10" ht="15.75" x14ac:dyDescent="0.25">
      <c r="B8" s="28" t="s">
        <v>0</v>
      </c>
      <c r="C8" s="40" t="s">
        <v>6</v>
      </c>
      <c r="D8" s="100" t="s">
        <v>16</v>
      </c>
      <c r="E8" s="40"/>
      <c r="F8" s="96"/>
      <c r="G8" s="40"/>
      <c r="I8" s="55"/>
      <c r="J8" s="56"/>
    </row>
    <row r="9" spans="2:10" ht="4.5" customHeight="1" x14ac:dyDescent="0.2">
      <c r="B9" s="71"/>
      <c r="C9" s="97"/>
      <c r="D9" s="97"/>
      <c r="E9" s="97"/>
      <c r="F9" s="72"/>
      <c r="G9" s="72"/>
      <c r="I9" s="56"/>
      <c r="J9" s="56"/>
    </row>
    <row r="10" spans="2:10" ht="15.75" hidden="1" x14ac:dyDescent="0.25">
      <c r="B10" s="73">
        <f>Total!B10</f>
        <v>2019</v>
      </c>
      <c r="C10" s="98">
        <f>ROUND(HLOOKUP($B10,[4]Summary!$C$5:$L$43,39,FALSE),3)</f>
        <v>27.215</v>
      </c>
      <c r="D10" s="98">
        <f>C10+[1]Incremental!O10</f>
        <v>24.134999999999998</v>
      </c>
      <c r="E10" s="98">
        <f>D10+[1]Incremental!P10</f>
        <v>24.134999999999998</v>
      </c>
      <c r="F10" s="98">
        <f>E10+[1]Incremental!Q10</f>
        <v>20.948999999999998</v>
      </c>
      <c r="G10" s="98">
        <f>F10+[1]Incremental!R10</f>
        <v>42.512</v>
      </c>
      <c r="I10" s="57"/>
      <c r="J10" s="58"/>
    </row>
    <row r="11" spans="2:10" ht="15.75" x14ac:dyDescent="0.25">
      <c r="B11" s="73">
        <f t="shared" ref="B11:B27" si="0">B10+1</f>
        <v>2020</v>
      </c>
      <c r="C11" s="98">
        <f>ROUND(HLOOKUP($B11,[5]Summary!$C$5:$L$43,39,FALSE),3)</f>
        <v>18.297000000000001</v>
      </c>
      <c r="D11" s="98">
        <f>C11+[1]Incremental!O11</f>
        <v>15.935</v>
      </c>
      <c r="E11" s="98"/>
      <c r="F11" s="74">
        <f>D11+[1]Incremental!Q11</f>
        <v>15.705</v>
      </c>
      <c r="G11" s="74">
        <f>[1]Energy!K11</f>
        <v>15.038</v>
      </c>
      <c r="I11" s="57"/>
      <c r="J11" s="58"/>
    </row>
    <row r="12" spans="2:10" ht="15.75" x14ac:dyDescent="0.25">
      <c r="B12" s="73">
        <f t="shared" si="0"/>
        <v>2021</v>
      </c>
      <c r="C12" s="98">
        <f>ROUND(HLOOKUP($B12,[5]Summary!$C$5:$L$43,39,FALSE),3)</f>
        <v>17.224</v>
      </c>
      <c r="D12" s="98">
        <f>C12+[1]Incremental!O12</f>
        <v>15.448</v>
      </c>
      <c r="E12" s="98"/>
      <c r="F12" s="74">
        <f>D12+[1]Incremental!Q12</f>
        <v>15.117000000000001</v>
      </c>
      <c r="G12" s="74">
        <f>[1]Energy!K12</f>
        <v>15.178000000000001</v>
      </c>
      <c r="I12" s="57"/>
      <c r="J12" s="58"/>
    </row>
    <row r="13" spans="2:10" ht="15.75" x14ac:dyDescent="0.25">
      <c r="B13" s="73">
        <f t="shared" si="0"/>
        <v>2022</v>
      </c>
      <c r="C13" s="98">
        <f>ROUND(HLOOKUP($B13,[5]Summary!$C$5:$L$43,39,FALSE),3)</f>
        <v>18.661000000000001</v>
      </c>
      <c r="D13" s="98">
        <f>C13+[1]Incremental!O13</f>
        <v>16.758000000000003</v>
      </c>
      <c r="E13" s="98"/>
      <c r="F13" s="74">
        <f>D13+[1]Incremental!Q13</f>
        <v>16.418000000000003</v>
      </c>
      <c r="G13" s="74">
        <f>[1]Energy!K13</f>
        <v>13.781000000000001</v>
      </c>
      <c r="I13" s="57"/>
      <c r="J13" s="58"/>
    </row>
    <row r="14" spans="2:10" ht="15.75" x14ac:dyDescent="0.25">
      <c r="B14" s="73">
        <f t="shared" si="0"/>
        <v>2023</v>
      </c>
      <c r="C14" s="98">
        <f>ROUND(HLOOKUP($B14,[5]Summary!$C$5:$L$43,39,FALSE),3)</f>
        <v>19.451000000000001</v>
      </c>
      <c r="D14" s="98">
        <f>C14+[1]Incremental!O14</f>
        <v>18.111000000000001</v>
      </c>
      <c r="E14" s="98"/>
      <c r="F14" s="74">
        <f>D14+[1]Incremental!Q14</f>
        <v>17.904</v>
      </c>
      <c r="G14" s="74">
        <f>[1]Energy!K14</f>
        <v>13.948</v>
      </c>
      <c r="I14" s="57"/>
      <c r="J14" s="58"/>
    </row>
    <row r="15" spans="2:10" ht="15.75" x14ac:dyDescent="0.25">
      <c r="B15" s="73">
        <f t="shared" si="0"/>
        <v>2024</v>
      </c>
      <c r="C15" s="98">
        <f>ROUND(HLOOKUP($B15,[5]Summary!$C$5:$L$43,39,FALSE),3)</f>
        <v>21.527999999999999</v>
      </c>
      <c r="D15" s="98">
        <f>C15+[1]Incremental!O15</f>
        <v>19.817</v>
      </c>
      <c r="E15" s="98"/>
      <c r="F15" s="74">
        <f>D15+[1]Incremental!Q15</f>
        <v>19.426000000000002</v>
      </c>
      <c r="G15" s="74">
        <f>[1]Energy!K15</f>
        <v>9.6280000000000001</v>
      </c>
      <c r="I15" s="57"/>
      <c r="J15" s="58"/>
    </row>
    <row r="16" spans="2:10" ht="15.75" x14ac:dyDescent="0.25">
      <c r="B16" s="73">
        <f t="shared" si="0"/>
        <v>2025</v>
      </c>
      <c r="C16" s="98">
        <f>ROUND(HLOOKUP($B16,[5]Summary!$C$5:$L$43,39,FALSE),3)</f>
        <v>24.161999999999999</v>
      </c>
      <c r="D16" s="98">
        <f>C16+[1]Incremental!O16</f>
        <v>21.186999999999998</v>
      </c>
      <c r="E16" s="98"/>
      <c r="F16" s="74">
        <f>D16+[1]Incremental!Q16</f>
        <v>20.426999999999996</v>
      </c>
      <c r="G16" s="74">
        <f>[1]Energy!K16</f>
        <v>10.646000000000001</v>
      </c>
      <c r="I16" s="57"/>
      <c r="J16" s="58"/>
    </row>
    <row r="17" spans="2:10" ht="15.75" x14ac:dyDescent="0.25">
      <c r="B17" s="73">
        <f t="shared" si="0"/>
        <v>2026</v>
      </c>
      <c r="C17" s="98">
        <f>ROUND(HLOOKUP($B17,[5]Summary!$C$5:$L$43,39,FALSE),3)</f>
        <v>28.646999999999998</v>
      </c>
      <c r="D17" s="98">
        <f>C17+[1]Incremental!O17</f>
        <v>21.101999999999997</v>
      </c>
      <c r="E17" s="98"/>
      <c r="F17" s="74">
        <f>D17+[1]Incremental!Q17</f>
        <v>20.955999999999996</v>
      </c>
      <c r="G17" s="74">
        <f>[1]Energy!K17</f>
        <v>14.166</v>
      </c>
      <c r="I17" s="57"/>
      <c r="J17" s="58"/>
    </row>
    <row r="18" spans="2:10" ht="15.75" x14ac:dyDescent="0.25">
      <c r="B18" s="73">
        <f t="shared" si="0"/>
        <v>2027</v>
      </c>
      <c r="C18" s="98">
        <f>ROUND(HLOOKUP($B18,[5]Summary!$C$5:$L$43,39,FALSE),3)</f>
        <v>30.058</v>
      </c>
      <c r="D18" s="98">
        <f>C18+[1]Incremental!O18</f>
        <v>27.533000000000001</v>
      </c>
      <c r="E18" s="98"/>
      <c r="F18" s="74">
        <f>D18+[1]Incremental!Q18</f>
        <v>27.236000000000001</v>
      </c>
      <c r="G18" s="74">
        <f>[1]Energy!K18</f>
        <v>13.465999999999999</v>
      </c>
      <c r="I18" s="57"/>
      <c r="J18" s="58"/>
    </row>
    <row r="19" spans="2:10" ht="15.75" x14ac:dyDescent="0.25">
      <c r="B19" s="73">
        <f t="shared" si="0"/>
        <v>2028</v>
      </c>
      <c r="C19" s="98">
        <f>ROUND(HLOOKUP($B19,[5]Summary!$C$5:$L$43,39,FALSE),3)</f>
        <v>33.323</v>
      </c>
      <c r="D19" s="98">
        <f>C19+[1]Incremental!O19</f>
        <v>27.707000000000001</v>
      </c>
      <c r="E19" s="98"/>
      <c r="F19" s="74">
        <f>D19+[1]Incremental!Q19</f>
        <v>27.009</v>
      </c>
      <c r="G19" s="74">
        <f>[1]Energy!K19</f>
        <v>20.126000000000001</v>
      </c>
      <c r="I19" s="57"/>
      <c r="J19" s="58"/>
    </row>
    <row r="20" spans="2:10" ht="15.75" x14ac:dyDescent="0.25">
      <c r="B20" s="73">
        <f t="shared" si="0"/>
        <v>2029</v>
      </c>
      <c r="C20" s="98">
        <f>ROUND(HLOOKUP($B20,[6]Summary!$C$5:$L$43,39,FALSE),3)</f>
        <v>37.244</v>
      </c>
      <c r="D20" s="98">
        <f>C20+[1]Incremental!O20</f>
        <v>35.250999999999998</v>
      </c>
      <c r="E20" s="98"/>
      <c r="F20" s="74">
        <f>D20+[1]Incremental!Q20</f>
        <v>34.666999999999994</v>
      </c>
      <c r="G20" s="74">
        <f>[1]Energy!K20</f>
        <v>23.849</v>
      </c>
      <c r="I20" s="57"/>
      <c r="J20" s="58"/>
    </row>
    <row r="21" spans="2:10" ht="15.75" x14ac:dyDescent="0.25">
      <c r="B21" s="73">
        <f t="shared" si="0"/>
        <v>2030</v>
      </c>
      <c r="C21" s="98">
        <f>ROUND(HLOOKUP($B21,[6]Summary!$C$5:$L$43,39,FALSE),3)</f>
        <v>41.886000000000003</v>
      </c>
      <c r="D21" s="98">
        <f>C21+[1]Incremental!O21</f>
        <v>41.013000000000005</v>
      </c>
      <c r="E21" s="98"/>
      <c r="F21" s="74">
        <f>D21+[1]Incremental!Q21</f>
        <v>40.508000000000003</v>
      </c>
      <c r="G21" s="74">
        <f>[1]Energy!K21</f>
        <v>22.382000000000001</v>
      </c>
      <c r="I21" s="57"/>
      <c r="J21" s="58"/>
    </row>
    <row r="22" spans="2:10" ht="15.75" x14ac:dyDescent="0.25">
      <c r="B22" s="73">
        <f t="shared" si="0"/>
        <v>2031</v>
      </c>
      <c r="C22" s="98">
        <f>ROUND(HLOOKUP($B22,[6]Summary!$C$5:$L$43,39,FALSE),3)</f>
        <v>45.707999999999998</v>
      </c>
      <c r="D22" s="98">
        <f>C22+[1]Incremental!O22</f>
        <v>44.201000000000001</v>
      </c>
      <c r="E22" s="98"/>
      <c r="F22" s="74">
        <f>D22+[1]Incremental!Q22</f>
        <v>43.433999999999997</v>
      </c>
      <c r="G22" s="74">
        <f>[1]Energy!K22</f>
        <v>23.728000000000002</v>
      </c>
      <c r="I22" s="57"/>
      <c r="J22" s="58"/>
    </row>
    <row r="23" spans="2:10" ht="15.75" x14ac:dyDescent="0.25">
      <c r="B23" s="73">
        <f t="shared" si="0"/>
        <v>2032</v>
      </c>
      <c r="C23" s="98">
        <f>ROUND(HLOOKUP($B23,[6]Summary!$C$5:$L$43,39,FALSE),3)</f>
        <v>47.917000000000002</v>
      </c>
      <c r="D23" s="98">
        <f>C23+[1]Incremental!O23</f>
        <v>46.280999999999999</v>
      </c>
      <c r="E23" s="98"/>
      <c r="F23" s="74">
        <f>D23+[1]Incremental!Q23</f>
        <v>45.698999999999998</v>
      </c>
      <c r="G23" s="74">
        <f>[1]Energy!K23</f>
        <v>28.844000000000001</v>
      </c>
      <c r="I23" s="57"/>
      <c r="J23" s="58"/>
    </row>
    <row r="24" spans="2:10" ht="15.75" x14ac:dyDescent="0.25">
      <c r="B24" s="73">
        <f t="shared" si="0"/>
        <v>2033</v>
      </c>
      <c r="C24" s="98">
        <f>ROUND(HLOOKUP($B24,[6]Summary!$C$5:$L$43,39,FALSE),3)</f>
        <v>53.466000000000001</v>
      </c>
      <c r="D24" s="98">
        <f>C24+[1]Incremental!O24</f>
        <v>50.789000000000001</v>
      </c>
      <c r="E24" s="98"/>
      <c r="F24" s="74">
        <f>D24+[1]Incremental!Q24</f>
        <v>50.530999999999999</v>
      </c>
      <c r="G24" s="74">
        <f>[1]Energy!K24</f>
        <v>29.866</v>
      </c>
      <c r="I24" s="57"/>
      <c r="J24" s="58"/>
    </row>
    <row r="25" spans="2:10" ht="15.75" x14ac:dyDescent="0.25">
      <c r="B25" s="73">
        <f t="shared" si="0"/>
        <v>2034</v>
      </c>
      <c r="C25" s="98">
        <f>ROUND(HLOOKUP($B25,[6]Summary!$C$5:$L$43,39,FALSE),3)</f>
        <v>56.082000000000001</v>
      </c>
      <c r="D25" s="98">
        <f>C25+[1]Incremental!O25</f>
        <v>53.216000000000001</v>
      </c>
      <c r="E25" s="98"/>
      <c r="F25" s="74">
        <f>D25+[1]Incremental!Q25</f>
        <v>52.807000000000002</v>
      </c>
      <c r="G25" s="74">
        <f>[1]Energy!K25</f>
        <v>31.100999999999999</v>
      </c>
      <c r="I25" s="57"/>
      <c r="J25" s="58"/>
    </row>
    <row r="26" spans="2:10" ht="15.75" x14ac:dyDescent="0.25">
      <c r="B26" s="73">
        <f t="shared" si="0"/>
        <v>2035</v>
      </c>
      <c r="C26" s="98">
        <f>ROUND(HLOOKUP($B26,[6]Summary!$C$5:$L$43,39,FALSE),3)</f>
        <v>59.899000000000001</v>
      </c>
      <c r="D26" s="98">
        <f>C26+[1]Incremental!O26</f>
        <v>55.81</v>
      </c>
      <c r="E26" s="98"/>
      <c r="F26" s="74">
        <f>D26+[1]Incremental!Q26</f>
        <v>55.599000000000004</v>
      </c>
      <c r="G26" s="74">
        <f>[1]Energy!K26</f>
        <v>32.954000000000001</v>
      </c>
      <c r="I26" s="57"/>
      <c r="J26" s="58"/>
    </row>
    <row r="27" spans="2:10" ht="15.75" x14ac:dyDescent="0.25">
      <c r="B27" s="75">
        <f t="shared" si="0"/>
        <v>2036</v>
      </c>
      <c r="C27" s="99">
        <f>ROUND(HLOOKUP($B27,[6]Summary!$C$5:$L$43,39,FALSE),3)</f>
        <v>61.908000000000001</v>
      </c>
      <c r="D27" s="99">
        <f>C27+[1]Incremental!O27</f>
        <v>57.311999999999998</v>
      </c>
      <c r="E27" s="99"/>
      <c r="F27" s="76">
        <f>D27+[1]Incremental!Q27</f>
        <v>57.059999999999995</v>
      </c>
      <c r="G27" s="76">
        <f>[1]Energy!K27</f>
        <v>35.128</v>
      </c>
      <c r="I27" s="57"/>
      <c r="J27" s="58"/>
    </row>
    <row r="28" spans="2:10" x14ac:dyDescent="0.2">
      <c r="C28" s="39"/>
      <c r="D28" s="39"/>
      <c r="E28" s="39"/>
      <c r="F28" s="39"/>
      <c r="G28" s="39"/>
      <c r="I28" s="57"/>
      <c r="J28" s="58"/>
    </row>
    <row r="29" spans="2:10" x14ac:dyDescent="0.2">
      <c r="B29" s="33" t="str">
        <f>"Nominal Levelized Payment at "&amp;TEXT($B$40,"0.00%")&amp;" Discount Rate (3)"</f>
        <v>Nominal Levelized Payment at 6.92% Discount Rate (3)</v>
      </c>
      <c r="C29" s="39"/>
      <c r="D29" s="39"/>
      <c r="E29" s="39"/>
      <c r="F29" s="39"/>
      <c r="G29" s="39"/>
      <c r="I29" s="57"/>
      <c r="J29" s="58"/>
    </row>
    <row r="30" spans="2:10" x14ac:dyDescent="0.2">
      <c r="B30" s="34" t="str">
        <f>B11&amp;" - "&amp;B25</f>
        <v>2020 - 2034</v>
      </c>
      <c r="C30" s="63">
        <f>ROUND(PMT($B$40,COUNT(C11:C25),-NPV($B$40,C11:C25)),3)</f>
        <v>29.373999999999999</v>
      </c>
      <c r="D30" s="63">
        <f t="shared" ref="D30:G30" si="1">ROUND(PMT($B$40,COUNT(D11:D25),-NPV($B$40,D11:D25)),3)</f>
        <v>26.780999999999999</v>
      </c>
      <c r="E30" s="63"/>
      <c r="F30" s="63">
        <f t="shared" si="1"/>
        <v>26.370999999999999</v>
      </c>
      <c r="G30" s="63">
        <f t="shared" si="1"/>
        <v>17.460999999999999</v>
      </c>
      <c r="I30" s="57"/>
      <c r="J30" s="58"/>
    </row>
    <row r="31" spans="2:10" x14ac:dyDescent="0.2">
      <c r="B31" s="34" t="str">
        <f>B12&amp;" - "&amp;B26</f>
        <v>2021 - 2035</v>
      </c>
      <c r="C31" s="63">
        <f>ROUND(PMT($B$40,COUNT(C12:C26),-NPV($B$40,C12:C26)),3)</f>
        <v>31.806000000000001</v>
      </c>
      <c r="D31" s="63">
        <f t="shared" ref="D31:G31" si="2">ROUND(PMT($B$40,COUNT(D12:D26),-NPV($B$40,D12:D26)),3)</f>
        <v>29.128</v>
      </c>
      <c r="E31" s="63"/>
      <c r="F31" s="63">
        <f t="shared" si="2"/>
        <v>28.706</v>
      </c>
      <c r="G31" s="63">
        <f t="shared" si="2"/>
        <v>18.346</v>
      </c>
      <c r="I31" s="57"/>
      <c r="J31" s="58"/>
    </row>
    <row r="32" spans="2:10" x14ac:dyDescent="0.2">
      <c r="B32" s="34" t="str">
        <f>B13&amp;" - "&amp;B27</f>
        <v>2022 - 2036</v>
      </c>
      <c r="C32" s="63">
        <f>ROUND(PMT($B$40,COUNT(C13:C27),-NPV($B$40,C13:C27)),3)</f>
        <v>34.604999999999997</v>
      </c>
      <c r="D32" s="63">
        <f t="shared" ref="D32:G32" si="3">ROUND(PMT($B$40,COUNT(D13:D27),-NPV($B$40,D13:D27)),3)</f>
        <v>31.751000000000001</v>
      </c>
      <c r="E32" s="63"/>
      <c r="F32" s="63">
        <f t="shared" si="3"/>
        <v>31.326000000000001</v>
      </c>
      <c r="G32" s="63">
        <f t="shared" si="3"/>
        <v>19.364000000000001</v>
      </c>
      <c r="I32" s="57"/>
      <c r="J32" s="58"/>
    </row>
    <row r="33" spans="2:7" x14ac:dyDescent="0.2">
      <c r="B33" s="34"/>
      <c r="C33" s="32"/>
      <c r="D33" s="32"/>
      <c r="E33" s="32"/>
      <c r="F33" s="32"/>
      <c r="G33" s="32"/>
    </row>
    <row r="34" spans="2:7" x14ac:dyDescent="0.2">
      <c r="B34" s="34" t="str">
        <f>Total!B34</f>
        <v>(1)   Studies are sequential.  The order of the studies would affect the price impact.</v>
      </c>
    </row>
    <row r="35" spans="2:7" x14ac:dyDescent="0.2">
      <c r="B35" s="1" t="str">
        <f>"(2)   Official Forward Price Curve Dated "&amp;TEXT(B42,"MMMM YYYY")</f>
        <v>(2)   Official Forward Price Curve Dated June 2019</v>
      </c>
    </row>
    <row r="36" spans="2:7" x14ac:dyDescent="0.2">
      <c r="B36" s="34" t="str">
        <f>Total!B36</f>
        <v>(3)   Discount Rate - 2019 IRP Update - Calculated Annually</v>
      </c>
    </row>
    <row r="39" spans="2:7" x14ac:dyDescent="0.2">
      <c r="B39" s="21" t="str">
        <f>Total!B39</f>
        <v>Discount Rate - 2019 IRP Update</v>
      </c>
    </row>
    <row r="40" spans="2:7" x14ac:dyDescent="0.2">
      <c r="B40" s="38">
        <f>Discount_Rate</f>
        <v>6.9199999999999998E-2</v>
      </c>
    </row>
    <row r="41" spans="2:7" x14ac:dyDescent="0.2">
      <c r="B41" s="1" t="s">
        <v>10</v>
      </c>
    </row>
    <row r="42" spans="2:7" x14ac:dyDescent="0.2">
      <c r="B42" s="22">
        <f>'[7]Forward Price Curve'!$G$2</f>
        <v>43644</v>
      </c>
    </row>
    <row r="43" spans="2:7" x14ac:dyDescent="0.2">
      <c r="B43"/>
      <c r="C43"/>
      <c r="D43"/>
      <c r="E43"/>
      <c r="F43"/>
      <c r="G43"/>
    </row>
  </sheetData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2"/>
  <sheetViews>
    <sheetView view="pageBreakPreview" zoomScale="60" zoomScaleNormal="70" workbookViewId="0">
      <pane xSplit="2" ySplit="9" topLeftCell="C10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2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tr">
        <f>[1]Total!B1</f>
        <v>Appendix C</v>
      </c>
      <c r="C1" s="23"/>
      <c r="D1" s="23"/>
      <c r="E1" s="24"/>
      <c r="F1" s="23"/>
      <c r="G1" s="23"/>
      <c r="H1" s="52"/>
      <c r="I1" s="53"/>
    </row>
    <row r="2" spans="2:11" ht="8.25" customHeight="1" x14ac:dyDescent="0.25">
      <c r="B2" s="23"/>
      <c r="C2" s="23"/>
      <c r="D2" s="23"/>
      <c r="E2" s="24"/>
      <c r="F2" s="23"/>
      <c r="G2" s="23"/>
      <c r="H2" s="52"/>
      <c r="I2" s="53"/>
    </row>
    <row r="3" spans="2:11" ht="15.75" x14ac:dyDescent="0.25">
      <c r="B3" s="23" t="str">
        <f>[1]Total!B3</f>
        <v>Utah Quarterly Compliance Filing</v>
      </c>
      <c r="C3" s="23"/>
      <c r="D3" s="23"/>
      <c r="E3" s="24"/>
      <c r="F3" s="23"/>
      <c r="G3" s="23"/>
      <c r="H3" s="52"/>
      <c r="I3" s="53"/>
    </row>
    <row r="4" spans="2:11" ht="15.75" x14ac:dyDescent="0.25">
      <c r="B4" s="23" t="str">
        <f>"Step Study between "&amp;K8&amp;" and "&amp;K7&amp;" Compliance Filing"</f>
        <v>Step Study between 2019.Q3 and 2019.Q2 Compliance Filing</v>
      </c>
      <c r="C4" s="23"/>
      <c r="D4" s="23"/>
      <c r="E4" s="24"/>
      <c r="F4" s="23"/>
      <c r="G4" s="23"/>
      <c r="H4" s="52"/>
      <c r="I4" s="53"/>
    </row>
    <row r="5" spans="2:11" ht="15.75" x14ac:dyDescent="0.25">
      <c r="B5" s="23" t="s">
        <v>8</v>
      </c>
      <c r="C5" s="23"/>
      <c r="D5" s="23"/>
      <c r="E5" s="24"/>
      <c r="F5" s="23"/>
      <c r="G5" s="23"/>
      <c r="H5" s="52"/>
      <c r="I5" s="53"/>
    </row>
    <row r="6" spans="2:11" ht="15.75" x14ac:dyDescent="0.25">
      <c r="B6" s="23"/>
      <c r="C6" s="23"/>
      <c r="D6" s="23"/>
      <c r="F6" s="23"/>
      <c r="G6" s="23"/>
      <c r="H6" s="52"/>
      <c r="I6" s="53"/>
    </row>
    <row r="7" spans="2:11" ht="15.75" x14ac:dyDescent="0.25">
      <c r="B7" s="26"/>
      <c r="C7" s="27" t="s">
        <v>2</v>
      </c>
      <c r="D7" s="27"/>
      <c r="F7" s="27" t="s">
        <v>7</v>
      </c>
      <c r="G7" s="42"/>
      <c r="H7" s="52"/>
      <c r="I7" s="53"/>
      <c r="K7" s="29" t="s">
        <v>17</v>
      </c>
    </row>
    <row r="8" spans="2:11" ht="30.75" customHeight="1" x14ac:dyDescent="0.25">
      <c r="B8" s="28" t="s">
        <v>0</v>
      </c>
      <c r="C8" s="49" t="str">
        <f>[1]Energy!C7&amp;" (3)"</f>
        <v>2019.Q2 (3)</v>
      </c>
      <c r="D8" s="49" t="str">
        <f>K8&amp;" (3)"</f>
        <v>2019.Q3 (3)</v>
      </c>
      <c r="F8" s="29" t="str">
        <f>C8</f>
        <v>2019.Q2 (3)</v>
      </c>
      <c r="G8" s="49" t="str">
        <f>D8</f>
        <v>2019.Q3 (3)</v>
      </c>
      <c r="K8" s="29" t="s">
        <v>21</v>
      </c>
    </row>
    <row r="9" spans="2:11" ht="4.5" customHeight="1" x14ac:dyDescent="0.2"/>
    <row r="10" spans="2:11" ht="15.75" hidden="1" x14ac:dyDescent="0.25">
      <c r="B10" s="30">
        <f>[1]Total!B10</f>
        <v>2019</v>
      </c>
      <c r="C10" s="31">
        <f>IF(VLOOKUP($B10,'[3]Table 1'!$B$13:$C$35,2,FALSE)&lt;&gt;0,VLOOKUP($B10,'[3]Table 1'!$B$13:$C$35,2,FALSE),0)</f>
        <v>0</v>
      </c>
      <c r="D10" s="31">
        <f>IF(VLOOKUP($B10,'[8]Table 1'!$B$13:$C$35,2,FALSE)&lt;&gt;0,VLOOKUP($B10,'[8]Table 1'!$B$13:$C$35,2,FALSE),0)</f>
        <v>0</v>
      </c>
      <c r="F10" s="31">
        <f t="shared" ref="F10" si="0">C10*1000/(IF(MOD($B10,4)=0,8784,8760)*0.85)</f>
        <v>0</v>
      </c>
      <c r="G10" s="31">
        <f t="shared" ref="G10" si="1">D10*1000/(IF(MOD($B10,4)=0,8784,8760)*0.85)</f>
        <v>0</v>
      </c>
    </row>
    <row r="11" spans="2:11" ht="15.75" x14ac:dyDescent="0.25">
      <c r="B11" s="30">
        <f t="shared" ref="B11:B27" si="2">B10+1</f>
        <v>2020</v>
      </c>
      <c r="C11" s="31">
        <f>IF(VLOOKUP($B11,'[8]Table 1'!$B$13:$C$35,2,FALSE)&lt;&gt;0,VLOOKUP($B11,'[8]Table 1'!$B$13:$C$35,2,FALSE),0)</f>
        <v>0</v>
      </c>
      <c r="D11" s="31">
        <f>IF(VLOOKUP($B11,'[9]Table 1'!$B$13:$G$35,2,FALSE)&lt;&gt;0,VLOOKUP($B11,'[9]Table 1'!$B$13:$G$35,2,FALSE),0)</f>
        <v>0</v>
      </c>
      <c r="F11" s="31">
        <f>C11*1000/(IF(MOD($B11,4)=0,8784,8760)*1)</f>
        <v>0</v>
      </c>
      <c r="G11" s="31">
        <f>D11*1000/(IF(MOD($B11,4)=0,8784,8760)*1)</f>
        <v>0</v>
      </c>
    </row>
    <row r="12" spans="2:11" ht="15.75" x14ac:dyDescent="0.25">
      <c r="B12" s="30">
        <f t="shared" si="2"/>
        <v>2021</v>
      </c>
      <c r="C12" s="31">
        <f>IF(VLOOKUP($B12,'[8]Table 1'!$B$13:$C$35,2,FALSE)&lt;&gt;0,VLOOKUP($B12,'[8]Table 1'!$B$13:$C$35,2,FALSE),0)</f>
        <v>0</v>
      </c>
      <c r="D12" s="31">
        <f>IF(VLOOKUP($B12,'[9]Table 1'!$B$13:$G$35,2,FALSE)&lt;&gt;0,VLOOKUP($B12,'[9]Table 1'!$B$13:$G$35,2,FALSE),0)</f>
        <v>0</v>
      </c>
      <c r="F12" s="31">
        <f t="shared" ref="F12:F27" si="3">C12*1000/(IF(MOD($B12,4)=0,8784,8760)*1)</f>
        <v>0</v>
      </c>
      <c r="G12" s="31">
        <f t="shared" ref="G12:G27" si="4">D12*1000/(IF(MOD($B12,4)=0,8784,8760)*1)</f>
        <v>0</v>
      </c>
    </row>
    <row r="13" spans="2:11" ht="15.75" x14ac:dyDescent="0.25">
      <c r="B13" s="30">
        <f t="shared" si="2"/>
        <v>2022</v>
      </c>
      <c r="C13" s="31">
        <f>IF(VLOOKUP($B13,'[8]Table 1'!$B$13:$C$35,2,FALSE)&lt;&gt;0,VLOOKUP($B13,'[8]Table 1'!$B$13:$C$35,2,FALSE),0)</f>
        <v>0</v>
      </c>
      <c r="D13" s="31">
        <f>IF(VLOOKUP($B13,'[9]Table 1'!$B$13:$G$35,2,FALSE)&lt;&gt;0,VLOOKUP($B13,'[9]Table 1'!$B$13:$G$35,2,FALSE),0)</f>
        <v>0</v>
      </c>
      <c r="F13" s="31">
        <f t="shared" si="3"/>
        <v>0</v>
      </c>
      <c r="G13" s="31">
        <f t="shared" si="4"/>
        <v>0</v>
      </c>
    </row>
    <row r="14" spans="2:11" ht="15.75" x14ac:dyDescent="0.25">
      <c r="B14" s="30">
        <f t="shared" si="2"/>
        <v>2023</v>
      </c>
      <c r="C14" s="31">
        <f>IF(VLOOKUP($B14,'[8]Table 1'!$B$13:$C$35,2,FALSE)&lt;&gt;0,VLOOKUP($B14,'[8]Table 1'!$B$13:$C$35,2,FALSE),0)</f>
        <v>0</v>
      </c>
      <c r="D14" s="31">
        <f>IF(VLOOKUP($B14,'[9]Table 1'!$B$13:$G$35,2,FALSE)&lt;&gt;0,VLOOKUP($B14,'[9]Table 1'!$B$13:$G$35,2,FALSE),0)</f>
        <v>0</v>
      </c>
      <c r="F14" s="31">
        <f t="shared" si="3"/>
        <v>0</v>
      </c>
      <c r="G14" s="31">
        <f t="shared" si="4"/>
        <v>0</v>
      </c>
    </row>
    <row r="15" spans="2:11" ht="15.75" x14ac:dyDescent="0.25">
      <c r="B15" s="30">
        <f t="shared" si="2"/>
        <v>2024</v>
      </c>
      <c r="C15" s="31">
        <f>IF(VLOOKUP($B15,'[8]Table 1'!$B$13:$C$35,2,FALSE)&lt;&gt;0,VLOOKUP($B15,'[8]Table 1'!$B$13:$C$35,2,FALSE),0)</f>
        <v>0</v>
      </c>
      <c r="D15" s="31">
        <f>IF(VLOOKUP($B15,'[9]Table 1'!$B$13:$G$35,2,FALSE)&lt;&gt;0,VLOOKUP($B15,'[9]Table 1'!$B$13:$G$35,2,FALSE),0)</f>
        <v>0</v>
      </c>
      <c r="F15" s="31">
        <f t="shared" si="3"/>
        <v>0</v>
      </c>
      <c r="G15" s="31">
        <f t="shared" si="4"/>
        <v>0</v>
      </c>
    </row>
    <row r="16" spans="2:11" ht="15.75" x14ac:dyDescent="0.25">
      <c r="B16" s="30">
        <f t="shared" si="2"/>
        <v>2025</v>
      </c>
      <c r="C16" s="31">
        <f>IF(VLOOKUP($B16,'[8]Table 1'!$B$13:$C$35,2,FALSE)&lt;&gt;0,VLOOKUP($B16,'[8]Table 1'!$B$13:$C$35,2,FALSE),0)</f>
        <v>0</v>
      </c>
      <c r="D16" s="31">
        <f>IF(VLOOKUP($B16,'[9]Table 1'!$B$13:$G$35,2,FALSE)&lt;&gt;0,VLOOKUP($B16,'[9]Table 1'!$B$13:$G$35,2,FALSE),0)</f>
        <v>0</v>
      </c>
      <c r="F16" s="31">
        <f t="shared" si="3"/>
        <v>0</v>
      </c>
      <c r="G16" s="31">
        <f t="shared" si="4"/>
        <v>0</v>
      </c>
    </row>
    <row r="17" spans="2:7" ht="15.75" x14ac:dyDescent="0.25">
      <c r="B17" s="30">
        <f t="shared" si="2"/>
        <v>2026</v>
      </c>
      <c r="C17" s="31">
        <f>IF(VLOOKUP($B17,'[8]Table 1'!$B$13:$C$35,2,FALSE)&lt;&gt;0,VLOOKUP($B17,'[8]Table 1'!$B$13:$C$35,2,FALSE),0)</f>
        <v>0</v>
      </c>
      <c r="D17" s="31">
        <f>IF(VLOOKUP($B17,'[9]Table 1'!$B$13:$G$35,2,FALSE)&lt;&gt;0,VLOOKUP($B17,'[9]Table 1'!$B$13:$G$35,2,FALSE),0)</f>
        <v>112.48330989724177</v>
      </c>
      <c r="F17" s="31">
        <f t="shared" si="3"/>
        <v>0</v>
      </c>
      <c r="G17" s="31">
        <f t="shared" si="4"/>
        <v>12.840560490552713</v>
      </c>
    </row>
    <row r="18" spans="2:7" ht="15.75" x14ac:dyDescent="0.25">
      <c r="B18" s="30">
        <f t="shared" si="2"/>
        <v>2027</v>
      </c>
      <c r="C18" s="31">
        <f>IF(VLOOKUP($B18,'[8]Table 1'!$B$13:$C$35,2,FALSE)&lt;&gt;0,VLOOKUP($B18,'[8]Table 1'!$B$13:$C$35,2,FALSE),0)</f>
        <v>0</v>
      </c>
      <c r="D18" s="31">
        <f>IF(VLOOKUP($B18,'[9]Table 1'!$B$13:$G$35,2,FALSE)&lt;&gt;0,VLOOKUP($B18,'[9]Table 1'!$B$13:$G$35,2,FALSE),0)</f>
        <v>115</v>
      </c>
      <c r="F18" s="31">
        <f t="shared" si="3"/>
        <v>0</v>
      </c>
      <c r="G18" s="31">
        <f t="shared" si="4"/>
        <v>13.127853881278538</v>
      </c>
    </row>
    <row r="19" spans="2:7" ht="15.75" x14ac:dyDescent="0.25">
      <c r="B19" s="30">
        <f t="shared" si="2"/>
        <v>2028</v>
      </c>
      <c r="C19" s="31">
        <f>IF(VLOOKUP($B19,'[8]Table 1'!$B$13:$C$35,2,FALSE)&lt;&gt;0,VLOOKUP($B19,'[8]Table 1'!$B$13:$C$35,2,FALSE),0)</f>
        <v>0</v>
      </c>
      <c r="D19" s="31">
        <f>IF(VLOOKUP($B19,'[9]Table 1'!$B$13:$G$35,2,FALSE)&lt;&gt;0,VLOOKUP($B19,'[9]Table 1'!$B$13:$G$35,2,FALSE),0)</f>
        <v>117.55000000000001</v>
      </c>
      <c r="F19" s="31">
        <f t="shared" si="3"/>
        <v>0</v>
      </c>
      <c r="G19" s="31">
        <f t="shared" si="4"/>
        <v>13.382285974499091</v>
      </c>
    </row>
    <row r="20" spans="2:7" ht="15.75" x14ac:dyDescent="0.25">
      <c r="B20" s="30">
        <f t="shared" si="2"/>
        <v>2029</v>
      </c>
      <c r="C20" s="31">
        <f>IF(VLOOKUP($B20,'[8]Table 1'!$B$13:$C$35,2,FALSE)&lt;&gt;0,VLOOKUP($B20,'[8]Table 1'!$B$13:$C$35,2,FALSE),0)</f>
        <v>0</v>
      </c>
      <c r="D20" s="31">
        <f>IF(VLOOKUP($B20,'[9]Table 1'!$B$13:$G$35,2,FALSE)&lt;&gt;0,VLOOKUP($B20,'[9]Table 1'!$B$13:$G$35,2,FALSE),0)</f>
        <v>120.23</v>
      </c>
      <c r="F20" s="31">
        <f t="shared" si="3"/>
        <v>0</v>
      </c>
      <c r="G20" s="31">
        <f t="shared" si="4"/>
        <v>13.724885844748858</v>
      </c>
    </row>
    <row r="21" spans="2:7" ht="15.75" x14ac:dyDescent="0.25">
      <c r="B21" s="30">
        <f t="shared" si="2"/>
        <v>2030</v>
      </c>
      <c r="C21" s="31">
        <f>IF(VLOOKUP($B21,'[8]Table 1'!$B$13:$C$35,2,FALSE)&lt;&gt;0,VLOOKUP($B21,'[8]Table 1'!$B$13:$C$35,2,FALSE),0)</f>
        <v>0</v>
      </c>
      <c r="D21" s="31">
        <f>IF(VLOOKUP($B21,'[9]Table 1'!$B$13:$G$35,2,FALSE)&lt;&gt;0,VLOOKUP($B21,'[9]Table 1'!$B$13:$G$35,2,FALSE),0)</f>
        <v>122.91</v>
      </c>
      <c r="F21" s="31">
        <f t="shared" si="3"/>
        <v>0</v>
      </c>
      <c r="G21" s="31">
        <f t="shared" si="4"/>
        <v>14.030821917808218</v>
      </c>
    </row>
    <row r="22" spans="2:7" ht="15.75" x14ac:dyDescent="0.25">
      <c r="B22" s="30">
        <f t="shared" si="2"/>
        <v>2031</v>
      </c>
      <c r="C22" s="31">
        <f>IF(VLOOKUP($B22,'[8]Table 1'!$B$13:$C$35,2,FALSE)&lt;&gt;0,VLOOKUP($B22,'[8]Table 1'!$B$13:$C$35,2,FALSE),0)</f>
        <v>0</v>
      </c>
      <c r="D22" s="31">
        <f>IF(VLOOKUP($B22,'[9]Table 1'!$B$13:$G$35,2,FALSE)&lt;&gt;0,VLOOKUP($B22,'[9]Table 1'!$B$13:$G$35,2,FALSE),0)</f>
        <v>125.58000000000001</v>
      </c>
      <c r="F22" s="31">
        <f t="shared" si="3"/>
        <v>0</v>
      </c>
      <c r="G22" s="31">
        <f t="shared" si="4"/>
        <v>14.335616438356166</v>
      </c>
    </row>
    <row r="23" spans="2:7" ht="15.75" x14ac:dyDescent="0.25">
      <c r="B23" s="30">
        <f t="shared" si="2"/>
        <v>2032</v>
      </c>
      <c r="C23" s="31">
        <f>IF(VLOOKUP($B23,'[8]Table 1'!$B$13:$C$35,2,FALSE)&lt;&gt;0,VLOOKUP($B23,'[8]Table 1'!$B$13:$C$35,2,FALSE),0)</f>
        <v>0</v>
      </c>
      <c r="D23" s="31">
        <f>IF(VLOOKUP($B23,'[9]Table 1'!$B$13:$G$35,2,FALSE)&lt;&gt;0,VLOOKUP($B23,'[9]Table 1'!$B$13:$G$35,2,FALSE),0)</f>
        <v>128.28</v>
      </c>
      <c r="F23" s="31">
        <f t="shared" si="3"/>
        <v>0</v>
      </c>
      <c r="G23" s="31">
        <f t="shared" si="4"/>
        <v>14.603825136612022</v>
      </c>
    </row>
    <row r="24" spans="2:7" ht="15.75" x14ac:dyDescent="0.25">
      <c r="B24" s="30">
        <f t="shared" si="2"/>
        <v>2033</v>
      </c>
      <c r="C24" s="31">
        <f>IF(VLOOKUP($B24,'[8]Table 1'!$B$13:$C$35,2,FALSE)&lt;&gt;0,VLOOKUP($B24,'[8]Table 1'!$B$13:$C$35,2,FALSE),0)</f>
        <v>0</v>
      </c>
      <c r="D24" s="31">
        <f>IF(VLOOKUP($B24,'[9]Table 1'!$B$13:$G$35,2,FALSE)&lt;&gt;0,VLOOKUP($B24,'[9]Table 1'!$B$13:$G$35,2,FALSE),0)</f>
        <v>131.03</v>
      </c>
      <c r="F24" s="31">
        <f t="shared" si="3"/>
        <v>0</v>
      </c>
      <c r="G24" s="31">
        <f t="shared" si="4"/>
        <v>14.957762557077626</v>
      </c>
    </row>
    <row r="25" spans="2:7" ht="15.75" x14ac:dyDescent="0.25">
      <c r="B25" s="30">
        <f t="shared" si="2"/>
        <v>2034</v>
      </c>
      <c r="C25" s="31">
        <f>IF(VLOOKUP($B25,'[8]Table 1'!$B$13:$C$35,2,FALSE)&lt;&gt;0,VLOOKUP($B25,'[8]Table 1'!$B$13:$C$35,2,FALSE),0)</f>
        <v>0</v>
      </c>
      <c r="D25" s="31">
        <f>IF(VLOOKUP($B25,'[9]Table 1'!$B$13:$G$35,2,FALSE)&lt;&gt;0,VLOOKUP($B25,'[9]Table 1'!$B$13:$G$35,2,FALSE),0)</f>
        <v>133.79000000000002</v>
      </c>
      <c r="F25" s="31">
        <f t="shared" si="3"/>
        <v>0</v>
      </c>
      <c r="G25" s="31">
        <f t="shared" si="4"/>
        <v>15.272831050228314</v>
      </c>
    </row>
    <row r="26" spans="2:7" ht="15.75" x14ac:dyDescent="0.25">
      <c r="B26" s="30">
        <f t="shared" si="2"/>
        <v>2035</v>
      </c>
      <c r="C26" s="31">
        <f>IF(VLOOKUP($B26,'[8]Table 1'!$B$13:$C$35,2,FALSE)&lt;&gt;0,VLOOKUP($B26,'[8]Table 1'!$B$13:$C$35,2,FALSE),0)</f>
        <v>0</v>
      </c>
      <c r="D26" s="31">
        <f>IF(VLOOKUP($B26,'[9]Table 1'!$B$13:$G$35,2,FALSE)&lt;&gt;0,VLOOKUP($B26,'[9]Table 1'!$B$13:$G$35,2,FALSE),0)</f>
        <v>136.57999999999998</v>
      </c>
      <c r="F26" s="31">
        <f t="shared" si="3"/>
        <v>0</v>
      </c>
      <c r="G26" s="31">
        <f t="shared" si="4"/>
        <v>15.591324200913238</v>
      </c>
    </row>
    <row r="27" spans="2:7" ht="15.75" x14ac:dyDescent="0.25">
      <c r="B27" s="30">
        <f t="shared" si="2"/>
        <v>2036</v>
      </c>
      <c r="C27" s="31">
        <f>IF(VLOOKUP($B27,'[8]Table 1'!$B$13:$C$35,2,FALSE)&lt;&gt;0,VLOOKUP($B27,'[8]Table 1'!$B$13:$C$35,2,FALSE),0)</f>
        <v>0</v>
      </c>
      <c r="D27" s="31">
        <f>IF(VLOOKUP($B27,'[9]Table 1'!$B$13:$G$35,2,FALSE)&lt;&gt;0,VLOOKUP($B27,'[9]Table 1'!$B$13:$G$35,2,FALSE),0)</f>
        <v>139.44</v>
      </c>
      <c r="F27" s="31">
        <f t="shared" si="3"/>
        <v>0</v>
      </c>
      <c r="G27" s="31">
        <f t="shared" si="4"/>
        <v>15.87431693989071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"&amp;TEXT($B$40,"0.000%")&amp;" Discount Rate (2)"</f>
        <v>Nominal Levelized Payment at 6.920% Discount Rate (2)</v>
      </c>
    </row>
    <row r="30" spans="2:7" x14ac:dyDescent="0.2">
      <c r="B30" s="34" t="str">
        <f>$B$11&amp;" - "&amp;B25</f>
        <v>2020 - 2034</v>
      </c>
      <c r="C30" s="35">
        <f t="shared" ref="C30:D32" si="5">PMT($B$40,COUNT(C11:C25),-NPV($B$40,C11:C25))</f>
        <v>0</v>
      </c>
      <c r="D30" s="35">
        <f t="shared" si="5"/>
        <v>58.222694440828676</v>
      </c>
      <c r="F30" s="35">
        <f t="shared" ref="F30:G32" si="6">PMT($B$40,COUNT(F11:F25),-NPV($B$40,F11:F25))</f>
        <v>0</v>
      </c>
      <c r="G30" s="35">
        <f t="shared" si="6"/>
        <v>6.6424016108686867</v>
      </c>
    </row>
    <row r="31" spans="2:7" x14ac:dyDescent="0.2">
      <c r="B31" s="34" t="str">
        <f>$B$12&amp;" - "&amp;B26</f>
        <v>2021 - 2035</v>
      </c>
      <c r="C31" s="35">
        <f t="shared" si="5"/>
        <v>0</v>
      </c>
      <c r="D31" s="35">
        <f t="shared" si="5"/>
        <v>67.720435113209163</v>
      </c>
      <c r="F31" s="35">
        <f t="shared" si="6"/>
        <v>0</v>
      </c>
      <c r="G31" s="35">
        <f t="shared" si="6"/>
        <v>7.7263400736964112</v>
      </c>
    </row>
    <row r="32" spans="2:7" x14ac:dyDescent="0.2">
      <c r="B32" s="34" t="str">
        <f>$B$13&amp;" - "&amp;B27</f>
        <v>2022 - 2036</v>
      </c>
      <c r="C32" s="35">
        <f t="shared" si="5"/>
        <v>0</v>
      </c>
      <c r="D32" s="35">
        <f t="shared" si="5"/>
        <v>77.989935243463222</v>
      </c>
      <c r="F32" s="35">
        <f t="shared" si="6"/>
        <v>0</v>
      </c>
      <c r="G32" s="35">
        <f t="shared" si="6"/>
        <v>8.8966182462793473</v>
      </c>
    </row>
    <row r="34" spans="2:10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0" s="1" customFormat="1" x14ac:dyDescent="0.2">
      <c r="B35" s="25" t="str">
        <f>"(2)   "&amp;MID([1]Total!B35,7,99)</f>
        <v>(2)   Discount Rate - 2019 IRP Update</v>
      </c>
      <c r="C35" s="25"/>
      <c r="D35" s="25"/>
      <c r="E35" s="25"/>
      <c r="F35" s="25"/>
      <c r="I35"/>
      <c r="J35"/>
    </row>
    <row r="36" spans="2:10" x14ac:dyDescent="0.2">
      <c r="B36" s="25" t="s">
        <v>19</v>
      </c>
    </row>
    <row r="39" spans="2:10" x14ac:dyDescent="0.2">
      <c r="B39" s="52" t="str">
        <f>MID([1]Total!B35,7,99)</f>
        <v>Discount Rate - 2019 IRP Update</v>
      </c>
    </row>
    <row r="40" spans="2:10" x14ac:dyDescent="0.2">
      <c r="B40" s="36">
        <f>Discount_Rate</f>
        <v>6.9199999999999998E-2</v>
      </c>
    </row>
    <row r="41" spans="2:10" x14ac:dyDescent="0.2">
      <c r="B41" s="25" t="s">
        <v>20</v>
      </c>
    </row>
    <row r="42" spans="2:10" x14ac:dyDescent="0.2">
      <c r="B42" s="101">
        <f>'[3]Table 1'!Study_CF</f>
        <v>1</v>
      </c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2020-01-10T23:12:01Z</dcterms:created>
  <dcterms:modified xsi:type="dcterms:W3CDTF">2020-01-10T23:33:50Z</dcterms:modified>
  <cp:contentStatus/>
</cp:coreProperties>
</file>